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defaultThemeVersion="124226"/>
  <mc:AlternateContent xmlns:mc="http://schemas.openxmlformats.org/markup-compatibility/2006">
    <mc:Choice Requires="x15">
      <x15ac:absPath xmlns:x15ac="http://schemas.microsoft.com/office/spreadsheetml/2010/11/ac" url="C:\Users\kimjy\Desktop\"/>
    </mc:Choice>
  </mc:AlternateContent>
  <xr:revisionPtr revIDLastSave="0" documentId="8_{06DAB5D6-9CC8-43B7-A4CD-1BA0D03E9262}" xr6:coauthVersionLast="46" xr6:coauthVersionMax="46" xr10:uidLastSave="{00000000-0000-0000-0000-000000000000}"/>
  <bookViews>
    <workbookView xWindow="28680" yWindow="-120" windowWidth="29040" windowHeight="16440" tabRatio="597" activeTab="3" xr2:uid="{00000000-000D-0000-FFFF-FFFF00000000}"/>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82" r:id="rId8"/>
    <sheet name="5-ROR-2" sheetId="72" r:id="rId9"/>
    <sheet name="6-PlantInService" sheetId="4" r:id="rId10"/>
    <sheet name="7-PlantStudy" sheetId="56" r:id="rId11"/>
    <sheet name="8-AccDep" sheetId="21" r:id="rId12"/>
    <sheet name="9-ADIT-1" sheetId="15" r:id="rId13"/>
    <sheet name="9-ADIT-2" sheetId="84" r:id="rId14"/>
    <sheet name="9-ADIT-3" sheetId="83"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s>
  <definedNames>
    <definedName name="_xlnm._FilterDatabase" localSheetId="26" hidden="1">'21-RevenueCredits'!$A$1:$O$275</definedName>
    <definedName name="_xlnm.Print_Area" localSheetId="15">'10-CWIP'!$A$1:$K$484</definedName>
    <definedName name="_xlnm.Print_Area" localSheetId="16">'11-PHFU'!$A$1:$F$62</definedName>
    <definedName name="_xlnm.Print_Area" localSheetId="17">'12-AbandonedPlant'!$A$1:$J$56</definedName>
    <definedName name="_xlnm.Print_Area" localSheetId="18">'13-WorkCap'!$A$1:$G$69</definedName>
    <definedName name="_xlnm.Print_Area" localSheetId="19">'14-IncentivePlant'!$A$1:$J$440</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'18-DepRates'!$A$1:$G$66</definedName>
    <definedName name="_xlnm.Print_Area" localSheetId="24">'19-OandM'!$A$1:$L$152</definedName>
    <definedName name="_xlnm.Print_Area" localSheetId="3">'1-BaseTRR'!$A$1:$K$173</definedName>
    <definedName name="_xlnm.Print_Area" localSheetId="25">'20-AandG'!$A$1:$J$109</definedName>
    <definedName name="_xlnm.Print_Area" localSheetId="26">'21-RevenueCredits'!$A$1:$O$275</definedName>
    <definedName name="_xlnm.Print_Area" localSheetId="27">'22-NUCs'!$A$1:$F$27</definedName>
    <definedName name="_xlnm.Print_Area" localSheetId="28">'23-RegAssets'!$A$1:$I$37</definedName>
    <definedName name="_xlnm.Print_Area" localSheetId="29">'24-CWIPTRR'!$A$1:$J$201</definedName>
    <definedName name="_xlnm.Print_Area" localSheetId="30">'25-WholesaleDifference'!$A$1:$J$103</definedName>
    <definedName name="_xlnm.Print_Area" localSheetId="31">'26-TaxRates'!$A$1:$H$41</definedName>
    <definedName name="_xlnm.Print_Area" localSheetId="32">'27-Allocators'!$A$1:$K$54</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'34-UnfundedReserves'!$A$1:$K$45</definedName>
    <definedName name="_xlnm.Print_Area" localSheetId="5">'3-TrueUpAdjust'!$A$1:$L$144</definedName>
    <definedName name="_xlnm.Print_Area" localSheetId="6">'4-TUTRR'!$A$1:$K$107</definedName>
    <definedName name="_xlnm.Print_Area" localSheetId="7">'5-ROR-1'!$A$1:$L$50</definedName>
    <definedName name="_xlnm.Print_Area" localSheetId="8">'5-ROR-2'!$A$1:$P$69</definedName>
    <definedName name="_xlnm.Print_Area" localSheetId="9">'6-PlantInService'!$A$1:$M$236</definedName>
    <definedName name="_xlnm.Print_Area" localSheetId="10">'7-PlantStudy'!$A$1:$G$54</definedName>
    <definedName name="_xlnm.Print_Area" localSheetId="11">'8-AccDep'!$A$1:$N$152</definedName>
    <definedName name="_xlnm.Print_Area" localSheetId="12">'9-ADIT-1'!$A$1:$J$164</definedName>
    <definedName name="_xlnm.Print_Area" localSheetId="13">'9-ADIT-2'!$A$1:$M$61</definedName>
    <definedName name="_xlnm.Print_Area" localSheetId="14">'9-ADIT-3'!$A$1:$I$55</definedName>
    <definedName name="_xlnm.Print_Area" localSheetId="1">Contents!$A$1:$D$38</definedName>
    <definedName name="_xlnm.Print_Area" localSheetId="0">Heading!$A$1:$K$12</definedName>
    <definedName name="_xlnm.Print_Area" localSheetId="2">Overview!$A$1:$I$24</definedName>
    <definedName name="_xlnm.Print_Titles" localSheetId="3">'1-BaseTRR'!$1:$6</definedName>
    <definedName name="_xlnm.Print_Titles" localSheetId="26">'21-RevenueCredits'!$1:$3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2" i="30" l="1"/>
  <c r="H63" i="72" l="1"/>
  <c r="M40" i="61"/>
  <c r="H72" i="44"/>
  <c r="E230" i="61"/>
  <c r="E28" i="53"/>
  <c r="H130" i="53"/>
  <c r="J14" i="53"/>
  <c r="N206" i="61"/>
  <c r="N207" i="61"/>
  <c r="N208" i="61"/>
  <c r="N209" i="61"/>
  <c r="N210" i="61"/>
  <c r="N211" i="61"/>
  <c r="N212" i="61"/>
  <c r="N213" i="61"/>
  <c r="N214" i="61"/>
  <c r="G206" i="61"/>
  <c r="I206" i="61"/>
  <c r="J206" i="61"/>
  <c r="M206" i="61"/>
  <c r="G207" i="61"/>
  <c r="I207" i="61"/>
  <c r="J207" i="61"/>
  <c r="M207" i="61"/>
  <c r="G208" i="61"/>
  <c r="I208" i="61"/>
  <c r="J208" i="61"/>
  <c r="M208" i="61"/>
  <c r="G209" i="61"/>
  <c r="I209" i="61"/>
  <c r="J209" i="61"/>
  <c r="M209" i="61"/>
  <c r="G210" i="61"/>
  <c r="I210" i="61"/>
  <c r="J210" i="61"/>
  <c r="M210" i="61"/>
  <c r="G211" i="61"/>
  <c r="I211" i="61"/>
  <c r="J211" i="61"/>
  <c r="M211" i="61"/>
  <c r="G212" i="61"/>
  <c r="I212" i="61"/>
  <c r="J212" i="61"/>
  <c r="M212" i="61"/>
  <c r="G213" i="61"/>
  <c r="I213" i="61"/>
  <c r="J213" i="61"/>
  <c r="M213" i="61"/>
  <c r="G214" i="61"/>
  <c r="I214" i="61"/>
  <c r="J214" i="61"/>
  <c r="M214" i="61"/>
  <c r="N144" i="61"/>
  <c r="J144" i="61"/>
  <c r="M144" i="61"/>
  <c r="G144" i="61"/>
  <c r="I144" i="61"/>
  <c r="N77" i="61"/>
  <c r="J77" i="61"/>
  <c r="M77" i="61"/>
  <c r="G77" i="61"/>
  <c r="I77" i="61"/>
  <c r="N76" i="61"/>
  <c r="J76" i="61"/>
  <c r="M76" i="61"/>
  <c r="G76" i="61"/>
  <c r="I76" i="61"/>
  <c r="N41" i="61"/>
  <c r="J41" i="61"/>
  <c r="M41" i="61"/>
  <c r="G41" i="61"/>
  <c r="I41" i="61"/>
  <c r="N40" i="61"/>
  <c r="J40" i="61"/>
  <c r="I40" i="61"/>
  <c r="G40" i="61"/>
  <c r="N34" i="61"/>
  <c r="J34" i="61"/>
  <c r="M34" i="61"/>
  <c r="G34" i="61"/>
  <c r="I34" i="61"/>
  <c r="N33" i="61"/>
  <c r="J33" i="61"/>
  <c r="M33" i="61"/>
  <c r="G33" i="61"/>
  <c r="I33" i="61"/>
  <c r="N32" i="61"/>
  <c r="J32" i="61"/>
  <c r="M32" i="61"/>
  <c r="G32" i="61"/>
  <c r="I32" i="61"/>
  <c r="N31" i="61"/>
  <c r="J31" i="61"/>
  <c r="M31" i="61"/>
  <c r="G31" i="61"/>
  <c r="I31" i="61"/>
  <c r="E37" i="61"/>
  <c r="E86" i="4"/>
  <c r="M86" i="4"/>
  <c r="A126" i="15"/>
  <c r="A125" i="15"/>
  <c r="A118" i="15"/>
  <c r="A105" i="15"/>
  <c r="A106" i="15"/>
  <c r="A107" i="15"/>
  <c r="A108" i="15"/>
  <c r="A109" i="15"/>
  <c r="A110" i="15"/>
  <c r="A111" i="15"/>
  <c r="A104" i="15"/>
  <c r="A83" i="15"/>
  <c r="A84" i="15"/>
  <c r="A85" i="15"/>
  <c r="A86" i="15"/>
  <c r="A87" i="15"/>
  <c r="A82" i="15"/>
  <c r="A62" i="15"/>
  <c r="A63" i="15"/>
  <c r="A64" i="15"/>
  <c r="A65" i="15"/>
  <c r="A61" i="15"/>
  <c r="A54" i="15"/>
  <c r="A33" i="15"/>
  <c r="A34" i="15"/>
  <c r="A35" i="15"/>
  <c r="A36" i="15"/>
  <c r="A37" i="15"/>
  <c r="A38" i="15"/>
  <c r="A39" i="15"/>
  <c r="A40" i="15"/>
  <c r="A41" i="15"/>
  <c r="A42" i="15"/>
  <c r="A43" i="15"/>
  <c r="A44" i="15"/>
  <c r="A45" i="15"/>
  <c r="A46" i="15"/>
  <c r="A47" i="15"/>
  <c r="A32" i="15"/>
  <c r="D14" i="49"/>
  <c r="D15" i="49"/>
  <c r="D16" i="49"/>
  <c r="D17" i="49"/>
  <c r="D18" i="49"/>
  <c r="D19" i="49"/>
  <c r="D20" i="49"/>
  <c r="D21" i="49"/>
  <c r="D22" i="49"/>
  <c r="D23" i="49"/>
  <c r="D24" i="49"/>
  <c r="D25" i="49"/>
  <c r="D13" i="49"/>
  <c r="F86" i="4"/>
  <c r="G86" i="4"/>
  <c r="H86" i="4"/>
  <c r="I86" i="4"/>
  <c r="J86" i="4"/>
  <c r="K86" i="4"/>
  <c r="L86" i="4"/>
  <c r="E110" i="15"/>
  <c r="E109" i="15"/>
  <c r="E108" i="15"/>
  <c r="E107" i="15"/>
  <c r="E106" i="15"/>
  <c r="H106" i="15"/>
  <c r="E105" i="15"/>
  <c r="G105" i="15"/>
  <c r="F104" i="15"/>
  <c r="E103" i="15"/>
  <c r="G46" i="15"/>
  <c r="E45" i="15"/>
  <c r="E44" i="15"/>
  <c r="E43" i="15"/>
  <c r="E42" i="15"/>
  <c r="H42" i="15"/>
  <c r="E41" i="15"/>
  <c r="E40" i="15"/>
  <c r="E39" i="15"/>
  <c r="E38" i="15"/>
  <c r="H38" i="15"/>
  <c r="G37" i="15"/>
  <c r="E37" i="15"/>
  <c r="E36" i="15"/>
  <c r="H36" i="15"/>
  <c r="H35" i="15"/>
  <c r="E35" i="15"/>
  <c r="E34" i="15"/>
  <c r="H34" i="15"/>
  <c r="G33" i="15"/>
  <c r="E33" i="15"/>
  <c r="E32" i="15"/>
  <c r="H32" i="15"/>
  <c r="G31" i="15"/>
  <c r="E31" i="15"/>
  <c r="D35" i="54"/>
  <c r="E35" i="54"/>
  <c r="D13" i="15"/>
  <c r="I89" i="65"/>
  <c r="H89" i="65"/>
  <c r="G89" i="65"/>
  <c r="F89" i="65"/>
  <c r="E89" i="65"/>
  <c r="D89" i="65"/>
  <c r="C89" i="65"/>
  <c r="A184" i="71"/>
  <c r="A185" i="71"/>
  <c r="A186" i="71"/>
  <c r="E20" i="71"/>
  <c r="D20" i="71"/>
  <c r="F20" i="71"/>
  <c r="F37" i="11"/>
  <c r="G20" i="71"/>
  <c r="G37" i="11"/>
  <c r="E37" i="11"/>
  <c r="H37" i="11"/>
  <c r="G19" i="71"/>
  <c r="G18" i="71"/>
  <c r="H36" i="11"/>
  <c r="H361" i="11"/>
  <c r="G361" i="11"/>
  <c r="H360" i="11"/>
  <c r="G360" i="11"/>
  <c r="H359" i="11"/>
  <c r="G359" i="11"/>
  <c r="H358" i="11"/>
  <c r="G358" i="11"/>
  <c r="H357" i="11"/>
  <c r="G357" i="11"/>
  <c r="H356" i="11"/>
  <c r="G356" i="11"/>
  <c r="H355" i="11"/>
  <c r="G355" i="11"/>
  <c r="H354" i="11"/>
  <c r="G354" i="11"/>
  <c r="H353" i="11"/>
  <c r="G353" i="11"/>
  <c r="H352" i="11"/>
  <c r="G352" i="11"/>
  <c r="H351" i="11"/>
  <c r="G351" i="11"/>
  <c r="H350" i="11"/>
  <c r="G350" i="11"/>
  <c r="H349" i="11"/>
  <c r="G349" i="11"/>
  <c r="E36" i="11"/>
  <c r="K453" i="49"/>
  <c r="K454" i="49"/>
  <c r="K455" i="49"/>
  <c r="K456" i="49"/>
  <c r="K457" i="49"/>
  <c r="K458" i="49"/>
  <c r="K459" i="49"/>
  <c r="K460" i="49"/>
  <c r="K461" i="49"/>
  <c r="K462" i="49"/>
  <c r="K463" i="49"/>
  <c r="K464" i="49"/>
  <c r="K465" i="49"/>
  <c r="K466" i="49"/>
  <c r="K467" i="49"/>
  <c r="K468" i="49"/>
  <c r="K469" i="49"/>
  <c r="K470" i="49"/>
  <c r="K471" i="49"/>
  <c r="K472" i="49"/>
  <c r="K473" i="49"/>
  <c r="K474" i="49"/>
  <c r="K475" i="49"/>
  <c r="K452" i="49"/>
  <c r="J418" i="49"/>
  <c r="I475" i="49"/>
  <c r="E475" i="49"/>
  <c r="F475" i="49"/>
  <c r="I474" i="49"/>
  <c r="E474" i="49"/>
  <c r="F474" i="49"/>
  <c r="I473" i="49"/>
  <c r="E473" i="49"/>
  <c r="F473" i="49"/>
  <c r="I472" i="49"/>
  <c r="E472" i="49"/>
  <c r="F472" i="49"/>
  <c r="I471" i="49"/>
  <c r="E471" i="49"/>
  <c r="F471" i="49"/>
  <c r="I470" i="49"/>
  <c r="E470" i="49"/>
  <c r="F470" i="49"/>
  <c r="I469" i="49"/>
  <c r="E469" i="49"/>
  <c r="F469" i="49"/>
  <c r="I468" i="49"/>
  <c r="E468" i="49"/>
  <c r="F468" i="49"/>
  <c r="I467" i="49"/>
  <c r="E467" i="49"/>
  <c r="F467" i="49"/>
  <c r="I466" i="49"/>
  <c r="E466" i="49"/>
  <c r="F466" i="49"/>
  <c r="I465" i="49"/>
  <c r="E465" i="49"/>
  <c r="F465" i="49"/>
  <c r="I464" i="49"/>
  <c r="E464" i="49"/>
  <c r="F464" i="49"/>
  <c r="I463" i="49"/>
  <c r="E463" i="49"/>
  <c r="F463" i="49"/>
  <c r="I462" i="49"/>
  <c r="E462" i="49"/>
  <c r="F462" i="49"/>
  <c r="I461" i="49"/>
  <c r="E461" i="49"/>
  <c r="F461" i="49"/>
  <c r="I460" i="49"/>
  <c r="E460" i="49"/>
  <c r="F460" i="49"/>
  <c r="I459" i="49"/>
  <c r="E459" i="49"/>
  <c r="F459" i="49"/>
  <c r="I458" i="49"/>
  <c r="E458" i="49"/>
  <c r="F458" i="49"/>
  <c r="I457" i="49"/>
  <c r="E457" i="49"/>
  <c r="F457" i="49"/>
  <c r="I456" i="49"/>
  <c r="E456" i="49"/>
  <c r="F456" i="49"/>
  <c r="I455" i="49"/>
  <c r="E455" i="49"/>
  <c r="F455" i="49"/>
  <c r="I454" i="49"/>
  <c r="E454" i="49"/>
  <c r="F454" i="49"/>
  <c r="I453" i="49"/>
  <c r="E453" i="49"/>
  <c r="F453" i="49"/>
  <c r="I452" i="49"/>
  <c r="E452" i="49"/>
  <c r="F452" i="49"/>
  <c r="J452" i="49"/>
  <c r="K450" i="49"/>
  <c r="J450" i="49"/>
  <c r="I450" i="49"/>
  <c r="H450" i="49"/>
  <c r="F450" i="49"/>
  <c r="E450" i="49"/>
  <c r="D450" i="49"/>
  <c r="K449" i="49"/>
  <c r="J449" i="49"/>
  <c r="I449" i="49"/>
  <c r="H449" i="49"/>
  <c r="F449" i="49"/>
  <c r="E449" i="49"/>
  <c r="D449" i="49"/>
  <c r="J453" i="49"/>
  <c r="J454" i="49"/>
  <c r="J455" i="49"/>
  <c r="J456" i="49"/>
  <c r="J457" i="49"/>
  <c r="J458" i="49"/>
  <c r="J459" i="49"/>
  <c r="J460" i="49"/>
  <c r="J461" i="49"/>
  <c r="J462" i="49"/>
  <c r="J463" i="49"/>
  <c r="J464" i="49"/>
  <c r="J465" i="49"/>
  <c r="J466" i="49"/>
  <c r="J467" i="49"/>
  <c r="J468" i="49"/>
  <c r="J469" i="49"/>
  <c r="J470" i="49"/>
  <c r="J471" i="49"/>
  <c r="J472" i="49"/>
  <c r="J473" i="49"/>
  <c r="J474" i="49"/>
  <c r="J475" i="49"/>
  <c r="K476" i="49"/>
  <c r="I46" i="49"/>
  <c r="F36" i="11"/>
  <c r="D74" i="49"/>
  <c r="L147" i="61"/>
  <c r="L80" i="61"/>
  <c r="G77" i="48"/>
  <c r="H77" i="48"/>
  <c r="I77" i="48"/>
  <c r="J77" i="48"/>
  <c r="J14" i="48"/>
  <c r="G78" i="48"/>
  <c r="G79" i="48"/>
  <c r="H79" i="48"/>
  <c r="H16" i="48"/>
  <c r="G80" i="48"/>
  <c r="G81" i="48"/>
  <c r="H81" i="48"/>
  <c r="I81" i="48"/>
  <c r="J81" i="48"/>
  <c r="J18" i="48"/>
  <c r="G82" i="48"/>
  <c r="H82" i="48"/>
  <c r="I82" i="48"/>
  <c r="J82" i="48"/>
  <c r="J19" i="48"/>
  <c r="G83" i="48"/>
  <c r="G84" i="48"/>
  <c r="H84" i="48"/>
  <c r="I84" i="48"/>
  <c r="J84" i="48"/>
  <c r="J21" i="48"/>
  <c r="G85" i="48"/>
  <c r="H85" i="48"/>
  <c r="I85" i="48"/>
  <c r="J85" i="48"/>
  <c r="J22" i="48"/>
  <c r="G86" i="48"/>
  <c r="G87" i="48"/>
  <c r="G88" i="48"/>
  <c r="H88" i="48"/>
  <c r="G89" i="48"/>
  <c r="H89" i="48"/>
  <c r="H26" i="48"/>
  <c r="G90" i="48"/>
  <c r="H90" i="48"/>
  <c r="I90" i="48"/>
  <c r="J90" i="48"/>
  <c r="J27" i="48"/>
  <c r="G91" i="48"/>
  <c r="G92" i="48"/>
  <c r="H92" i="48"/>
  <c r="I92" i="48"/>
  <c r="J92" i="48"/>
  <c r="J29" i="48"/>
  <c r="G93" i="48"/>
  <c r="H93" i="48"/>
  <c r="I93" i="48"/>
  <c r="J93" i="48"/>
  <c r="J30" i="48"/>
  <c r="G94" i="48"/>
  <c r="H94" i="48"/>
  <c r="H31" i="48"/>
  <c r="G95" i="48"/>
  <c r="G96" i="48"/>
  <c r="H96" i="48"/>
  <c r="G97" i="48"/>
  <c r="H97" i="48"/>
  <c r="I97" i="48"/>
  <c r="J97" i="48"/>
  <c r="J34" i="48"/>
  <c r="G98" i="48"/>
  <c r="H98" i="48"/>
  <c r="I98" i="48"/>
  <c r="J98" i="48"/>
  <c r="J35" i="48"/>
  <c r="G99" i="48"/>
  <c r="H80" i="48"/>
  <c r="I80" i="48"/>
  <c r="J80" i="48"/>
  <c r="J17" i="48"/>
  <c r="H83" i="48"/>
  <c r="I83" i="48"/>
  <c r="J83" i="48"/>
  <c r="J20" i="48"/>
  <c r="H91" i="48"/>
  <c r="I91" i="48"/>
  <c r="H99" i="48"/>
  <c r="I99" i="48"/>
  <c r="H29" i="48"/>
  <c r="H21" i="48"/>
  <c r="I22" i="48"/>
  <c r="H20" i="48"/>
  <c r="I30" i="48"/>
  <c r="I14" i="48"/>
  <c r="I96" i="48"/>
  <c r="H33" i="48"/>
  <c r="J91" i="48"/>
  <c r="J28" i="48"/>
  <c r="I28" i="48"/>
  <c r="I88" i="48"/>
  <c r="H25" i="48"/>
  <c r="J99" i="48"/>
  <c r="J36" i="48"/>
  <c r="I36" i="48"/>
  <c r="I17" i="48"/>
  <c r="H30" i="48"/>
  <c r="H22" i="48"/>
  <c r="H14" i="48"/>
  <c r="I29" i="48"/>
  <c r="H36" i="48"/>
  <c r="I20" i="48"/>
  <c r="H35" i="48"/>
  <c r="H27" i="48"/>
  <c r="H19" i="48"/>
  <c r="I21" i="48"/>
  <c r="H28" i="48"/>
  <c r="I35" i="48"/>
  <c r="I27" i="48"/>
  <c r="I19" i="48"/>
  <c r="H34" i="48"/>
  <c r="H18" i="48"/>
  <c r="I34" i="48"/>
  <c r="I18" i="48"/>
  <c r="H17" i="48"/>
  <c r="H95" i="48"/>
  <c r="H32" i="48"/>
  <c r="H86" i="48"/>
  <c r="H23" i="48"/>
  <c r="H78" i="48"/>
  <c r="I79" i="48"/>
  <c r="H87" i="48"/>
  <c r="H24" i="48"/>
  <c r="I94" i="48"/>
  <c r="I89" i="48"/>
  <c r="I86" i="48"/>
  <c r="J86" i="48"/>
  <c r="J23" i="48"/>
  <c r="I23" i="48"/>
  <c r="J88" i="48"/>
  <c r="J25" i="48"/>
  <c r="I25" i="48"/>
  <c r="J94" i="48"/>
  <c r="J31" i="48"/>
  <c r="I31" i="48"/>
  <c r="J79" i="48"/>
  <c r="J16" i="48"/>
  <c r="I16" i="48"/>
  <c r="I87" i="48"/>
  <c r="I78" i="48"/>
  <c r="H15" i="48"/>
  <c r="J89" i="48"/>
  <c r="J26" i="48"/>
  <c r="I26" i="48"/>
  <c r="I95" i="48"/>
  <c r="J96" i="48"/>
  <c r="J33" i="48"/>
  <c r="I33" i="48"/>
  <c r="J95" i="48"/>
  <c r="J32" i="48"/>
  <c r="I32" i="48"/>
  <c r="J78" i="48"/>
  <c r="J15" i="48"/>
  <c r="I15" i="48"/>
  <c r="J87" i="48"/>
  <c r="J24" i="48"/>
  <c r="I24" i="48"/>
  <c r="M76" i="48"/>
  <c r="H46" i="49"/>
  <c r="N170" i="61"/>
  <c r="N171" i="61"/>
  <c r="N172" i="61"/>
  <c r="F25" i="65"/>
  <c r="H24" i="65"/>
  <c r="J24" i="65"/>
  <c r="L24" i="65"/>
  <c r="N30" i="61"/>
  <c r="J30" i="61"/>
  <c r="M30" i="61"/>
  <c r="G30" i="61"/>
  <c r="I30" i="61"/>
  <c r="L217" i="61"/>
  <c r="E217" i="61"/>
  <c r="J172" i="61"/>
  <c r="M172" i="61"/>
  <c r="G172" i="61"/>
  <c r="I172" i="61"/>
  <c r="J171" i="61"/>
  <c r="M171" i="61"/>
  <c r="G171" i="61"/>
  <c r="I171" i="61"/>
  <c r="J170" i="61"/>
  <c r="M170" i="61"/>
  <c r="G170" i="61"/>
  <c r="I170" i="61"/>
  <c r="J75" i="61"/>
  <c r="G75" i="61"/>
  <c r="I75" i="61"/>
  <c r="N143" i="61"/>
  <c r="N142" i="61"/>
  <c r="N141" i="61"/>
  <c r="N140" i="61"/>
  <c r="J143" i="61"/>
  <c r="M143" i="61"/>
  <c r="G143" i="61"/>
  <c r="I143" i="61"/>
  <c r="J142" i="61"/>
  <c r="M142" i="61"/>
  <c r="G142" i="61"/>
  <c r="I142" i="61"/>
  <c r="J141" i="61"/>
  <c r="M141" i="61"/>
  <c r="G141" i="61"/>
  <c r="I141" i="61"/>
  <c r="J140" i="61"/>
  <c r="M140" i="61"/>
  <c r="G140" i="61"/>
  <c r="I140" i="61"/>
  <c r="N75" i="61"/>
  <c r="M75" i="61"/>
  <c r="N74" i="61"/>
  <c r="J74" i="61"/>
  <c r="M74" i="61"/>
  <c r="G74" i="61"/>
  <c r="I74" i="61"/>
  <c r="N29" i="61"/>
  <c r="N28" i="61"/>
  <c r="G27" i="61"/>
  <c r="J29" i="61"/>
  <c r="M29" i="61"/>
  <c r="G29" i="61"/>
  <c r="I29" i="61"/>
  <c r="J28" i="61"/>
  <c r="M28" i="61"/>
  <c r="G28" i="61"/>
  <c r="I28" i="61"/>
  <c r="N205" i="61"/>
  <c r="N204" i="61"/>
  <c r="G204" i="61"/>
  <c r="I204" i="61"/>
  <c r="J204" i="61"/>
  <c r="M204" i="61"/>
  <c r="G205" i="61"/>
  <c r="I205" i="61"/>
  <c r="J205" i="61"/>
  <c r="M205" i="61"/>
  <c r="E41" i="30"/>
  <c r="F68" i="15"/>
  <c r="G68" i="15"/>
  <c r="H68" i="15"/>
  <c r="D68" i="15"/>
  <c r="D120" i="15"/>
  <c r="H342" i="11"/>
  <c r="G342" i="11"/>
  <c r="H341" i="11"/>
  <c r="G341" i="11"/>
  <c r="H340" i="11"/>
  <c r="G340" i="11"/>
  <c r="H339" i="11"/>
  <c r="G339" i="11"/>
  <c r="H338" i="11"/>
  <c r="G338" i="11"/>
  <c r="H337" i="11"/>
  <c r="G337" i="11"/>
  <c r="H336" i="11"/>
  <c r="G336" i="11"/>
  <c r="H335" i="11"/>
  <c r="G335" i="11"/>
  <c r="H334" i="11"/>
  <c r="G334" i="11"/>
  <c r="H333" i="11"/>
  <c r="G333" i="11"/>
  <c r="H332" i="11"/>
  <c r="G332" i="11"/>
  <c r="H331" i="11"/>
  <c r="G331" i="11"/>
  <c r="H330" i="11"/>
  <c r="G330" i="11"/>
  <c r="H78" i="49"/>
  <c r="G78" i="49"/>
  <c r="D78" i="49"/>
  <c r="H77" i="49"/>
  <c r="G77" i="49"/>
  <c r="D77" i="49"/>
  <c r="H76" i="49"/>
  <c r="G76" i="49"/>
  <c r="D76" i="49"/>
  <c r="H75" i="49"/>
  <c r="G75" i="49"/>
  <c r="D75" i="49"/>
  <c r="H74" i="49"/>
  <c r="G74" i="49"/>
  <c r="H73" i="49"/>
  <c r="G73" i="49"/>
  <c r="D73" i="49"/>
  <c r="H72" i="49"/>
  <c r="G72" i="49"/>
  <c r="D72" i="49"/>
  <c r="H71" i="49"/>
  <c r="G71" i="49"/>
  <c r="D71" i="49"/>
  <c r="H70" i="49"/>
  <c r="G70" i="49"/>
  <c r="D70" i="49"/>
  <c r="H69" i="49"/>
  <c r="G69" i="49"/>
  <c r="D69" i="49"/>
  <c r="H68" i="49"/>
  <c r="G68" i="49"/>
  <c r="D68" i="49"/>
  <c r="H67" i="49"/>
  <c r="G67" i="49"/>
  <c r="D67" i="49"/>
  <c r="H66" i="49"/>
  <c r="G66" i="49"/>
  <c r="D66" i="49"/>
  <c r="H65" i="49"/>
  <c r="G65" i="49"/>
  <c r="D65" i="49"/>
  <c r="H64" i="49"/>
  <c r="G64" i="49"/>
  <c r="D64" i="49"/>
  <c r="H63" i="49"/>
  <c r="G63" i="49"/>
  <c r="D63" i="49"/>
  <c r="H62" i="49"/>
  <c r="G62" i="49"/>
  <c r="D62" i="49"/>
  <c r="H61" i="49"/>
  <c r="G61" i="49"/>
  <c r="D61" i="49"/>
  <c r="H60" i="49"/>
  <c r="G60" i="49"/>
  <c r="D60" i="49"/>
  <c r="H59" i="49"/>
  <c r="G59" i="49"/>
  <c r="D59" i="49"/>
  <c r="H58" i="49"/>
  <c r="G58" i="49"/>
  <c r="D58" i="49"/>
  <c r="H57" i="49"/>
  <c r="G57" i="49"/>
  <c r="D57" i="49"/>
  <c r="H56" i="49"/>
  <c r="G56" i="49"/>
  <c r="D56" i="49"/>
  <c r="H55" i="49"/>
  <c r="G55" i="49"/>
  <c r="D55" i="49"/>
  <c r="H47" i="83"/>
  <c r="H46" i="83"/>
  <c r="H45" i="83"/>
  <c r="H44" i="83"/>
  <c r="H43" i="83"/>
  <c r="H42" i="83"/>
  <c r="H41" i="83"/>
  <c r="H40" i="83"/>
  <c r="H39" i="83"/>
  <c r="H38" i="83"/>
  <c r="H37" i="83"/>
  <c r="H36" i="83"/>
  <c r="H35" i="83"/>
  <c r="H34" i="83"/>
  <c r="E49" i="83"/>
  <c r="D49" i="83"/>
  <c r="F47" i="83"/>
  <c r="G47" i="83"/>
  <c r="I47" i="83"/>
  <c r="K44" i="84"/>
  <c r="F46" i="83"/>
  <c r="G46" i="83"/>
  <c r="I46" i="83"/>
  <c r="K43" i="84"/>
  <c r="F45" i="83"/>
  <c r="G45" i="83"/>
  <c r="I45" i="83"/>
  <c r="K42" i="84"/>
  <c r="M42" i="84"/>
  <c r="F44" i="83"/>
  <c r="G44" i="83"/>
  <c r="I44" i="83"/>
  <c r="K41" i="84"/>
  <c r="G43" i="83"/>
  <c r="I43" i="83"/>
  <c r="K40" i="84"/>
  <c r="F43" i="83"/>
  <c r="F42" i="83"/>
  <c r="G42" i="83"/>
  <c r="I42" i="83"/>
  <c r="K39" i="84"/>
  <c r="F41" i="83"/>
  <c r="G41" i="83"/>
  <c r="I41" i="83"/>
  <c r="K38" i="84"/>
  <c r="F40" i="83"/>
  <c r="G40" i="83"/>
  <c r="I40" i="83"/>
  <c r="K37" i="84"/>
  <c r="F39" i="83"/>
  <c r="G39" i="83"/>
  <c r="I39" i="83"/>
  <c r="K36" i="84"/>
  <c r="F38" i="83"/>
  <c r="G38" i="83"/>
  <c r="I38" i="83"/>
  <c r="K35" i="84"/>
  <c r="F37" i="83"/>
  <c r="G37" i="83"/>
  <c r="I37" i="83"/>
  <c r="K34" i="84"/>
  <c r="F36" i="83"/>
  <c r="G36" i="83"/>
  <c r="I36" i="83"/>
  <c r="K33" i="84"/>
  <c r="F35" i="83"/>
  <c r="G35" i="83"/>
  <c r="I35" i="83"/>
  <c r="K32" i="84"/>
  <c r="H49" i="83"/>
  <c r="G34" i="83"/>
  <c r="F34" i="83"/>
  <c r="A34" i="83"/>
  <c r="A35" i="83"/>
  <c r="A36" i="83"/>
  <c r="A37" i="83"/>
  <c r="A38" i="83"/>
  <c r="A39" i="83"/>
  <c r="A40" i="83"/>
  <c r="A41" i="83"/>
  <c r="A42" i="83"/>
  <c r="A43" i="83"/>
  <c r="A44" i="83"/>
  <c r="A45" i="83"/>
  <c r="A46" i="83"/>
  <c r="A47" i="83"/>
  <c r="A48" i="83"/>
  <c r="G29" i="83"/>
  <c r="F29" i="83"/>
  <c r="E27" i="83"/>
  <c r="E31" i="83"/>
  <c r="E51" i="83"/>
  <c r="D27" i="83"/>
  <c r="D31" i="83"/>
  <c r="D51" i="83"/>
  <c r="G25" i="83"/>
  <c r="F25" i="83"/>
  <c r="G24" i="83"/>
  <c r="F24" i="83"/>
  <c r="G23" i="83"/>
  <c r="F23" i="83"/>
  <c r="F22" i="83"/>
  <c r="G22" i="83"/>
  <c r="G21" i="83"/>
  <c r="F21" i="83"/>
  <c r="F20" i="83"/>
  <c r="A20" i="83"/>
  <c r="A21" i="83"/>
  <c r="A22" i="83"/>
  <c r="A23" i="83"/>
  <c r="A24" i="83"/>
  <c r="A25" i="83"/>
  <c r="A26" i="83"/>
  <c r="E17" i="83"/>
  <c r="D17" i="83"/>
  <c r="F15" i="83"/>
  <c r="G15" i="83"/>
  <c r="G14" i="83"/>
  <c r="F14" i="83"/>
  <c r="F13" i="83"/>
  <c r="G13" i="83"/>
  <c r="F12" i="83"/>
  <c r="G12" i="83"/>
  <c r="A12" i="83"/>
  <c r="A13" i="83"/>
  <c r="A14" i="83"/>
  <c r="A15" i="83"/>
  <c r="A16" i="83"/>
  <c r="I46" i="84"/>
  <c r="H46" i="84"/>
  <c r="G46" i="84"/>
  <c r="F46" i="84"/>
  <c r="E46" i="84"/>
  <c r="D46" i="84"/>
  <c r="J45" i="84"/>
  <c r="J44" i="84"/>
  <c r="M44" i="84"/>
  <c r="L43" i="84"/>
  <c r="J43" i="84"/>
  <c r="M43" i="84"/>
  <c r="J42" i="84"/>
  <c r="J41" i="84"/>
  <c r="J40" i="84"/>
  <c r="M40" i="84"/>
  <c r="J39" i="84"/>
  <c r="L38" i="84"/>
  <c r="J38" i="84"/>
  <c r="M38" i="84"/>
  <c r="J37" i="84"/>
  <c r="M37" i="84"/>
  <c r="J36" i="84"/>
  <c r="J35" i="84"/>
  <c r="M34" i="84"/>
  <c r="L34" i="84"/>
  <c r="J34" i="84"/>
  <c r="J33" i="84"/>
  <c r="J32" i="84"/>
  <c r="J31" i="84"/>
  <c r="A31" i="84"/>
  <c r="A32" i="84"/>
  <c r="A33" i="84"/>
  <c r="A34" i="84"/>
  <c r="A35" i="84"/>
  <c r="A36" i="84"/>
  <c r="A37" i="84"/>
  <c r="A38" i="84"/>
  <c r="A39" i="84"/>
  <c r="A40" i="84"/>
  <c r="A41" i="84"/>
  <c r="A42" i="84"/>
  <c r="A43" i="84"/>
  <c r="A44" i="84"/>
  <c r="A45" i="84"/>
  <c r="J26" i="84"/>
  <c r="H29" i="83"/>
  <c r="I24" i="84"/>
  <c r="H24" i="84"/>
  <c r="G24" i="84"/>
  <c r="F24" i="84"/>
  <c r="E24" i="84"/>
  <c r="D24" i="84"/>
  <c r="J23" i="84"/>
  <c r="J22" i="84"/>
  <c r="H25" i="83"/>
  <c r="J21" i="84"/>
  <c r="H24" i="83"/>
  <c r="J20" i="84"/>
  <c r="J19" i="84"/>
  <c r="H22" i="83"/>
  <c r="J18" i="84"/>
  <c r="H21" i="83"/>
  <c r="J17" i="84"/>
  <c r="H20" i="83"/>
  <c r="A17" i="84"/>
  <c r="A18" i="84"/>
  <c r="A19" i="84"/>
  <c r="A20" i="84"/>
  <c r="A21" i="84"/>
  <c r="A22" i="84"/>
  <c r="A23" i="84"/>
  <c r="I14" i="84"/>
  <c r="H14" i="84"/>
  <c r="G14" i="84"/>
  <c r="F14" i="84"/>
  <c r="F28" i="84"/>
  <c r="F48" i="84"/>
  <c r="E14" i="84"/>
  <c r="D14" i="84"/>
  <c r="J13" i="84"/>
  <c r="J12" i="84"/>
  <c r="H15" i="83"/>
  <c r="J11" i="84"/>
  <c r="H14" i="83"/>
  <c r="J10" i="84"/>
  <c r="H13" i="83"/>
  <c r="J9" i="84"/>
  <c r="H12" i="83"/>
  <c r="A9" i="84"/>
  <c r="A10" i="84"/>
  <c r="A11" i="84"/>
  <c r="A12" i="84"/>
  <c r="A13" i="84"/>
  <c r="H17" i="83"/>
  <c r="M35" i="84"/>
  <c r="L42" i="84"/>
  <c r="I22" i="83"/>
  <c r="K19" i="84"/>
  <c r="I24" i="83"/>
  <c r="K21" i="84"/>
  <c r="I15" i="83"/>
  <c r="K12" i="84"/>
  <c r="M12" i="84"/>
  <c r="I29" i="83"/>
  <c r="K26" i="84"/>
  <c r="H23" i="83"/>
  <c r="H27" i="83"/>
  <c r="H31" i="83"/>
  <c r="H51" i="83"/>
  <c r="I21" i="83"/>
  <c r="K18" i="84"/>
  <c r="M18" i="84"/>
  <c r="I25" i="83"/>
  <c r="K22" i="84"/>
  <c r="L22" i="84"/>
  <c r="I13" i="83"/>
  <c r="K10" i="84"/>
  <c r="D28" i="84"/>
  <c r="D48" i="84"/>
  <c r="I12" i="83"/>
  <c r="K9" i="84"/>
  <c r="M9" i="84"/>
  <c r="I14" i="83"/>
  <c r="K11" i="84"/>
  <c r="L11" i="84"/>
  <c r="M26" i="84"/>
  <c r="M39" i="84"/>
  <c r="M36" i="84"/>
  <c r="J46" i="84"/>
  <c r="M41" i="84"/>
  <c r="L39" i="84"/>
  <c r="M19" i="84"/>
  <c r="M32" i="84"/>
  <c r="L37" i="84"/>
  <c r="F27" i="83"/>
  <c r="F17" i="83"/>
  <c r="M33" i="84"/>
  <c r="F49" i="83"/>
  <c r="E28" i="84"/>
  <c r="E48" i="84"/>
  <c r="M10" i="84"/>
  <c r="J24" i="84"/>
  <c r="H28" i="84"/>
  <c r="H48" i="84"/>
  <c r="I28" i="84"/>
  <c r="I48" i="84"/>
  <c r="J14" i="84"/>
  <c r="L10" i="84"/>
  <c r="G28" i="84"/>
  <c r="G48" i="84"/>
  <c r="G49" i="83"/>
  <c r="G17" i="83"/>
  <c r="L26" i="84"/>
  <c r="L36" i="84"/>
  <c r="L44" i="84"/>
  <c r="G20" i="83"/>
  <c r="L19" i="84"/>
  <c r="L33" i="84"/>
  <c r="L41" i="84"/>
  <c r="I34" i="83"/>
  <c r="L35" i="84"/>
  <c r="L32" i="84"/>
  <c r="L40" i="84"/>
  <c r="L12" i="84"/>
  <c r="M22" i="84"/>
  <c r="M21" i="84"/>
  <c r="L21" i="84"/>
  <c r="L18" i="84"/>
  <c r="E49" i="84"/>
  <c r="I23" i="83"/>
  <c r="K20" i="84"/>
  <c r="L9" i="84"/>
  <c r="M11" i="84"/>
  <c r="K14" i="84"/>
  <c r="I17" i="83"/>
  <c r="I49" i="84"/>
  <c r="K107" i="1"/>
  <c r="F31" i="83"/>
  <c r="F51" i="83"/>
  <c r="J28" i="84"/>
  <c r="J48" i="84"/>
  <c r="M14" i="84"/>
  <c r="L14" i="84"/>
  <c r="I49" i="83"/>
  <c r="K31" i="84"/>
  <c r="I20" i="83"/>
  <c r="G27" i="83"/>
  <c r="G31" i="83"/>
  <c r="G51" i="83"/>
  <c r="L20" i="84"/>
  <c r="M20" i="84"/>
  <c r="L31" i="84"/>
  <c r="L46" i="84"/>
  <c r="K46" i="84"/>
  <c r="M31" i="84"/>
  <c r="M46" i="84"/>
  <c r="I27" i="83"/>
  <c r="I31" i="83"/>
  <c r="I51" i="83"/>
  <c r="K17" i="84"/>
  <c r="L17" i="84"/>
  <c r="L24" i="84"/>
  <c r="L28" i="84"/>
  <c r="L48" i="84"/>
  <c r="K24" i="84"/>
  <c r="K28" i="84"/>
  <c r="K48" i="84"/>
  <c r="M17" i="84"/>
  <c r="M24" i="84"/>
  <c r="M28" i="84"/>
  <c r="M48" i="84"/>
  <c r="M49" i="84"/>
  <c r="I82" i="65"/>
  <c r="I81" i="65"/>
  <c r="I80" i="65"/>
  <c r="I79" i="65"/>
  <c r="I78" i="65"/>
  <c r="I77" i="65"/>
  <c r="D32" i="57"/>
  <c r="E17" i="57"/>
  <c r="D17" i="57"/>
  <c r="C17" i="57"/>
  <c r="E16" i="57"/>
  <c r="C16" i="57"/>
  <c r="D16" i="57"/>
  <c r="E15" i="57"/>
  <c r="D15" i="57"/>
  <c r="D18" i="57"/>
  <c r="C15" i="57"/>
  <c r="E11" i="57"/>
  <c r="D11" i="57"/>
  <c r="E10" i="57"/>
  <c r="E12" i="57"/>
  <c r="D10" i="57"/>
  <c r="D12" i="57"/>
  <c r="C18" i="57"/>
  <c r="E18" i="57"/>
  <c r="C10" i="57"/>
  <c r="C12" i="57"/>
  <c r="C20" i="57"/>
  <c r="C11" i="57"/>
  <c r="D20" i="57"/>
  <c r="E20" i="57"/>
  <c r="D22" i="30"/>
  <c r="E37" i="4"/>
  <c r="D37" i="4"/>
  <c r="C37" i="4"/>
  <c r="M82" i="4"/>
  <c r="M85" i="4"/>
  <c r="M84" i="4"/>
  <c r="M83" i="4"/>
  <c r="M81" i="4"/>
  <c r="M80" i="4"/>
  <c r="M79" i="4"/>
  <c r="M78" i="4"/>
  <c r="M77" i="4"/>
  <c r="M76" i="4"/>
  <c r="M75" i="4"/>
  <c r="M74" i="4"/>
  <c r="E104" i="4"/>
  <c r="E103" i="4"/>
  <c r="E102" i="4"/>
  <c r="E101" i="4"/>
  <c r="E100" i="4"/>
  <c r="E99" i="4"/>
  <c r="E97" i="4"/>
  <c r="E96" i="4"/>
  <c r="E95" i="4"/>
  <c r="E94" i="4"/>
  <c r="E93" i="4"/>
  <c r="L103" i="4"/>
  <c r="L102" i="4"/>
  <c r="L101" i="4"/>
  <c r="L100" i="4"/>
  <c r="L99" i="4"/>
  <c r="L98" i="4"/>
  <c r="L97" i="4"/>
  <c r="L96" i="4"/>
  <c r="L95" i="4"/>
  <c r="L94" i="4"/>
  <c r="L93" i="4"/>
  <c r="K98" i="4"/>
  <c r="K103" i="4"/>
  <c r="K102" i="4"/>
  <c r="K101" i="4"/>
  <c r="K100" i="4"/>
  <c r="K99" i="4"/>
  <c r="K97" i="4"/>
  <c r="K96" i="4"/>
  <c r="K95" i="4"/>
  <c r="K94" i="4"/>
  <c r="K93" i="4"/>
  <c r="J103" i="4"/>
  <c r="J102" i="4"/>
  <c r="J101" i="4"/>
  <c r="J100" i="4"/>
  <c r="J99" i="4"/>
  <c r="J98" i="4"/>
  <c r="J96" i="4"/>
  <c r="J95" i="4"/>
  <c r="J94" i="4"/>
  <c r="J93" i="4"/>
  <c r="I103" i="4"/>
  <c r="I102" i="4"/>
  <c r="I101" i="4"/>
  <c r="I100" i="4"/>
  <c r="I99" i="4"/>
  <c r="I98" i="4"/>
  <c r="I97" i="4"/>
  <c r="I96" i="4"/>
  <c r="I95" i="4"/>
  <c r="I94" i="4"/>
  <c r="I93" i="4"/>
  <c r="H103" i="4"/>
  <c r="H102" i="4"/>
  <c r="H99" i="4"/>
  <c r="H101" i="4"/>
  <c r="H100" i="4"/>
  <c r="H98" i="4"/>
  <c r="H97" i="4"/>
  <c r="H96" i="4"/>
  <c r="H95" i="4"/>
  <c r="H94" i="4"/>
  <c r="H93" i="4"/>
  <c r="G97" i="4"/>
  <c r="G101" i="4"/>
  <c r="G103" i="4"/>
  <c r="G102" i="4"/>
  <c r="G100" i="4"/>
  <c r="G99" i="4"/>
  <c r="G98" i="4"/>
  <c r="G96" i="4"/>
  <c r="G95" i="4"/>
  <c r="G94" i="4"/>
  <c r="G93" i="4"/>
  <c r="F103" i="4"/>
  <c r="F102" i="4"/>
  <c r="F101" i="4"/>
  <c r="F100" i="4"/>
  <c r="F99" i="4"/>
  <c r="F98" i="4"/>
  <c r="F97" i="4"/>
  <c r="F96" i="4"/>
  <c r="F95" i="4"/>
  <c r="F94" i="4"/>
  <c r="F93" i="4"/>
  <c r="E98" i="4"/>
  <c r="D104" i="4"/>
  <c r="D103" i="4"/>
  <c r="D102" i="4"/>
  <c r="D101" i="4"/>
  <c r="D100" i="4"/>
  <c r="D99" i="4"/>
  <c r="D98" i="4"/>
  <c r="D97" i="4"/>
  <c r="D96" i="4"/>
  <c r="D95" i="4"/>
  <c r="D94" i="4"/>
  <c r="D93" i="4"/>
  <c r="C97" i="4"/>
  <c r="C101" i="4"/>
  <c r="C104" i="4"/>
  <c r="C103" i="4"/>
  <c r="C102" i="4"/>
  <c r="C100" i="4"/>
  <c r="C99" i="4"/>
  <c r="C98" i="4"/>
  <c r="C96" i="4"/>
  <c r="C95" i="4"/>
  <c r="C94" i="4"/>
  <c r="C93" i="4"/>
  <c r="L142" i="4"/>
  <c r="L141" i="4"/>
  <c r="L140" i="4"/>
  <c r="L139" i="4"/>
  <c r="L138" i="4"/>
  <c r="L137" i="4"/>
  <c r="L136" i="4"/>
  <c r="L135" i="4"/>
  <c r="L134" i="4"/>
  <c r="L133" i="4"/>
  <c r="L132" i="4"/>
  <c r="L131" i="4"/>
  <c r="K142" i="4"/>
  <c r="K141" i="4"/>
  <c r="K140" i="4"/>
  <c r="K139" i="4"/>
  <c r="K138" i="4"/>
  <c r="K137" i="4"/>
  <c r="K136" i="4"/>
  <c r="K135" i="4"/>
  <c r="K134" i="4"/>
  <c r="K133" i="4"/>
  <c r="K132" i="4"/>
  <c r="K131" i="4"/>
  <c r="J139" i="4"/>
  <c r="J142" i="4"/>
  <c r="J141" i="4"/>
  <c r="J140" i="4"/>
  <c r="J138" i="4"/>
  <c r="J137" i="4"/>
  <c r="J136" i="4"/>
  <c r="J135" i="4"/>
  <c r="J134" i="4"/>
  <c r="J133" i="4"/>
  <c r="J132" i="4"/>
  <c r="J131" i="4"/>
  <c r="I142" i="4"/>
  <c r="I141" i="4"/>
  <c r="I140" i="4"/>
  <c r="I139" i="4"/>
  <c r="I138" i="4"/>
  <c r="I137" i="4"/>
  <c r="I136" i="4"/>
  <c r="I135" i="4"/>
  <c r="I134" i="4"/>
  <c r="I133" i="4"/>
  <c r="I132" i="4"/>
  <c r="I131" i="4"/>
  <c r="I143" i="4"/>
  <c r="H142" i="4"/>
  <c r="H141" i="4"/>
  <c r="H140" i="4"/>
  <c r="H139" i="4"/>
  <c r="H138" i="4"/>
  <c r="H137" i="4"/>
  <c r="H136" i="4"/>
  <c r="H135" i="4"/>
  <c r="H134" i="4"/>
  <c r="H133" i="4"/>
  <c r="H132" i="4"/>
  <c r="H131" i="4"/>
  <c r="G141" i="4"/>
  <c r="G142" i="4"/>
  <c r="G140" i="4"/>
  <c r="G139" i="4"/>
  <c r="G138" i="4"/>
  <c r="G137" i="4"/>
  <c r="G136" i="4"/>
  <c r="G135" i="4"/>
  <c r="G134" i="4"/>
  <c r="G133" i="4"/>
  <c r="G132" i="4"/>
  <c r="G131" i="4"/>
  <c r="G143" i="4"/>
  <c r="D138" i="4"/>
  <c r="D142" i="4"/>
  <c r="E141" i="4"/>
  <c r="E142" i="4"/>
  <c r="E140" i="4"/>
  <c r="E139" i="4"/>
  <c r="E138" i="4"/>
  <c r="E137" i="4"/>
  <c r="E136" i="4"/>
  <c r="E135" i="4"/>
  <c r="E134" i="4"/>
  <c r="F138" i="4"/>
  <c r="F142" i="4"/>
  <c r="F141" i="4"/>
  <c r="F140" i="4"/>
  <c r="F139" i="4"/>
  <c r="F137" i="4"/>
  <c r="F136" i="4"/>
  <c r="F135" i="4"/>
  <c r="F134" i="4"/>
  <c r="F133" i="4"/>
  <c r="F132" i="4"/>
  <c r="F131" i="4"/>
  <c r="E133" i="4"/>
  <c r="E132" i="4"/>
  <c r="E131" i="4"/>
  <c r="D136" i="4"/>
  <c r="D141" i="4"/>
  <c r="D140" i="4"/>
  <c r="D139" i="4"/>
  <c r="D137" i="4"/>
  <c r="D135" i="4"/>
  <c r="D134" i="4"/>
  <c r="D133" i="4"/>
  <c r="D132" i="4"/>
  <c r="D131" i="4"/>
  <c r="C135" i="4"/>
  <c r="C140" i="4"/>
  <c r="C142" i="4"/>
  <c r="C141" i="4"/>
  <c r="M141" i="4"/>
  <c r="C139" i="4"/>
  <c r="C138" i="4"/>
  <c r="C137" i="4"/>
  <c r="C136" i="4"/>
  <c r="C134" i="4"/>
  <c r="C133" i="4"/>
  <c r="C132" i="4"/>
  <c r="C131" i="4"/>
  <c r="M134" i="4"/>
  <c r="M94" i="4"/>
  <c r="M95" i="4"/>
  <c r="M96" i="4"/>
  <c r="K143" i="4"/>
  <c r="M142" i="4"/>
  <c r="H143" i="4"/>
  <c r="J143" i="4"/>
  <c r="M137" i="4"/>
  <c r="M99" i="4"/>
  <c r="M136" i="4"/>
  <c r="M100" i="4"/>
  <c r="M139" i="4"/>
  <c r="D143" i="4"/>
  <c r="E143" i="4"/>
  <c r="M132" i="4"/>
  <c r="M135" i="4"/>
  <c r="E105" i="4"/>
  <c r="M131" i="4"/>
  <c r="C143" i="4"/>
  <c r="L143" i="4"/>
  <c r="M101" i="4"/>
  <c r="M133" i="4"/>
  <c r="M102" i="4"/>
  <c r="M138" i="4"/>
  <c r="M140" i="4"/>
  <c r="F143" i="4"/>
  <c r="M93" i="4"/>
  <c r="C105" i="4"/>
  <c r="M98" i="4"/>
  <c r="M103" i="4"/>
  <c r="D105" i="4"/>
  <c r="M124" i="4"/>
  <c r="M123" i="4"/>
  <c r="M122" i="4"/>
  <c r="M121" i="4"/>
  <c r="M120" i="4"/>
  <c r="M119" i="4"/>
  <c r="M118" i="4"/>
  <c r="M117" i="4"/>
  <c r="M116" i="4"/>
  <c r="M115" i="4"/>
  <c r="M114" i="4"/>
  <c r="M113" i="4"/>
  <c r="M112" i="4"/>
  <c r="M143" i="4"/>
  <c r="F120" i="15"/>
  <c r="E68" i="15"/>
  <c r="J43" i="82"/>
  <c r="J41" i="82"/>
  <c r="J40" i="82"/>
  <c r="J26" i="82"/>
  <c r="J10" i="82"/>
  <c r="J8" i="82"/>
  <c r="H65" i="72"/>
  <c r="L33" i="82"/>
  <c r="I50" i="72"/>
  <c r="L34" i="82"/>
  <c r="C26" i="72"/>
  <c r="L44" i="82"/>
  <c r="A26" i="72"/>
  <c r="J44" i="82"/>
  <c r="C24" i="72"/>
  <c r="L43" i="82"/>
  <c r="L45" i="82"/>
  <c r="K73" i="1"/>
  <c r="C22" i="72"/>
  <c r="L40" i="82"/>
  <c r="C20" i="72"/>
  <c r="L28" i="82"/>
  <c r="L42" i="82"/>
  <c r="C18" i="72"/>
  <c r="L27" i="82"/>
  <c r="A18" i="72"/>
  <c r="A20" i="72"/>
  <c r="J28" i="82"/>
  <c r="C16" i="72"/>
  <c r="L26" i="82"/>
  <c r="C14" i="72"/>
  <c r="L11" i="82"/>
  <c r="C12" i="72"/>
  <c r="L10" i="82"/>
  <c r="C10" i="72"/>
  <c r="L9" i="82"/>
  <c r="A10" i="72"/>
  <c r="A14" i="72"/>
  <c r="J11" i="82"/>
  <c r="C8" i="72"/>
  <c r="L8" i="82"/>
  <c r="L21" i="82"/>
  <c r="K64" i="1"/>
  <c r="A9" i="82"/>
  <c r="A11" i="82"/>
  <c r="A15" i="82"/>
  <c r="I63" i="1"/>
  <c r="J9" i="82"/>
  <c r="J27" i="82"/>
  <c r="L12" i="82"/>
  <c r="L29" i="82"/>
  <c r="K68" i="1"/>
  <c r="L35" i="82"/>
  <c r="K69" i="1"/>
  <c r="L41" i="82"/>
  <c r="A16" i="82"/>
  <c r="A17" i="82"/>
  <c r="A18" i="82"/>
  <c r="A19" i="82"/>
  <c r="I64" i="1"/>
  <c r="J21" i="82"/>
  <c r="J12" i="82"/>
  <c r="L37" i="82"/>
  <c r="K70" i="1"/>
  <c r="L23" i="82"/>
  <c r="K65" i="1"/>
  <c r="K63" i="1"/>
  <c r="J23" i="82"/>
  <c r="A23" i="82"/>
  <c r="A26" i="82"/>
  <c r="I41" i="82"/>
  <c r="I65" i="1"/>
  <c r="A27" i="82"/>
  <c r="A28" i="82"/>
  <c r="A29" i="82"/>
  <c r="I42" i="82"/>
  <c r="J29" i="82"/>
  <c r="B50" i="82"/>
  <c r="A32" i="82"/>
  <c r="A33" i="82"/>
  <c r="A34" i="82"/>
  <c r="A35" i="82"/>
  <c r="I69" i="1"/>
  <c r="I68" i="1"/>
  <c r="A37" i="82"/>
  <c r="J37" i="82"/>
  <c r="J35" i="82"/>
  <c r="A40" i="82"/>
  <c r="A41" i="82"/>
  <c r="A42" i="82"/>
  <c r="A43" i="82"/>
  <c r="A44" i="82"/>
  <c r="A45" i="82"/>
  <c r="I73" i="1"/>
  <c r="I70" i="1"/>
  <c r="J45" i="82"/>
  <c r="E80" i="61"/>
  <c r="N73" i="61"/>
  <c r="J73" i="61"/>
  <c r="M73" i="61"/>
  <c r="G73" i="61"/>
  <c r="I73" i="61"/>
  <c r="K21" i="46"/>
  <c r="K20" i="46"/>
  <c r="K19" i="46"/>
  <c r="K18" i="46"/>
  <c r="K17" i="46"/>
  <c r="K16" i="46"/>
  <c r="K15" i="46"/>
  <c r="K14" i="46"/>
  <c r="K13" i="46"/>
  <c r="K12" i="46"/>
  <c r="K22" i="46"/>
  <c r="K23" i="46"/>
  <c r="K24" i="46"/>
  <c r="K25" i="46"/>
  <c r="K26" i="46"/>
  <c r="K27" i="46"/>
  <c r="K28" i="46"/>
  <c r="K29" i="46"/>
  <c r="K30" i="46"/>
  <c r="K31" i="46"/>
  <c r="K32" i="46"/>
  <c r="K33" i="46"/>
  <c r="K34" i="46"/>
  <c r="K35" i="46"/>
  <c r="K36" i="46"/>
  <c r="K37" i="46"/>
  <c r="K38" i="46"/>
  <c r="K39" i="46"/>
  <c r="K40" i="46"/>
  <c r="K11" i="46"/>
  <c r="F8" i="42"/>
  <c r="E22" i="30"/>
  <c r="D53" i="2"/>
  <c r="D54" i="2"/>
  <c r="F115" i="46"/>
  <c r="A70" i="15"/>
  <c r="A71" i="15"/>
  <c r="A72" i="15"/>
  <c r="A75" i="15"/>
  <c r="E40" i="56"/>
  <c r="F36" i="56"/>
  <c r="I28" i="53"/>
  <c r="H28" i="53"/>
  <c r="G28" i="53"/>
  <c r="F28" i="53"/>
  <c r="E130" i="53"/>
  <c r="D130" i="53"/>
  <c r="C130" i="53"/>
  <c r="I43" i="46"/>
  <c r="E43" i="46"/>
  <c r="D43" i="46"/>
  <c r="C11" i="46"/>
  <c r="F129" i="15"/>
  <c r="G10" i="2"/>
  <c r="I34" i="44"/>
  <c r="H34" i="44"/>
  <c r="E147" i="61"/>
  <c r="N44" i="61"/>
  <c r="M44" i="61"/>
  <c r="L44" i="61"/>
  <c r="J44" i="61"/>
  <c r="I44" i="61"/>
  <c r="H44" i="61"/>
  <c r="G44" i="61"/>
  <c r="E44" i="61"/>
  <c r="L37" i="61"/>
  <c r="H37" i="61"/>
  <c r="E8" i="61"/>
  <c r="L8" i="61"/>
  <c r="H8" i="61"/>
  <c r="E229" i="61"/>
  <c r="E185" i="61"/>
  <c r="E180" i="61"/>
  <c r="E175" i="61"/>
  <c r="E71" i="26"/>
  <c r="F71" i="26"/>
  <c r="E64" i="26"/>
  <c r="E233" i="61"/>
  <c r="I58" i="46"/>
  <c r="E58" i="46"/>
  <c r="D58" i="46"/>
  <c r="G76" i="48"/>
  <c r="H76" i="48"/>
  <c r="J385" i="49"/>
  <c r="H84" i="64"/>
  <c r="P55" i="48"/>
  <c r="I37" i="79"/>
  <c r="G37" i="79"/>
  <c r="F69" i="22"/>
  <c r="F63" i="22"/>
  <c r="F23" i="22"/>
  <c r="E24" i="54"/>
  <c r="D24" i="54"/>
  <c r="E155" i="49"/>
  <c r="G46" i="49"/>
  <c r="F46" i="49"/>
  <c r="E46" i="49"/>
  <c r="D46" i="49"/>
  <c r="I26" i="49"/>
  <c r="H26" i="49"/>
  <c r="G26" i="49"/>
  <c r="F26" i="49"/>
  <c r="E26" i="49"/>
  <c r="D26" i="49"/>
  <c r="F35" i="21"/>
  <c r="E35" i="21"/>
  <c r="D35" i="21"/>
  <c r="G34" i="21"/>
  <c r="G33" i="21"/>
  <c r="N24" i="21"/>
  <c r="N12" i="21"/>
  <c r="E42" i="56"/>
  <c r="C40" i="56"/>
  <c r="C42" i="56"/>
  <c r="E26" i="56"/>
  <c r="E12" i="56"/>
  <c r="E17" i="56"/>
  <c r="C26" i="56"/>
  <c r="C12" i="56"/>
  <c r="C17" i="56"/>
  <c r="D66" i="65"/>
  <c r="G35" i="21"/>
  <c r="E28" i="56"/>
  <c r="C28" i="56"/>
  <c r="K110" i="1"/>
  <c r="K44" i="1"/>
  <c r="B45" i="53"/>
  <c r="G157" i="15"/>
  <c r="G158" i="15"/>
  <c r="G149" i="15"/>
  <c r="G150" i="15"/>
  <c r="H129" i="15"/>
  <c r="G129" i="15"/>
  <c r="D129" i="15"/>
  <c r="F131" i="15"/>
  <c r="H90" i="15"/>
  <c r="G90" i="15"/>
  <c r="D90" i="15"/>
  <c r="F56" i="15"/>
  <c r="D56" i="15"/>
  <c r="D70" i="15"/>
  <c r="H120" i="15"/>
  <c r="G56" i="15"/>
  <c r="F70" i="15"/>
  <c r="D131" i="15"/>
  <c r="H56" i="15"/>
  <c r="G120" i="15"/>
  <c r="E120" i="15"/>
  <c r="E56" i="15"/>
  <c r="I129" i="15"/>
  <c r="N180" i="61"/>
  <c r="M180" i="61"/>
  <c r="L180" i="61"/>
  <c r="J180" i="61"/>
  <c r="I180" i="61"/>
  <c r="H180" i="61"/>
  <c r="G180" i="61"/>
  <c r="L229" i="61"/>
  <c r="N226" i="61"/>
  <c r="N225" i="61"/>
  <c r="N224" i="61"/>
  <c r="N223" i="61"/>
  <c r="N222" i="61"/>
  <c r="J226" i="61"/>
  <c r="M226" i="61"/>
  <c r="J225" i="61"/>
  <c r="M225" i="61"/>
  <c r="J224" i="61"/>
  <c r="M224" i="61"/>
  <c r="J223" i="61"/>
  <c r="M223" i="61"/>
  <c r="J222" i="61"/>
  <c r="M222" i="61"/>
  <c r="H217" i="61"/>
  <c r="N98" i="61"/>
  <c r="N97" i="61"/>
  <c r="N96" i="61"/>
  <c r="N95" i="61"/>
  <c r="N94" i="61"/>
  <c r="N93" i="61"/>
  <c r="N91" i="61"/>
  <c r="N90" i="61"/>
  <c r="N89" i="61"/>
  <c r="N88" i="61"/>
  <c r="N87" i="61"/>
  <c r="N86" i="61"/>
  <c r="N85" i="61"/>
  <c r="N84" i="61"/>
  <c r="N83" i="61"/>
  <c r="J98" i="61"/>
  <c r="M98" i="61"/>
  <c r="J97" i="61"/>
  <c r="M97" i="61"/>
  <c r="J96" i="61"/>
  <c r="M96" i="61"/>
  <c r="J95" i="61"/>
  <c r="M95" i="61"/>
  <c r="J94" i="61"/>
  <c r="M94" i="61"/>
  <c r="J93" i="61"/>
  <c r="M93" i="61"/>
  <c r="J92" i="61"/>
  <c r="M92" i="61"/>
  <c r="J91" i="61"/>
  <c r="M91" i="61"/>
  <c r="J90" i="61"/>
  <c r="M90" i="61"/>
  <c r="J89" i="61"/>
  <c r="M89" i="61"/>
  <c r="J88" i="61"/>
  <c r="M88" i="61"/>
  <c r="J87" i="61"/>
  <c r="M87" i="61"/>
  <c r="J86" i="61"/>
  <c r="M86" i="61"/>
  <c r="J85" i="61"/>
  <c r="M85" i="61"/>
  <c r="J84" i="61"/>
  <c r="M84" i="61"/>
  <c r="J83" i="61"/>
  <c r="N169" i="61"/>
  <c r="N168" i="61"/>
  <c r="N167" i="61"/>
  <c r="N166" i="61"/>
  <c r="N165" i="61"/>
  <c r="N164" i="61"/>
  <c r="N163" i="61"/>
  <c r="N162" i="61"/>
  <c r="N161" i="61"/>
  <c r="N160" i="61"/>
  <c r="N159" i="61"/>
  <c r="N158" i="61"/>
  <c r="N157" i="61"/>
  <c r="N156" i="61"/>
  <c r="N155" i="61"/>
  <c r="N154" i="61"/>
  <c r="N153" i="61"/>
  <c r="N152" i="61"/>
  <c r="N151" i="61"/>
  <c r="N150" i="61"/>
  <c r="J169" i="61"/>
  <c r="M169" i="61"/>
  <c r="J168" i="61"/>
  <c r="M168" i="61"/>
  <c r="J167" i="61"/>
  <c r="M167" i="61"/>
  <c r="J166" i="61"/>
  <c r="M166" i="61"/>
  <c r="J165" i="61"/>
  <c r="M165" i="61"/>
  <c r="J163" i="61"/>
  <c r="M163" i="61"/>
  <c r="J162" i="61"/>
  <c r="M162" i="61"/>
  <c r="J161" i="61"/>
  <c r="M161" i="61"/>
  <c r="J160" i="61"/>
  <c r="M160" i="61"/>
  <c r="J159" i="61"/>
  <c r="M159" i="61"/>
  <c r="J158" i="61"/>
  <c r="M158" i="61"/>
  <c r="J157" i="61"/>
  <c r="M157" i="61"/>
  <c r="J156" i="61"/>
  <c r="M156" i="61"/>
  <c r="J155" i="61"/>
  <c r="J154" i="61"/>
  <c r="M154" i="61"/>
  <c r="J153" i="61"/>
  <c r="M153" i="61"/>
  <c r="J152" i="61"/>
  <c r="M152" i="61"/>
  <c r="J151" i="61"/>
  <c r="M151" i="61"/>
  <c r="J150" i="61"/>
  <c r="M150" i="61"/>
  <c r="G169" i="61"/>
  <c r="I169" i="61"/>
  <c r="G168" i="61"/>
  <c r="I168" i="61"/>
  <c r="G167" i="61"/>
  <c r="I167" i="61"/>
  <c r="G166" i="61"/>
  <c r="I166" i="61"/>
  <c r="G165" i="61"/>
  <c r="I165" i="61"/>
  <c r="G164" i="61"/>
  <c r="I164" i="61"/>
  <c r="G162" i="61"/>
  <c r="I162" i="61"/>
  <c r="G161" i="61"/>
  <c r="I161" i="61"/>
  <c r="G160" i="61"/>
  <c r="I160" i="61"/>
  <c r="G159" i="61"/>
  <c r="I159" i="61"/>
  <c r="G158" i="61"/>
  <c r="I158" i="61"/>
  <c r="G157" i="61"/>
  <c r="I157" i="61"/>
  <c r="G156" i="61"/>
  <c r="G155" i="61"/>
  <c r="I155" i="61"/>
  <c r="G154" i="61"/>
  <c r="I154" i="61"/>
  <c r="G153" i="61"/>
  <c r="G152" i="61"/>
  <c r="I152" i="61"/>
  <c r="G151" i="61"/>
  <c r="I151" i="61"/>
  <c r="G150" i="61"/>
  <c r="H150" i="61"/>
  <c r="N132" i="61"/>
  <c r="N131" i="61"/>
  <c r="N130" i="61"/>
  <c r="N129" i="61"/>
  <c r="N128" i="61"/>
  <c r="N127" i="61"/>
  <c r="N126" i="61"/>
  <c r="N125" i="61"/>
  <c r="N124" i="61"/>
  <c r="N123" i="61"/>
  <c r="N122" i="61"/>
  <c r="N121" i="61"/>
  <c r="N120" i="61"/>
  <c r="N117" i="61"/>
  <c r="N116" i="61"/>
  <c r="N115" i="61"/>
  <c r="N114" i="61"/>
  <c r="N113" i="61"/>
  <c r="N112" i="61"/>
  <c r="N111" i="61"/>
  <c r="N110" i="61"/>
  <c r="J132" i="61"/>
  <c r="M132" i="61"/>
  <c r="J131" i="61"/>
  <c r="M131" i="61"/>
  <c r="J130" i="61"/>
  <c r="M130" i="61"/>
  <c r="J129" i="61"/>
  <c r="M129" i="61"/>
  <c r="J128" i="61"/>
  <c r="M128" i="61"/>
  <c r="J127" i="61"/>
  <c r="M127" i="61"/>
  <c r="J126" i="61"/>
  <c r="M126" i="61"/>
  <c r="J125" i="61"/>
  <c r="M125" i="61"/>
  <c r="J124" i="61"/>
  <c r="M124" i="61"/>
  <c r="J123" i="61"/>
  <c r="M123" i="61"/>
  <c r="J122" i="61"/>
  <c r="M122" i="61"/>
  <c r="J121" i="61"/>
  <c r="M121" i="61"/>
  <c r="J120" i="61"/>
  <c r="M120" i="61"/>
  <c r="J119" i="61"/>
  <c r="J118" i="61"/>
  <c r="J117" i="61"/>
  <c r="M117" i="61"/>
  <c r="J116" i="61"/>
  <c r="M116" i="61"/>
  <c r="J115" i="61"/>
  <c r="M115" i="61"/>
  <c r="J114" i="61"/>
  <c r="M114" i="61"/>
  <c r="J113" i="61"/>
  <c r="M113" i="61"/>
  <c r="J112" i="61"/>
  <c r="M112" i="61"/>
  <c r="J111" i="61"/>
  <c r="M111" i="61"/>
  <c r="J110" i="61"/>
  <c r="M110" i="61"/>
  <c r="G132" i="61"/>
  <c r="I132" i="61"/>
  <c r="G131" i="61"/>
  <c r="I131" i="61"/>
  <c r="G129" i="61"/>
  <c r="I129" i="61"/>
  <c r="G128" i="61"/>
  <c r="I128" i="61"/>
  <c r="G127" i="61"/>
  <c r="I127" i="61"/>
  <c r="G126" i="61"/>
  <c r="I126" i="61"/>
  <c r="G125" i="61"/>
  <c r="I125" i="61"/>
  <c r="G124" i="61"/>
  <c r="I124" i="61"/>
  <c r="G123" i="61"/>
  <c r="I123" i="61"/>
  <c r="G122" i="61"/>
  <c r="I122" i="61"/>
  <c r="G121" i="61"/>
  <c r="I121" i="61"/>
  <c r="G120" i="61"/>
  <c r="I120" i="61"/>
  <c r="G117" i="61"/>
  <c r="I117" i="61"/>
  <c r="G116" i="61"/>
  <c r="I116" i="61"/>
  <c r="G115" i="61"/>
  <c r="I115" i="61"/>
  <c r="G114" i="61"/>
  <c r="I114" i="61"/>
  <c r="G113" i="61"/>
  <c r="I113" i="61"/>
  <c r="G112" i="61"/>
  <c r="I112" i="61"/>
  <c r="G111" i="61"/>
  <c r="I111" i="61"/>
  <c r="G110" i="61"/>
  <c r="I110" i="61"/>
  <c r="G109" i="61"/>
  <c r="G108" i="61"/>
  <c r="G107" i="61"/>
  <c r="G106" i="61"/>
  <c r="G105" i="61"/>
  <c r="G104" i="61"/>
  <c r="G103" i="61"/>
  <c r="G102" i="61"/>
  <c r="G101" i="61"/>
  <c r="G100" i="61"/>
  <c r="G99" i="61"/>
  <c r="G98" i="61"/>
  <c r="I98" i="61"/>
  <c r="G97" i="61"/>
  <c r="I97" i="61"/>
  <c r="G96" i="61"/>
  <c r="I96" i="61"/>
  <c r="G95" i="61"/>
  <c r="I95" i="61"/>
  <c r="G94" i="61"/>
  <c r="I94" i="61"/>
  <c r="G93" i="61"/>
  <c r="I93" i="61"/>
  <c r="G91" i="61"/>
  <c r="G90" i="61"/>
  <c r="I90" i="61"/>
  <c r="G89" i="61"/>
  <c r="I89" i="61"/>
  <c r="G88" i="61"/>
  <c r="I88" i="61"/>
  <c r="G87" i="61"/>
  <c r="I87" i="61"/>
  <c r="G86" i="61"/>
  <c r="I86" i="61"/>
  <c r="G85" i="61"/>
  <c r="I85" i="61"/>
  <c r="G84" i="61"/>
  <c r="I84" i="61"/>
  <c r="G83" i="61"/>
  <c r="N70" i="61"/>
  <c r="N69" i="61"/>
  <c r="N68" i="61"/>
  <c r="N67" i="61"/>
  <c r="N66" i="61"/>
  <c r="J70" i="61"/>
  <c r="M70" i="61"/>
  <c r="J67" i="61"/>
  <c r="M67" i="61"/>
  <c r="J66" i="61"/>
  <c r="M66" i="61"/>
  <c r="J69" i="61"/>
  <c r="M69" i="61"/>
  <c r="N64" i="61"/>
  <c r="N63" i="61"/>
  <c r="N62" i="61"/>
  <c r="N61" i="61"/>
  <c r="N60" i="61"/>
  <c r="J64" i="61"/>
  <c r="J63" i="61"/>
  <c r="J62" i="61"/>
  <c r="J61" i="61"/>
  <c r="J60" i="61"/>
  <c r="G130" i="61"/>
  <c r="I130" i="61"/>
  <c r="I83" i="61"/>
  <c r="N229" i="61"/>
  <c r="M229" i="61"/>
  <c r="J229" i="61"/>
  <c r="I150" i="61"/>
  <c r="I153" i="61"/>
  <c r="M83" i="61"/>
  <c r="G60" i="61"/>
  <c r="N59" i="61"/>
  <c r="H59" i="61"/>
  <c r="H58" i="61"/>
  <c r="N58" i="61"/>
  <c r="G70" i="61"/>
  <c r="I70" i="61"/>
  <c r="G69" i="61"/>
  <c r="I69" i="61"/>
  <c r="G68" i="61"/>
  <c r="I68" i="61"/>
  <c r="G66" i="61"/>
  <c r="I66" i="61"/>
  <c r="G65" i="61"/>
  <c r="G64" i="61"/>
  <c r="I64" i="61"/>
  <c r="G63" i="61"/>
  <c r="I63" i="61"/>
  <c r="G62" i="61"/>
  <c r="I62" i="61"/>
  <c r="G61" i="61"/>
  <c r="I61" i="61"/>
  <c r="J58" i="61"/>
  <c r="M58" i="61"/>
  <c r="N50" i="61"/>
  <c r="N49" i="61"/>
  <c r="N48" i="61"/>
  <c r="N47" i="61"/>
  <c r="J47" i="61"/>
  <c r="G58" i="61"/>
  <c r="G50" i="61"/>
  <c r="I50" i="61"/>
  <c r="G49" i="61"/>
  <c r="I49" i="61"/>
  <c r="G48" i="61"/>
  <c r="I48" i="61"/>
  <c r="G47" i="61"/>
  <c r="N139" i="61"/>
  <c r="G139" i="61"/>
  <c r="I139" i="61"/>
  <c r="J139" i="61"/>
  <c r="M139" i="61"/>
  <c r="I47" i="61"/>
  <c r="M47" i="61"/>
  <c r="N138" i="61"/>
  <c r="N137" i="61"/>
  <c r="N135" i="61"/>
  <c r="N134" i="61"/>
  <c r="N133" i="61"/>
  <c r="H136" i="61"/>
  <c r="N136" i="61"/>
  <c r="J133" i="61"/>
  <c r="M133" i="61"/>
  <c r="J134" i="61"/>
  <c r="M134" i="61"/>
  <c r="J135" i="61"/>
  <c r="M135" i="61"/>
  <c r="J136" i="61"/>
  <c r="M136" i="61"/>
  <c r="J137" i="61"/>
  <c r="M137" i="61"/>
  <c r="J138" i="61"/>
  <c r="M138" i="61"/>
  <c r="G133" i="61"/>
  <c r="I133" i="61"/>
  <c r="G134" i="61"/>
  <c r="I134" i="61"/>
  <c r="G135" i="61"/>
  <c r="I135" i="61"/>
  <c r="G137" i="61"/>
  <c r="I137" i="61"/>
  <c r="G138" i="61"/>
  <c r="H138" i="61"/>
  <c r="I138" i="61"/>
  <c r="L175" i="61"/>
  <c r="H56" i="61"/>
  <c r="J55" i="61"/>
  <c r="G55" i="61"/>
  <c r="I55" i="61"/>
  <c r="N27" i="61"/>
  <c r="N26" i="61"/>
  <c r="N25" i="61"/>
  <c r="N24" i="61"/>
  <c r="N23" i="61"/>
  <c r="N22" i="61"/>
  <c r="N21" i="61"/>
  <c r="J27" i="61"/>
  <c r="M27" i="61"/>
  <c r="J26" i="61"/>
  <c r="M26" i="61"/>
  <c r="J25" i="61"/>
  <c r="M25" i="61"/>
  <c r="J24" i="61"/>
  <c r="M24" i="61"/>
  <c r="J23" i="61"/>
  <c r="M23" i="61"/>
  <c r="J22" i="61"/>
  <c r="M22" i="61"/>
  <c r="J21" i="61"/>
  <c r="M21" i="61"/>
  <c r="I27" i="61"/>
  <c r="G26" i="61"/>
  <c r="I26" i="61"/>
  <c r="G25" i="61"/>
  <c r="I25" i="61"/>
  <c r="G24" i="61"/>
  <c r="I24" i="61"/>
  <c r="G23" i="61"/>
  <c r="I23" i="61"/>
  <c r="G22" i="61"/>
  <c r="I22" i="61"/>
  <c r="G21" i="61"/>
  <c r="I21" i="61"/>
  <c r="G56" i="61"/>
  <c r="N56" i="61"/>
  <c r="N19" i="61"/>
  <c r="J19" i="61"/>
  <c r="M19" i="61"/>
  <c r="G19" i="61"/>
  <c r="H226" i="61"/>
  <c r="H229" i="61"/>
  <c r="G226" i="61"/>
  <c r="G225" i="61"/>
  <c r="G224" i="61"/>
  <c r="G223" i="61"/>
  <c r="G222" i="61"/>
  <c r="J203" i="61"/>
  <c r="M203" i="61"/>
  <c r="J202" i="61"/>
  <c r="M202" i="61"/>
  <c r="J201" i="61"/>
  <c r="M201" i="61"/>
  <c r="J200" i="61"/>
  <c r="M200" i="61"/>
  <c r="J199" i="61"/>
  <c r="M199" i="61"/>
  <c r="J198" i="61"/>
  <c r="M198" i="61"/>
  <c r="J197" i="61"/>
  <c r="M197" i="61"/>
  <c r="J196" i="61"/>
  <c r="M196" i="61"/>
  <c r="J195" i="61"/>
  <c r="M195" i="61"/>
  <c r="J194" i="61"/>
  <c r="M194" i="61"/>
  <c r="J193" i="61"/>
  <c r="M193" i="61"/>
  <c r="J192" i="61"/>
  <c r="M192" i="61"/>
  <c r="J191" i="61"/>
  <c r="M191" i="61"/>
  <c r="J190" i="61"/>
  <c r="M190" i="61"/>
  <c r="J189" i="61"/>
  <c r="G203" i="61"/>
  <c r="I203" i="61"/>
  <c r="G202" i="61"/>
  <c r="I202" i="61"/>
  <c r="G201" i="61"/>
  <c r="I201" i="61"/>
  <c r="G200" i="61"/>
  <c r="I200" i="61"/>
  <c r="G199" i="61"/>
  <c r="I199" i="61"/>
  <c r="G198" i="61"/>
  <c r="I198" i="61"/>
  <c r="G197" i="61"/>
  <c r="I197" i="61"/>
  <c r="G196" i="61"/>
  <c r="I196" i="61"/>
  <c r="G195" i="61"/>
  <c r="I195" i="61"/>
  <c r="G194" i="61"/>
  <c r="I194" i="61"/>
  <c r="G193" i="61"/>
  <c r="I193" i="61"/>
  <c r="G192" i="61"/>
  <c r="I192" i="61"/>
  <c r="G191" i="61"/>
  <c r="I191" i="61"/>
  <c r="G190" i="61"/>
  <c r="I190" i="61"/>
  <c r="G189" i="61"/>
  <c r="G119" i="61"/>
  <c r="I119" i="61"/>
  <c r="G118" i="61"/>
  <c r="I118" i="61"/>
  <c r="N109" i="61"/>
  <c r="N108" i="61"/>
  <c r="N107" i="61"/>
  <c r="N106" i="61"/>
  <c r="N105" i="61"/>
  <c r="N104" i="61"/>
  <c r="N103" i="61"/>
  <c r="N102" i="61"/>
  <c r="N101" i="61"/>
  <c r="N100" i="61"/>
  <c r="J109" i="61"/>
  <c r="M109" i="61"/>
  <c r="J108" i="61"/>
  <c r="M108" i="61"/>
  <c r="J107" i="61"/>
  <c r="M107" i="61"/>
  <c r="J106" i="61"/>
  <c r="M106" i="61"/>
  <c r="J105" i="61"/>
  <c r="M105" i="61"/>
  <c r="J104" i="61"/>
  <c r="M104" i="61"/>
  <c r="J103" i="61"/>
  <c r="M103" i="61"/>
  <c r="J102" i="61"/>
  <c r="M102" i="61"/>
  <c r="J101" i="61"/>
  <c r="M101" i="61"/>
  <c r="J100" i="61"/>
  <c r="M100" i="61"/>
  <c r="I109" i="61"/>
  <c r="I108" i="61"/>
  <c r="I107" i="61"/>
  <c r="I106" i="61"/>
  <c r="I105" i="61"/>
  <c r="I104" i="61"/>
  <c r="I103" i="61"/>
  <c r="I102" i="61"/>
  <c r="I101" i="61"/>
  <c r="I100" i="61"/>
  <c r="I99" i="61"/>
  <c r="N99" i="61"/>
  <c r="J99" i="61"/>
  <c r="N65" i="61"/>
  <c r="N51" i="61"/>
  <c r="N20" i="61"/>
  <c r="J217" i="61"/>
  <c r="J147" i="61"/>
  <c r="I226" i="61"/>
  <c r="M189" i="61"/>
  <c r="M217" i="61"/>
  <c r="G229" i="61"/>
  <c r="G217" i="61"/>
  <c r="M99" i="61"/>
  <c r="I189" i="61"/>
  <c r="I217" i="61"/>
  <c r="N189" i="61"/>
  <c r="E129" i="15"/>
  <c r="E131" i="15"/>
  <c r="J18" i="61"/>
  <c r="M18" i="61"/>
  <c r="N202" i="61"/>
  <c r="N203" i="61"/>
  <c r="G12" i="61"/>
  <c r="J71" i="61"/>
  <c r="M71" i="61"/>
  <c r="H72" i="61"/>
  <c r="H71" i="61"/>
  <c r="J72" i="61"/>
  <c r="M72" i="61"/>
  <c r="G71" i="61"/>
  <c r="N71" i="61"/>
  <c r="G72" i="61"/>
  <c r="N72" i="61"/>
  <c r="F90" i="15"/>
  <c r="E90" i="15"/>
  <c r="G67" i="61"/>
  <c r="I67" i="61"/>
  <c r="J68" i="61"/>
  <c r="M68" i="61"/>
  <c r="J65" i="61"/>
  <c r="M65" i="61"/>
  <c r="F39" i="56"/>
  <c r="H322" i="11"/>
  <c r="G322" i="11"/>
  <c r="H321" i="1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I442" i="49"/>
  <c r="E442" i="49"/>
  <c r="F442" i="49"/>
  <c r="I441" i="49"/>
  <c r="E441" i="49"/>
  <c r="F441" i="49"/>
  <c r="I440" i="49"/>
  <c r="E440" i="49"/>
  <c r="F440" i="49"/>
  <c r="I439" i="49"/>
  <c r="E439" i="49"/>
  <c r="F439" i="49"/>
  <c r="I438" i="49"/>
  <c r="E438" i="49"/>
  <c r="F438" i="49"/>
  <c r="I437" i="49"/>
  <c r="E437" i="49"/>
  <c r="F437" i="49"/>
  <c r="I436" i="49"/>
  <c r="E436" i="49"/>
  <c r="F436" i="49"/>
  <c r="I435" i="49"/>
  <c r="E435" i="49"/>
  <c r="F435" i="49"/>
  <c r="I434" i="49"/>
  <c r="E434" i="49"/>
  <c r="F434" i="49"/>
  <c r="I433" i="49"/>
  <c r="E433" i="49"/>
  <c r="F433" i="49"/>
  <c r="I432" i="49"/>
  <c r="E432" i="49"/>
  <c r="F432" i="49"/>
  <c r="I431" i="49"/>
  <c r="E431" i="49"/>
  <c r="F431" i="49"/>
  <c r="I430" i="49"/>
  <c r="E430" i="49"/>
  <c r="F430" i="49"/>
  <c r="I429" i="49"/>
  <c r="E429" i="49"/>
  <c r="F429" i="49"/>
  <c r="I428" i="49"/>
  <c r="E428" i="49"/>
  <c r="F428" i="49"/>
  <c r="I427" i="49"/>
  <c r="E427" i="49"/>
  <c r="F427" i="49"/>
  <c r="I426" i="49"/>
  <c r="E426" i="49"/>
  <c r="F426" i="49"/>
  <c r="I425" i="49"/>
  <c r="E425" i="49"/>
  <c r="F425" i="49"/>
  <c r="I424" i="49"/>
  <c r="E424" i="49"/>
  <c r="F424" i="49"/>
  <c r="I423" i="49"/>
  <c r="E423" i="49"/>
  <c r="F423" i="49"/>
  <c r="I422" i="49"/>
  <c r="E422" i="49"/>
  <c r="F422" i="49"/>
  <c r="I421" i="49"/>
  <c r="E421" i="49"/>
  <c r="F421" i="49"/>
  <c r="I420" i="49"/>
  <c r="E420" i="49"/>
  <c r="F420" i="49"/>
  <c r="I419" i="49"/>
  <c r="E419" i="49"/>
  <c r="F419" i="49"/>
  <c r="K417" i="49"/>
  <c r="J417" i="49"/>
  <c r="I417" i="49"/>
  <c r="H417" i="49"/>
  <c r="F417" i="49"/>
  <c r="E417" i="49"/>
  <c r="D417" i="49"/>
  <c r="K416" i="49"/>
  <c r="J416" i="49"/>
  <c r="I416" i="49"/>
  <c r="H416" i="49"/>
  <c r="F416" i="49"/>
  <c r="E416" i="49"/>
  <c r="D416" i="49"/>
  <c r="J419" i="49"/>
  <c r="J420" i="49"/>
  <c r="J421" i="49"/>
  <c r="J422" i="49"/>
  <c r="J423" i="49"/>
  <c r="J424" i="49"/>
  <c r="J425" i="49"/>
  <c r="J426" i="49"/>
  <c r="J427" i="49"/>
  <c r="J428" i="49"/>
  <c r="J429" i="49"/>
  <c r="J430" i="49"/>
  <c r="J431" i="49"/>
  <c r="J432" i="49"/>
  <c r="J433" i="49"/>
  <c r="J434" i="49"/>
  <c r="J435" i="49"/>
  <c r="J436" i="49"/>
  <c r="J437" i="49"/>
  <c r="J438" i="49"/>
  <c r="J439" i="49"/>
  <c r="J440" i="49"/>
  <c r="J441" i="49"/>
  <c r="J442" i="49"/>
  <c r="K419" i="49"/>
  <c r="K420" i="49"/>
  <c r="K421" i="49"/>
  <c r="K422" i="49"/>
  <c r="K423" i="49"/>
  <c r="K424" i="49"/>
  <c r="K425" i="49"/>
  <c r="K426" i="49"/>
  <c r="K427" i="49"/>
  <c r="K428" i="49"/>
  <c r="K429" i="49"/>
  <c r="K430" i="49"/>
  <c r="K431" i="49"/>
  <c r="K432" i="49"/>
  <c r="K433" i="49"/>
  <c r="K434" i="49"/>
  <c r="K435" i="49"/>
  <c r="K436" i="49"/>
  <c r="K437" i="49"/>
  <c r="K438" i="49"/>
  <c r="K439" i="49"/>
  <c r="K440" i="49"/>
  <c r="K441" i="49"/>
  <c r="K442" i="49"/>
  <c r="K443" i="49"/>
  <c r="G36" i="11"/>
  <c r="F19" i="71"/>
  <c r="E35" i="11"/>
  <c r="F35" i="11"/>
  <c r="M45" i="48"/>
  <c r="G25" i="46"/>
  <c r="F103" i="8"/>
  <c r="F98" i="8"/>
  <c r="E6" i="66"/>
  <c r="E12" i="66"/>
  <c r="E18" i="66"/>
  <c r="B145" i="21"/>
  <c r="M106" i="21"/>
  <c r="L106" i="21"/>
  <c r="K106" i="21"/>
  <c r="J106" i="21"/>
  <c r="I106" i="21"/>
  <c r="H106" i="21"/>
  <c r="G106" i="21"/>
  <c r="F106" i="21"/>
  <c r="E106" i="21"/>
  <c r="D106" i="21"/>
  <c r="E45" i="21"/>
  <c r="F58" i="21"/>
  <c r="E44" i="21"/>
  <c r="A35" i="21"/>
  <c r="A44" i="21"/>
  <c r="A13" i="21"/>
  <c r="A14" i="21"/>
  <c r="A15" i="21"/>
  <c r="A16" i="21"/>
  <c r="A17" i="21"/>
  <c r="A18" i="21"/>
  <c r="A19" i="21"/>
  <c r="A20" i="21"/>
  <c r="A21" i="21"/>
  <c r="A22" i="21"/>
  <c r="A23" i="21"/>
  <c r="A24" i="21"/>
  <c r="E46" i="21"/>
  <c r="F51" i="21"/>
  <c r="N106" i="21"/>
  <c r="B148" i="21"/>
  <c r="A25" i="21"/>
  <c r="A33" i="21"/>
  <c r="A45" i="21"/>
  <c r="H46" i="21"/>
  <c r="E24" i="4"/>
  <c r="F24" i="4"/>
  <c r="G24" i="4"/>
  <c r="H24" i="4"/>
  <c r="I24" i="4"/>
  <c r="J24" i="4"/>
  <c r="K24" i="4"/>
  <c r="L24" i="4"/>
  <c r="L104" i="4"/>
  <c r="L105" i="4"/>
  <c r="K104" i="4"/>
  <c r="K105" i="4"/>
  <c r="J104" i="4"/>
  <c r="I104" i="4"/>
  <c r="I105" i="4"/>
  <c r="H104" i="4"/>
  <c r="H105" i="4"/>
  <c r="G104" i="4"/>
  <c r="G105" i="4"/>
  <c r="F104" i="4"/>
  <c r="B144" i="21"/>
  <c r="H35" i="21"/>
  <c r="G58" i="21"/>
  <c r="A46" i="21"/>
  <c r="D183" i="4"/>
  <c r="C183" i="4"/>
  <c r="J97" i="4"/>
  <c r="H54" i="4"/>
  <c r="F62" i="4"/>
  <c r="H53" i="4"/>
  <c r="F36" i="4"/>
  <c r="F35" i="4"/>
  <c r="A13" i="4"/>
  <c r="A14" i="4"/>
  <c r="A15" i="4"/>
  <c r="A16" i="4"/>
  <c r="A17" i="4"/>
  <c r="A18" i="4"/>
  <c r="A19" i="4"/>
  <c r="A20" i="4"/>
  <c r="A21" i="4"/>
  <c r="A22" i="4"/>
  <c r="A23" i="4"/>
  <c r="A24" i="4"/>
  <c r="M12" i="4"/>
  <c r="M12" i="64"/>
  <c r="F105" i="4"/>
  <c r="M104" i="4"/>
  <c r="M97" i="4"/>
  <c r="J105" i="4"/>
  <c r="M105" i="4"/>
  <c r="F187" i="4"/>
  <c r="J187" i="4"/>
  <c r="E150" i="4"/>
  <c r="I150" i="4"/>
  <c r="G151" i="4"/>
  <c r="K151" i="4"/>
  <c r="E152" i="4"/>
  <c r="I152" i="4"/>
  <c r="G153" i="4"/>
  <c r="K153" i="4"/>
  <c r="E154" i="4"/>
  <c r="I154" i="4"/>
  <c r="G155" i="4"/>
  <c r="E156" i="4"/>
  <c r="I156" i="4"/>
  <c r="G157" i="4"/>
  <c r="K157" i="4"/>
  <c r="E158" i="4"/>
  <c r="I158" i="4"/>
  <c r="G159" i="4"/>
  <c r="E160" i="4"/>
  <c r="I160" i="4"/>
  <c r="C161" i="4"/>
  <c r="C187" i="4"/>
  <c r="C191" i="4"/>
  <c r="D187" i="4"/>
  <c r="D191" i="4"/>
  <c r="H187" i="4"/>
  <c r="E187" i="4"/>
  <c r="I187" i="4"/>
  <c r="C151" i="4"/>
  <c r="C153" i="4"/>
  <c r="C155" i="4"/>
  <c r="K161" i="4"/>
  <c r="G161" i="4"/>
  <c r="F161" i="4"/>
  <c r="E161" i="4"/>
  <c r="D153" i="4"/>
  <c r="L153" i="4"/>
  <c r="I161" i="4"/>
  <c r="G158" i="4"/>
  <c r="C156" i="4"/>
  <c r="K158" i="4"/>
  <c r="C160" i="4"/>
  <c r="F37" i="4"/>
  <c r="J150" i="4"/>
  <c r="D151" i="4"/>
  <c r="H151" i="4"/>
  <c r="L151" i="4"/>
  <c r="F152" i="4"/>
  <c r="J152" i="4"/>
  <c r="H153" i="4"/>
  <c r="F154" i="4"/>
  <c r="J154" i="4"/>
  <c r="D155" i="4"/>
  <c r="H155" i="4"/>
  <c r="L155" i="4"/>
  <c r="F156" i="4"/>
  <c r="J156" i="4"/>
  <c r="D157" i="4"/>
  <c r="H157" i="4"/>
  <c r="L157" i="4"/>
  <c r="F158" i="4"/>
  <c r="J158" i="4"/>
  <c r="D159" i="4"/>
  <c r="H159" i="4"/>
  <c r="L159" i="4"/>
  <c r="F160" i="4"/>
  <c r="J160" i="4"/>
  <c r="D161" i="4"/>
  <c r="G187" i="4"/>
  <c r="K187" i="4"/>
  <c r="L161" i="4"/>
  <c r="E151" i="4"/>
  <c r="I151" i="4"/>
  <c r="C152" i="4"/>
  <c r="G152" i="4"/>
  <c r="K152" i="4"/>
  <c r="E153" i="4"/>
  <c r="I153" i="4"/>
  <c r="C154" i="4"/>
  <c r="G154" i="4"/>
  <c r="K154" i="4"/>
  <c r="E155" i="4"/>
  <c r="I155" i="4"/>
  <c r="G156" i="4"/>
  <c r="K156" i="4"/>
  <c r="E157" i="4"/>
  <c r="I157" i="4"/>
  <c r="C158" i="4"/>
  <c r="E159" i="4"/>
  <c r="I159" i="4"/>
  <c r="G160" i="4"/>
  <c r="K160" i="4"/>
  <c r="L187" i="4"/>
  <c r="H161" i="4"/>
  <c r="K155" i="4"/>
  <c r="K159" i="4"/>
  <c r="G51" i="21"/>
  <c r="A51" i="21"/>
  <c r="D150" i="4"/>
  <c r="L150" i="4"/>
  <c r="F151" i="4"/>
  <c r="J151" i="4"/>
  <c r="D152" i="4"/>
  <c r="H152" i="4"/>
  <c r="L152" i="4"/>
  <c r="F153" i="4"/>
  <c r="J153" i="4"/>
  <c r="D154" i="4"/>
  <c r="H154" i="4"/>
  <c r="L154" i="4"/>
  <c r="F155" i="4"/>
  <c r="J155" i="4"/>
  <c r="D156" i="4"/>
  <c r="H156" i="4"/>
  <c r="L156" i="4"/>
  <c r="F157" i="4"/>
  <c r="J157" i="4"/>
  <c r="D158" i="4"/>
  <c r="H158" i="4"/>
  <c r="L158" i="4"/>
  <c r="F159" i="4"/>
  <c r="J159" i="4"/>
  <c r="D160" i="4"/>
  <c r="H160" i="4"/>
  <c r="L160" i="4"/>
  <c r="J161" i="4"/>
  <c r="C157" i="4"/>
  <c r="C159" i="4"/>
  <c r="F57" i="4"/>
  <c r="F150" i="4"/>
  <c r="H150" i="4"/>
  <c r="B231" i="4"/>
  <c r="A25" i="4"/>
  <c r="C150" i="4"/>
  <c r="G150" i="4"/>
  <c r="K150" i="4"/>
  <c r="J319" i="49"/>
  <c r="G162" i="4"/>
  <c r="G167" i="4"/>
  <c r="M187" i="4"/>
  <c r="M153" i="4"/>
  <c r="H162" i="4"/>
  <c r="H167" i="4"/>
  <c r="L162" i="4"/>
  <c r="L173" i="4"/>
  <c r="F162" i="4"/>
  <c r="K162" i="4"/>
  <c r="K167" i="4"/>
  <c r="M159" i="4"/>
  <c r="J162" i="4"/>
  <c r="J168" i="4"/>
  <c r="M152" i="4"/>
  <c r="M160" i="4"/>
  <c r="I162" i="4"/>
  <c r="I170" i="4"/>
  <c r="M150" i="4"/>
  <c r="C162" i="4"/>
  <c r="C167" i="4"/>
  <c r="M157" i="4"/>
  <c r="M158" i="4"/>
  <c r="M156" i="4"/>
  <c r="D162" i="4"/>
  <c r="D174" i="4"/>
  <c r="M154" i="4"/>
  <c r="M155" i="4"/>
  <c r="M151" i="4"/>
  <c r="E162" i="4"/>
  <c r="E173" i="4"/>
  <c r="M161" i="4"/>
  <c r="A52" i="21"/>
  <c r="A53" i="21"/>
  <c r="A58" i="21"/>
  <c r="A35" i="4"/>
  <c r="J178" i="4"/>
  <c r="J92" i="21"/>
  <c r="I89" i="21"/>
  <c r="L89" i="21"/>
  <c r="K100" i="21"/>
  <c r="F95" i="21"/>
  <c r="E96" i="21"/>
  <c r="K90" i="21"/>
  <c r="M95" i="21"/>
  <c r="H89" i="21"/>
  <c r="L168" i="4"/>
  <c r="L169" i="4"/>
  <c r="L171" i="4"/>
  <c r="L175" i="4"/>
  <c r="G53" i="21"/>
  <c r="E169" i="4"/>
  <c r="C168" i="4"/>
  <c r="D89" i="21"/>
  <c r="C198" i="4"/>
  <c r="C13" i="4"/>
  <c r="M162" i="4"/>
  <c r="I171" i="4"/>
  <c r="L172" i="4"/>
  <c r="I167" i="4"/>
  <c r="J167" i="4"/>
  <c r="L174" i="4"/>
  <c r="J172" i="4"/>
  <c r="L167" i="4"/>
  <c r="J171" i="4"/>
  <c r="J177" i="4"/>
  <c r="L178" i="4"/>
  <c r="L170" i="4"/>
  <c r="J176" i="4"/>
  <c r="D169" i="4"/>
  <c r="E172" i="4"/>
  <c r="D175" i="4"/>
  <c r="E178" i="4"/>
  <c r="E177" i="4"/>
  <c r="E167" i="4"/>
  <c r="E170" i="4"/>
  <c r="D172" i="4"/>
  <c r="J175" i="4"/>
  <c r="E171" i="4"/>
  <c r="E168" i="4"/>
  <c r="E174" i="4"/>
  <c r="E175" i="4"/>
  <c r="E176" i="4"/>
  <c r="J174" i="4"/>
  <c r="I169" i="4"/>
  <c r="I172" i="4"/>
  <c r="I174" i="4"/>
  <c r="I178" i="4"/>
  <c r="I173" i="4"/>
  <c r="J170" i="4"/>
  <c r="J169" i="4"/>
  <c r="D205" i="4"/>
  <c r="I176" i="4"/>
  <c r="I168" i="4"/>
  <c r="I177" i="4"/>
  <c r="I175" i="4"/>
  <c r="J173" i="4"/>
  <c r="L177" i="4"/>
  <c r="L176" i="4"/>
  <c r="A59" i="21"/>
  <c r="A60" i="21"/>
  <c r="A70" i="21"/>
  <c r="A71" i="21"/>
  <c r="A72" i="21"/>
  <c r="A73" i="21"/>
  <c r="A74" i="21"/>
  <c r="A75" i="21"/>
  <c r="A76" i="21"/>
  <c r="A77" i="21"/>
  <c r="A78" i="21"/>
  <c r="A79" i="21"/>
  <c r="A80" i="21"/>
  <c r="A81" i="21"/>
  <c r="A82" i="21"/>
  <c r="D167" i="4"/>
  <c r="D178" i="4"/>
  <c r="D168" i="4"/>
  <c r="D170" i="4"/>
  <c r="D176" i="4"/>
  <c r="D177" i="4"/>
  <c r="D173" i="4"/>
  <c r="D171" i="4"/>
  <c r="B223" i="4"/>
  <c r="A36" i="4"/>
  <c r="F175" i="4"/>
  <c r="F174" i="4"/>
  <c r="F172" i="4"/>
  <c r="F176" i="4"/>
  <c r="F171" i="4"/>
  <c r="F178" i="4"/>
  <c r="F177" i="4"/>
  <c r="F168" i="4"/>
  <c r="F170" i="4"/>
  <c r="F169" i="4"/>
  <c r="F173" i="4"/>
  <c r="C171" i="4"/>
  <c r="C173" i="4"/>
  <c r="C177" i="4"/>
  <c r="C178" i="4"/>
  <c r="C175" i="4"/>
  <c r="C174" i="4"/>
  <c r="C169" i="4"/>
  <c r="C176" i="4"/>
  <c r="C170" i="4"/>
  <c r="C172" i="4"/>
  <c r="H171" i="4"/>
  <c r="H178" i="4"/>
  <c r="H170" i="4"/>
  <c r="H173" i="4"/>
  <c r="H172" i="4"/>
  <c r="H176" i="4"/>
  <c r="H174" i="4"/>
  <c r="H169" i="4"/>
  <c r="H168" i="4"/>
  <c r="H175" i="4"/>
  <c r="H177" i="4"/>
  <c r="G169" i="4"/>
  <c r="G171" i="4"/>
  <c r="G170" i="4"/>
  <c r="G173" i="4"/>
  <c r="G178" i="4"/>
  <c r="G168" i="4"/>
  <c r="G172" i="4"/>
  <c r="G176" i="4"/>
  <c r="G174" i="4"/>
  <c r="G175" i="4"/>
  <c r="G177" i="4"/>
  <c r="K176" i="4"/>
  <c r="K172" i="4"/>
  <c r="K169" i="4"/>
  <c r="K174" i="4"/>
  <c r="K171" i="4"/>
  <c r="K170" i="4"/>
  <c r="K168" i="4"/>
  <c r="K173" i="4"/>
  <c r="K177" i="4"/>
  <c r="K178" i="4"/>
  <c r="K175" i="4"/>
  <c r="F167" i="4"/>
  <c r="L91" i="21"/>
  <c r="H90" i="21"/>
  <c r="I90" i="21"/>
  <c r="I93" i="21"/>
  <c r="G100" i="21"/>
  <c r="J97" i="21"/>
  <c r="J100" i="21"/>
  <c r="K96" i="21"/>
  <c r="F90" i="21"/>
  <c r="F92" i="21"/>
  <c r="E97" i="21"/>
  <c r="M92" i="21"/>
  <c r="M89" i="21"/>
  <c r="J89" i="21"/>
  <c r="M90" i="21"/>
  <c r="L100" i="21"/>
  <c r="G89" i="21"/>
  <c r="L95" i="21"/>
  <c r="L96" i="21"/>
  <c r="H99" i="21"/>
  <c r="H94" i="21"/>
  <c r="H92" i="21"/>
  <c r="I97" i="21"/>
  <c r="I98" i="21"/>
  <c r="I100" i="21"/>
  <c r="G95" i="21"/>
  <c r="G99" i="21"/>
  <c r="G94" i="21"/>
  <c r="K95" i="21"/>
  <c r="J98" i="21"/>
  <c r="J95" i="21"/>
  <c r="J91" i="21"/>
  <c r="F96" i="21"/>
  <c r="F100" i="21"/>
  <c r="K98" i="21"/>
  <c r="K93" i="21"/>
  <c r="K89" i="21"/>
  <c r="F91" i="21"/>
  <c r="M91" i="21"/>
  <c r="L94" i="21"/>
  <c r="H96" i="21"/>
  <c r="H91" i="21"/>
  <c r="I95" i="21"/>
  <c r="G92" i="21"/>
  <c r="G93" i="21"/>
  <c r="G97" i="21"/>
  <c r="M98" i="21"/>
  <c r="J99" i="21"/>
  <c r="K91" i="21"/>
  <c r="J96" i="21"/>
  <c r="F98" i="21"/>
  <c r="F93" i="21"/>
  <c r="F89" i="21"/>
  <c r="F94" i="21"/>
  <c r="M100" i="21"/>
  <c r="K94" i="21"/>
  <c r="M94" i="21"/>
  <c r="M97" i="21"/>
  <c r="L97" i="21"/>
  <c r="L90" i="21"/>
  <c r="H97" i="21"/>
  <c r="H93" i="21"/>
  <c r="I94" i="21"/>
  <c r="G91" i="21"/>
  <c r="G96" i="21"/>
  <c r="L92" i="21"/>
  <c r="H100" i="21"/>
  <c r="I91" i="21"/>
  <c r="L99" i="21"/>
  <c r="L93" i="21"/>
  <c r="L98" i="21"/>
  <c r="H98" i="21"/>
  <c r="H95" i="21"/>
  <c r="I99" i="21"/>
  <c r="I96" i="21"/>
  <c r="I92" i="21"/>
  <c r="G90" i="21"/>
  <c r="G98" i="21"/>
  <c r="M99" i="21"/>
  <c r="J90" i="21"/>
  <c r="K92" i="21"/>
  <c r="J94" i="21"/>
  <c r="F97" i="21"/>
  <c r="K97" i="21"/>
  <c r="F99" i="21"/>
  <c r="E91" i="21"/>
  <c r="K99" i="21"/>
  <c r="M96" i="21"/>
  <c r="J93" i="21"/>
  <c r="M93" i="21"/>
  <c r="D206" i="4"/>
  <c r="D200" i="4"/>
  <c r="E94" i="21"/>
  <c r="D203" i="4"/>
  <c r="D92" i="21"/>
  <c r="C201" i="4"/>
  <c r="D97" i="21"/>
  <c r="C206" i="4"/>
  <c r="D93" i="21"/>
  <c r="C202" i="4"/>
  <c r="E95" i="21"/>
  <c r="D204" i="4"/>
  <c r="E90" i="21"/>
  <c r="D199" i="4"/>
  <c r="D98" i="21"/>
  <c r="C207" i="4"/>
  <c r="D100" i="21"/>
  <c r="C209" i="4"/>
  <c r="D90" i="21"/>
  <c r="C199" i="4"/>
  <c r="E99" i="21"/>
  <c r="D208" i="4"/>
  <c r="E100" i="21"/>
  <c r="D209" i="4"/>
  <c r="D91" i="21"/>
  <c r="C200" i="4"/>
  <c r="D99" i="21"/>
  <c r="C208" i="4"/>
  <c r="E98" i="21"/>
  <c r="D207" i="4"/>
  <c r="E89" i="21"/>
  <c r="D198" i="4"/>
  <c r="D94" i="21"/>
  <c r="C203" i="4"/>
  <c r="D96" i="21"/>
  <c r="C205" i="4"/>
  <c r="D95" i="21"/>
  <c r="C204" i="4"/>
  <c r="E93" i="21"/>
  <c r="D202" i="4"/>
  <c r="E92" i="21"/>
  <c r="D201" i="4"/>
  <c r="B149" i="21"/>
  <c r="A89" i="21"/>
  <c r="A90" i="21"/>
  <c r="A91" i="21"/>
  <c r="A92" i="21"/>
  <c r="A93" i="21"/>
  <c r="A94" i="21"/>
  <c r="A95" i="21"/>
  <c r="A96" i="21"/>
  <c r="A97" i="21"/>
  <c r="A98" i="21"/>
  <c r="A99" i="21"/>
  <c r="A100" i="21"/>
  <c r="A106" i="21"/>
  <c r="G60" i="21"/>
  <c r="B224" i="4"/>
  <c r="A37" i="4"/>
  <c r="E44" i="4"/>
  <c r="C14" i="4"/>
  <c r="D13" i="4"/>
  <c r="D210" i="4"/>
  <c r="C210" i="4"/>
  <c r="A109" i="21"/>
  <c r="A112" i="21"/>
  <c r="A119" i="21"/>
  <c r="A120" i="21"/>
  <c r="A121" i="21"/>
  <c r="A122" i="21"/>
  <c r="A123" i="21"/>
  <c r="A124" i="21"/>
  <c r="A125" i="21"/>
  <c r="A126" i="21"/>
  <c r="A127" i="21"/>
  <c r="A128" i="21"/>
  <c r="A129" i="21"/>
  <c r="A130" i="21"/>
  <c r="A131" i="21"/>
  <c r="A43" i="4"/>
  <c r="A44" i="4"/>
  <c r="A53" i="4"/>
  <c r="E43" i="4"/>
  <c r="C12" i="46"/>
  <c r="D14" i="4"/>
  <c r="D15" i="4"/>
  <c r="D16" i="4"/>
  <c r="D17" i="4"/>
  <c r="D18" i="4"/>
  <c r="D19" i="4"/>
  <c r="D20" i="4"/>
  <c r="D21" i="4"/>
  <c r="D22" i="4"/>
  <c r="D23" i="4"/>
  <c r="C15" i="4"/>
  <c r="C16" i="4"/>
  <c r="C17" i="4"/>
  <c r="C18" i="4"/>
  <c r="C19" i="4"/>
  <c r="C20" i="4"/>
  <c r="C21" i="4"/>
  <c r="C22" i="4"/>
  <c r="C23" i="4"/>
  <c r="B150" i="21"/>
  <c r="A54" i="4"/>
  <c r="C25" i="4"/>
  <c r="G62" i="4"/>
  <c r="A57" i="4"/>
  <c r="G57" i="4"/>
  <c r="A58" i="4"/>
  <c r="A59" i="4"/>
  <c r="A62" i="4"/>
  <c r="A63" i="4"/>
  <c r="A64" i="4"/>
  <c r="A74" i="4"/>
  <c r="A75" i="4"/>
  <c r="A76" i="4"/>
  <c r="A77" i="4"/>
  <c r="A78" i="4"/>
  <c r="A79" i="4"/>
  <c r="A80" i="4"/>
  <c r="A81" i="4"/>
  <c r="A82" i="4"/>
  <c r="A83" i="4"/>
  <c r="A84" i="4"/>
  <c r="A85" i="4"/>
  <c r="A86" i="4"/>
  <c r="A93" i="4"/>
  <c r="A94" i="4"/>
  <c r="A95" i="4"/>
  <c r="A96" i="4"/>
  <c r="A97" i="4"/>
  <c r="A98" i="4"/>
  <c r="A99" i="4"/>
  <c r="A100" i="4"/>
  <c r="A101" i="4"/>
  <c r="A102" i="4"/>
  <c r="A103" i="4"/>
  <c r="A104" i="4"/>
  <c r="A105" i="4"/>
  <c r="A112" i="4"/>
  <c r="A113" i="4"/>
  <c r="A114" i="4"/>
  <c r="A115" i="4"/>
  <c r="A116" i="4"/>
  <c r="A117" i="4"/>
  <c r="A118" i="4"/>
  <c r="A119" i="4"/>
  <c r="A120" i="4"/>
  <c r="A121" i="4"/>
  <c r="A122" i="4"/>
  <c r="A123" i="4"/>
  <c r="A124" i="4"/>
  <c r="A131" i="4"/>
  <c r="A132" i="4"/>
  <c r="A133" i="4"/>
  <c r="A134" i="4"/>
  <c r="A135" i="4"/>
  <c r="A136" i="4"/>
  <c r="A137" i="4"/>
  <c r="A138" i="4"/>
  <c r="A139" i="4"/>
  <c r="A140" i="4"/>
  <c r="A141" i="4"/>
  <c r="A142" i="4"/>
  <c r="A143" i="4"/>
  <c r="G59" i="4"/>
  <c r="G64" i="4"/>
  <c r="B232" i="4"/>
  <c r="A150" i="4"/>
  <c r="A151" i="4"/>
  <c r="A152" i="4"/>
  <c r="A153" i="4"/>
  <c r="A154" i="4"/>
  <c r="A155" i="4"/>
  <c r="A156" i="4"/>
  <c r="A157" i="4"/>
  <c r="A158" i="4"/>
  <c r="A159" i="4"/>
  <c r="A160" i="4"/>
  <c r="A161" i="4"/>
  <c r="A162" i="4"/>
  <c r="A167" i="4"/>
  <c r="A168" i="4"/>
  <c r="A169" i="4"/>
  <c r="A170" i="4"/>
  <c r="A171" i="4"/>
  <c r="A172" i="4"/>
  <c r="A173" i="4"/>
  <c r="A174" i="4"/>
  <c r="A175" i="4"/>
  <c r="A176" i="4"/>
  <c r="A177" i="4"/>
  <c r="A178" i="4"/>
  <c r="A183" i="4"/>
  <c r="B235" i="4"/>
  <c r="A187" i="4"/>
  <c r="A191" i="4"/>
  <c r="B234" i="4"/>
  <c r="A198" i="4"/>
  <c r="B233" i="4"/>
  <c r="A199" i="4"/>
  <c r="A200" i="4"/>
  <c r="A201" i="4"/>
  <c r="A202" i="4"/>
  <c r="A203" i="4"/>
  <c r="A204" i="4"/>
  <c r="A205" i="4"/>
  <c r="A206" i="4"/>
  <c r="A207" i="4"/>
  <c r="A208" i="4"/>
  <c r="A209" i="4"/>
  <c r="A210" i="4"/>
  <c r="B236" i="4"/>
  <c r="C57" i="22"/>
  <c r="D19" i="71"/>
  <c r="D18" i="71"/>
  <c r="F46" i="22"/>
  <c r="F34" i="22"/>
  <c r="G69" i="22"/>
  <c r="G63" i="22"/>
  <c r="G22" i="45"/>
  <c r="G20" i="45"/>
  <c r="G19" i="45"/>
  <c r="G18" i="45"/>
  <c r="K130" i="1" s="1"/>
  <c r="J128" i="53"/>
  <c r="I128" i="53"/>
  <c r="F128" i="53"/>
  <c r="J127" i="53"/>
  <c r="I127" i="53"/>
  <c r="F127" i="53"/>
  <c r="J126" i="53"/>
  <c r="I126" i="53"/>
  <c r="F126" i="53"/>
  <c r="J125" i="53"/>
  <c r="I125" i="53"/>
  <c r="K125" i="53"/>
  <c r="F125" i="53"/>
  <c r="J124" i="53"/>
  <c r="I124" i="53"/>
  <c r="F124" i="53"/>
  <c r="J123" i="53"/>
  <c r="I123" i="53"/>
  <c r="F123" i="53"/>
  <c r="J122" i="53"/>
  <c r="I122" i="53"/>
  <c r="F122" i="53"/>
  <c r="J121" i="53"/>
  <c r="I121" i="53"/>
  <c r="K121" i="53"/>
  <c r="F121" i="53"/>
  <c r="J120" i="53"/>
  <c r="I120" i="53"/>
  <c r="F120" i="53"/>
  <c r="J119" i="53"/>
  <c r="I119" i="53"/>
  <c r="F119" i="53"/>
  <c r="J118" i="53"/>
  <c r="I118" i="53"/>
  <c r="F118" i="53"/>
  <c r="J117" i="53"/>
  <c r="I117" i="53"/>
  <c r="K117" i="53"/>
  <c r="F117" i="53"/>
  <c r="J116" i="53"/>
  <c r="I116" i="53"/>
  <c r="F116" i="53"/>
  <c r="J115" i="53"/>
  <c r="J130" i="53"/>
  <c r="I115" i="53"/>
  <c r="F115" i="53"/>
  <c r="B114" i="53"/>
  <c r="A108" i="53"/>
  <c r="A109" i="53"/>
  <c r="A110" i="53"/>
  <c r="A111" i="53"/>
  <c r="A112" i="53"/>
  <c r="A113" i="53"/>
  <c r="A114" i="53"/>
  <c r="B90" i="53"/>
  <c r="I38" i="53"/>
  <c r="D38" i="53"/>
  <c r="I37" i="53"/>
  <c r="D37" i="53"/>
  <c r="I36" i="53"/>
  <c r="D36" i="53"/>
  <c r="A29" i="53"/>
  <c r="A30" i="53"/>
  <c r="A31" i="53"/>
  <c r="A32" i="53"/>
  <c r="A33" i="53"/>
  <c r="A34" i="53"/>
  <c r="J27" i="53"/>
  <c r="J26" i="53"/>
  <c r="J25" i="53"/>
  <c r="J24" i="53"/>
  <c r="J23" i="53"/>
  <c r="J22" i="53"/>
  <c r="J21" i="53"/>
  <c r="J20" i="53"/>
  <c r="J19" i="53"/>
  <c r="J18" i="53"/>
  <c r="J17" i="53"/>
  <c r="J16" i="53"/>
  <c r="J15" i="53"/>
  <c r="J13" i="53"/>
  <c r="J12" i="53"/>
  <c r="K120" i="53"/>
  <c r="L120" i="53"/>
  <c r="K128" i="53"/>
  <c r="I130" i="53"/>
  <c r="K119" i="53"/>
  <c r="L119" i="53"/>
  <c r="K123" i="53"/>
  <c r="L123" i="53"/>
  <c r="K127" i="53"/>
  <c r="F130" i="53"/>
  <c r="K115" i="53"/>
  <c r="L115" i="53"/>
  <c r="K122" i="53"/>
  <c r="L122" i="53"/>
  <c r="K126" i="53"/>
  <c r="L126" i="53"/>
  <c r="L128" i="53"/>
  <c r="K124" i="53"/>
  <c r="L124" i="53"/>
  <c r="K116" i="53"/>
  <c r="L116" i="53"/>
  <c r="L121" i="53"/>
  <c r="J28" i="53"/>
  <c r="L127" i="53"/>
  <c r="K118" i="53"/>
  <c r="L117" i="53"/>
  <c r="L125" i="53"/>
  <c r="L118" i="53"/>
  <c r="A7" i="63"/>
  <c r="A8" i="63"/>
  <c r="A9" i="63"/>
  <c r="A10" i="63"/>
  <c r="A11" i="63"/>
  <c r="A12" i="63"/>
  <c r="A13" i="63"/>
  <c r="A14" i="63"/>
  <c r="A15" i="63"/>
  <c r="A16" i="63"/>
  <c r="A20" i="63"/>
  <c r="A21" i="63"/>
  <c r="A22"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8" i="63"/>
  <c r="A59" i="63"/>
  <c r="A60" i="63"/>
  <c r="A61" i="63"/>
  <c r="A62" i="63"/>
  <c r="A63" i="63"/>
  <c r="A64" i="63"/>
  <c r="L130" i="53"/>
  <c r="M118" i="53"/>
  <c r="C16" i="53"/>
  <c r="K130" i="53"/>
  <c r="M122" i="53"/>
  <c r="C20" i="53"/>
  <c r="M115" i="53"/>
  <c r="C12" i="53"/>
  <c r="M117" i="53"/>
  <c r="C15" i="53"/>
  <c r="M121" i="53"/>
  <c r="C19" i="53"/>
  <c r="M123" i="53"/>
  <c r="C21" i="53"/>
  <c r="M119" i="53"/>
  <c r="C17" i="53"/>
  <c r="M124" i="53"/>
  <c r="C22" i="53"/>
  <c r="M116" i="53"/>
  <c r="C13" i="53"/>
  <c r="M128" i="53"/>
  <c r="C26" i="53"/>
  <c r="M120" i="53"/>
  <c r="C18" i="53"/>
  <c r="M127" i="53"/>
  <c r="C25" i="53"/>
  <c r="M125" i="53"/>
  <c r="C23" i="53"/>
  <c r="M126" i="53"/>
  <c r="C24" i="53"/>
  <c r="M130" i="53"/>
  <c r="C28" i="53"/>
  <c r="E29" i="55"/>
  <c r="D29" i="55"/>
  <c r="C29" i="55"/>
  <c r="H42" i="8"/>
  <c r="H33" i="8"/>
  <c r="F26" i="65"/>
  <c r="F27" i="65"/>
  <c r="F28" i="65"/>
  <c r="F29" i="65"/>
  <c r="F30" i="65"/>
  <c r="F31" i="65"/>
  <c r="F32" i="65"/>
  <c r="F33" i="65"/>
  <c r="F34" i="65"/>
  <c r="F35" i="65"/>
  <c r="F36" i="65"/>
  <c r="E222" i="49"/>
  <c r="O34" i="48"/>
  <c r="O35" i="48"/>
  <c r="O36" i="48"/>
  <c r="J20" i="61"/>
  <c r="M20" i="61"/>
  <c r="G20" i="61"/>
  <c r="I20" i="61"/>
  <c r="P97" i="48"/>
  <c r="P98" i="48"/>
  <c r="P99" i="48"/>
  <c r="C34" i="48"/>
  <c r="C35" i="48"/>
  <c r="C36" i="48"/>
  <c r="C97" i="48"/>
  <c r="C98" i="48"/>
  <c r="C99" i="48"/>
  <c r="P66" i="48"/>
  <c r="P67" i="48"/>
  <c r="P68" i="48"/>
  <c r="P36" i="48"/>
  <c r="P35" i="48"/>
  <c r="P34" i="48"/>
  <c r="I407" i="49"/>
  <c r="I408" i="49"/>
  <c r="I409" i="49"/>
  <c r="E407" i="49"/>
  <c r="F407" i="49"/>
  <c r="E408" i="49"/>
  <c r="F408" i="49"/>
  <c r="E409" i="49"/>
  <c r="F409" i="49"/>
  <c r="I374" i="49"/>
  <c r="I375" i="49"/>
  <c r="I376" i="49"/>
  <c r="E374" i="49"/>
  <c r="F374" i="49"/>
  <c r="E375" i="49"/>
  <c r="F375" i="49"/>
  <c r="E376" i="49"/>
  <c r="F376" i="49"/>
  <c r="I341" i="49"/>
  <c r="I342" i="49"/>
  <c r="I343" i="49"/>
  <c r="E341" i="49"/>
  <c r="F341" i="49"/>
  <c r="E342" i="49"/>
  <c r="F342" i="49"/>
  <c r="E343" i="49"/>
  <c r="F343" i="49"/>
  <c r="I308" i="49"/>
  <c r="I309" i="49"/>
  <c r="I310" i="49"/>
  <c r="E308" i="49"/>
  <c r="F308" i="49"/>
  <c r="E309" i="49"/>
  <c r="F309" i="49"/>
  <c r="E310" i="49"/>
  <c r="F310" i="49"/>
  <c r="I275" i="49"/>
  <c r="I276" i="49"/>
  <c r="I277" i="49"/>
  <c r="E275" i="49"/>
  <c r="F275" i="49"/>
  <c r="E276" i="49"/>
  <c r="F276" i="49"/>
  <c r="E277" i="49"/>
  <c r="F277" i="49"/>
  <c r="I242" i="49"/>
  <c r="I243" i="49"/>
  <c r="I244" i="49"/>
  <c r="E242" i="49"/>
  <c r="F242" i="49"/>
  <c r="E243" i="49"/>
  <c r="F243" i="49"/>
  <c r="E244" i="49"/>
  <c r="F244" i="49"/>
  <c r="I209" i="49"/>
  <c r="I210" i="49"/>
  <c r="I211" i="49"/>
  <c r="E209" i="49"/>
  <c r="F209" i="49"/>
  <c r="E210" i="49"/>
  <c r="F210" i="49"/>
  <c r="E211" i="49"/>
  <c r="F211" i="49"/>
  <c r="I176" i="49"/>
  <c r="I177" i="49"/>
  <c r="I178" i="49"/>
  <c r="E176" i="49"/>
  <c r="F176" i="49"/>
  <c r="E177" i="49"/>
  <c r="F177" i="49"/>
  <c r="E178" i="49"/>
  <c r="F178" i="49"/>
  <c r="I145" i="49"/>
  <c r="E145" i="49"/>
  <c r="F145" i="49"/>
  <c r="I143" i="49"/>
  <c r="I144" i="49"/>
  <c r="E143" i="49"/>
  <c r="F143" i="49"/>
  <c r="E144" i="49"/>
  <c r="F144" i="49"/>
  <c r="I110" i="49"/>
  <c r="I111" i="49"/>
  <c r="I112" i="49"/>
  <c r="E110" i="49"/>
  <c r="E111" i="49"/>
  <c r="E112" i="49"/>
  <c r="F66" i="48"/>
  <c r="F34" i="48"/>
  <c r="F67" i="48"/>
  <c r="F35" i="48"/>
  <c r="F68" i="48"/>
  <c r="F36" i="48"/>
  <c r="E66" i="48"/>
  <c r="E34" i="48"/>
  <c r="E67" i="48"/>
  <c r="E35" i="48"/>
  <c r="E68" i="48"/>
  <c r="E36" i="48"/>
  <c r="I76" i="49"/>
  <c r="G66" i="48"/>
  <c r="G34" i="48"/>
  <c r="I78" i="49"/>
  <c r="G68" i="48"/>
  <c r="G36" i="48"/>
  <c r="E77" i="49"/>
  <c r="I77" i="49"/>
  <c r="G67" i="48"/>
  <c r="G35" i="48"/>
  <c r="E76" i="49"/>
  <c r="E78" i="49"/>
  <c r="F111" i="49"/>
  <c r="F77" i="49"/>
  <c r="F112" i="49"/>
  <c r="F78" i="49"/>
  <c r="F110" i="49"/>
  <c r="F76" i="49"/>
  <c r="D128" i="48"/>
  <c r="D127" i="48"/>
  <c r="D126" i="48"/>
  <c r="D125" i="48"/>
  <c r="D124" i="48"/>
  <c r="D123" i="48"/>
  <c r="D122" i="48"/>
  <c r="D121" i="48"/>
  <c r="D120" i="48"/>
  <c r="D119" i="48"/>
  <c r="F245" i="61"/>
  <c r="F72" i="64"/>
  <c r="E72" i="64"/>
  <c r="D72" i="64"/>
  <c r="F67" i="64"/>
  <c r="F66" i="64"/>
  <c r="E67" i="64"/>
  <c r="E66" i="64"/>
  <c r="D67" i="64"/>
  <c r="D66" i="64"/>
  <c r="D24" i="64"/>
  <c r="L12" i="64"/>
  <c r="K12" i="64"/>
  <c r="J12" i="64"/>
  <c r="I12" i="64"/>
  <c r="H12" i="64"/>
  <c r="G12" i="64"/>
  <c r="F12" i="64"/>
  <c r="E12" i="64"/>
  <c r="D12" i="64"/>
  <c r="C24" i="64"/>
  <c r="C12" i="64"/>
  <c r="B97" i="64"/>
  <c r="F68" i="64"/>
  <c r="D68" i="64"/>
  <c r="D77" i="64"/>
  <c r="A43" i="64"/>
  <c r="A44" i="64"/>
  <c r="A45" i="64"/>
  <c r="A46" i="64"/>
  <c r="A47" i="64"/>
  <c r="A48" i="64"/>
  <c r="A13" i="64"/>
  <c r="A14" i="64"/>
  <c r="A15" i="64"/>
  <c r="A16" i="64"/>
  <c r="A17" i="64"/>
  <c r="A18" i="64"/>
  <c r="A19" i="64"/>
  <c r="A20" i="64"/>
  <c r="A21" i="64"/>
  <c r="A22" i="64"/>
  <c r="A23" i="64"/>
  <c r="A24" i="64"/>
  <c r="A25" i="64"/>
  <c r="A26" i="64"/>
  <c r="A28" i="64"/>
  <c r="C48" i="64"/>
  <c r="D70" i="21"/>
  <c r="F48" i="64"/>
  <c r="J48" i="64"/>
  <c r="G48" i="64"/>
  <c r="K48" i="64"/>
  <c r="D48" i="64"/>
  <c r="H48" i="64"/>
  <c r="L48" i="64"/>
  <c r="E48" i="64"/>
  <c r="I48" i="64"/>
  <c r="A49" i="64"/>
  <c r="A50" i="64"/>
  <c r="A51" i="64"/>
  <c r="A52" i="64"/>
  <c r="A53" i="64"/>
  <c r="A54" i="64"/>
  <c r="A55" i="64"/>
  <c r="A56" i="64"/>
  <c r="A57" i="64"/>
  <c r="A58" i="64"/>
  <c r="A59" i="64"/>
  <c r="A60" i="64"/>
  <c r="A61" i="64"/>
  <c r="A62" i="64"/>
  <c r="A63" i="64"/>
  <c r="A64" i="64"/>
  <c r="A65" i="64"/>
  <c r="A66" i="64"/>
  <c r="A67" i="64"/>
  <c r="A68" i="64"/>
  <c r="E68" i="64"/>
  <c r="E77" i="64"/>
  <c r="F77" i="64"/>
  <c r="J70" i="21"/>
  <c r="E70" i="21"/>
  <c r="G70" i="21"/>
  <c r="H70" i="21"/>
  <c r="K70" i="21"/>
  <c r="F70" i="21"/>
  <c r="L70" i="21"/>
  <c r="G91" i="64"/>
  <c r="M70" i="21"/>
  <c r="M48" i="64"/>
  <c r="I70" i="21"/>
  <c r="B146" i="21"/>
  <c r="G77" i="64"/>
  <c r="F92" i="64"/>
  <c r="B98" i="64"/>
  <c r="A69" i="64"/>
  <c r="A70" i="64"/>
  <c r="A71" i="64"/>
  <c r="A72" i="64"/>
  <c r="N70" i="21"/>
  <c r="B99" i="64"/>
  <c r="A73" i="64"/>
  <c r="A74" i="64"/>
  <c r="A75" i="64"/>
  <c r="A76" i="64"/>
  <c r="A77" i="64"/>
  <c r="B104" i="64"/>
  <c r="G92" i="64"/>
  <c r="A78" i="64"/>
  <c r="A79" i="64"/>
  <c r="A80" i="64"/>
  <c r="A81" i="64"/>
  <c r="A82" i="64"/>
  <c r="A83" i="64"/>
  <c r="A84" i="64"/>
  <c r="A85" i="64"/>
  <c r="A86" i="64"/>
  <c r="I84" i="64"/>
  <c r="I86" i="64"/>
  <c r="G93" i="64"/>
  <c r="A87" i="64"/>
  <c r="A88" i="64"/>
  <c r="A89" i="64"/>
  <c r="A90" i="64"/>
  <c r="A91" i="64"/>
  <c r="A92" i="64"/>
  <c r="A93" i="64"/>
  <c r="A94" i="64"/>
  <c r="I129" i="1"/>
  <c r="G94" i="64"/>
  <c r="O19" i="48"/>
  <c r="J86" i="8"/>
  <c r="E87" i="8" s="1"/>
  <c r="C117" i="48"/>
  <c r="H26" i="8"/>
  <c r="I31" i="1"/>
  <c r="A33" i="79"/>
  <c r="A34" i="79"/>
  <c r="A35" i="79"/>
  <c r="A36" i="79"/>
  <c r="A37" i="79"/>
  <c r="A38" i="79"/>
  <c r="A39" i="79"/>
  <c r="E19" i="71"/>
  <c r="E18" i="71"/>
  <c r="D17" i="71"/>
  <c r="D16" i="71"/>
  <c r="D15" i="71"/>
  <c r="D14" i="71"/>
  <c r="D13" i="71"/>
  <c r="D12" i="71"/>
  <c r="D11" i="71"/>
  <c r="D10" i="71"/>
  <c r="D9" i="71"/>
  <c r="D21" i="71"/>
  <c r="D57" i="7"/>
  <c r="D53" i="7"/>
  <c r="E34" i="11"/>
  <c r="E33" i="11"/>
  <c r="E32" i="11"/>
  <c r="E31" i="11"/>
  <c r="E30" i="11"/>
  <c r="E29" i="11"/>
  <c r="E28" i="11"/>
  <c r="E27" i="11"/>
  <c r="E26" i="11"/>
  <c r="I406" i="49"/>
  <c r="I405" i="49"/>
  <c r="I404" i="49"/>
  <c r="I403" i="49"/>
  <c r="I402" i="49"/>
  <c r="I401" i="49"/>
  <c r="I400" i="49"/>
  <c r="I399" i="49"/>
  <c r="I398" i="49"/>
  <c r="I397" i="49"/>
  <c r="I396" i="49"/>
  <c r="I395" i="49"/>
  <c r="I394" i="49"/>
  <c r="I393" i="49"/>
  <c r="I392" i="49"/>
  <c r="I391" i="49"/>
  <c r="I390" i="49"/>
  <c r="I389" i="49"/>
  <c r="I388" i="49"/>
  <c r="I387" i="49"/>
  <c r="I386" i="49"/>
  <c r="E406" i="49"/>
  <c r="E405" i="49"/>
  <c r="E404" i="49"/>
  <c r="E403" i="49"/>
  <c r="E402" i="49"/>
  <c r="E401" i="49"/>
  <c r="E400" i="49"/>
  <c r="E399" i="49"/>
  <c r="E398" i="49"/>
  <c r="E397" i="49"/>
  <c r="E396" i="49"/>
  <c r="E395" i="49"/>
  <c r="E394" i="49"/>
  <c r="E393" i="49"/>
  <c r="E392" i="49"/>
  <c r="E391" i="49"/>
  <c r="E390" i="49"/>
  <c r="E389" i="49"/>
  <c r="E388" i="49"/>
  <c r="E387" i="49"/>
  <c r="F387" i="49"/>
  <c r="E386" i="49"/>
  <c r="F386" i="49"/>
  <c r="J386" i="49"/>
  <c r="I373" i="49"/>
  <c r="I372" i="49"/>
  <c r="I371" i="49"/>
  <c r="I370" i="49"/>
  <c r="I369" i="49"/>
  <c r="I368" i="49"/>
  <c r="I367" i="49"/>
  <c r="I366" i="49"/>
  <c r="I365" i="49"/>
  <c r="I364" i="49"/>
  <c r="I363" i="49"/>
  <c r="I362" i="49"/>
  <c r="I361" i="49"/>
  <c r="I360" i="49"/>
  <c r="I359" i="49"/>
  <c r="I358" i="49"/>
  <c r="I357" i="49"/>
  <c r="I356" i="49"/>
  <c r="I355" i="49"/>
  <c r="I354" i="49"/>
  <c r="I353" i="49"/>
  <c r="E373" i="49"/>
  <c r="E372" i="49"/>
  <c r="E371" i="49"/>
  <c r="E370" i="49"/>
  <c r="E369" i="49"/>
  <c r="E368" i="49"/>
  <c r="E367" i="49"/>
  <c r="E366" i="49"/>
  <c r="E365" i="49"/>
  <c r="E364" i="49"/>
  <c r="E363" i="49"/>
  <c r="E362" i="49"/>
  <c r="E361" i="49"/>
  <c r="E360" i="49"/>
  <c r="E359" i="49"/>
  <c r="E358" i="49"/>
  <c r="E357" i="49"/>
  <c r="E356" i="49"/>
  <c r="E355" i="49"/>
  <c r="E354" i="49"/>
  <c r="E353" i="49"/>
  <c r="I340" i="49"/>
  <c r="I339" i="49"/>
  <c r="I338" i="49"/>
  <c r="I337" i="49"/>
  <c r="I336" i="49"/>
  <c r="I335" i="49"/>
  <c r="I334" i="49"/>
  <c r="I333" i="49"/>
  <c r="I332" i="49"/>
  <c r="I331" i="49"/>
  <c r="I330" i="49"/>
  <c r="I329" i="49"/>
  <c r="I328" i="49"/>
  <c r="I327" i="49"/>
  <c r="I326" i="49"/>
  <c r="I325" i="49"/>
  <c r="I324" i="49"/>
  <c r="I323" i="49"/>
  <c r="I322" i="49"/>
  <c r="I321" i="49"/>
  <c r="I320" i="49"/>
  <c r="E340" i="49"/>
  <c r="E339" i="49"/>
  <c r="E338" i="49"/>
  <c r="E337" i="49"/>
  <c r="E336" i="49"/>
  <c r="E335" i="49"/>
  <c r="E334" i="49"/>
  <c r="E333" i="49"/>
  <c r="E332" i="49"/>
  <c r="E331" i="49"/>
  <c r="E330" i="49"/>
  <c r="E329" i="49"/>
  <c r="E328" i="49"/>
  <c r="E327" i="49"/>
  <c r="E326" i="49"/>
  <c r="E325" i="49"/>
  <c r="E324" i="49"/>
  <c r="E323" i="49"/>
  <c r="E322" i="49"/>
  <c r="E321" i="49"/>
  <c r="E320" i="49"/>
  <c r="I307" i="49"/>
  <c r="I306" i="49"/>
  <c r="I305" i="49"/>
  <c r="I304" i="49"/>
  <c r="I303" i="49"/>
  <c r="I302" i="49"/>
  <c r="I301" i="49"/>
  <c r="I300" i="49"/>
  <c r="I299" i="49"/>
  <c r="I298" i="49"/>
  <c r="I297" i="49"/>
  <c r="I296" i="49"/>
  <c r="I295" i="49"/>
  <c r="I294" i="49"/>
  <c r="I293" i="49"/>
  <c r="I292" i="49"/>
  <c r="I291" i="49"/>
  <c r="I290" i="49"/>
  <c r="I289" i="49"/>
  <c r="I288" i="49"/>
  <c r="I287" i="49"/>
  <c r="E307" i="49"/>
  <c r="E306" i="49"/>
  <c r="E305" i="49"/>
  <c r="E304" i="49"/>
  <c r="E303" i="49"/>
  <c r="E302" i="49"/>
  <c r="E301" i="49"/>
  <c r="E300" i="49"/>
  <c r="E299" i="49"/>
  <c r="E298" i="49"/>
  <c r="E297" i="49"/>
  <c r="E296" i="49"/>
  <c r="E295" i="49"/>
  <c r="E294" i="49"/>
  <c r="E293" i="49"/>
  <c r="E292" i="49"/>
  <c r="E291" i="49"/>
  <c r="E290" i="49"/>
  <c r="E289" i="49"/>
  <c r="E288" i="49"/>
  <c r="E287" i="49"/>
  <c r="I274" i="49"/>
  <c r="I273" i="49"/>
  <c r="I272" i="49"/>
  <c r="I271" i="49"/>
  <c r="I270" i="49"/>
  <c r="I269" i="49"/>
  <c r="I268" i="49"/>
  <c r="I267" i="49"/>
  <c r="I266" i="49"/>
  <c r="I265" i="49"/>
  <c r="I264" i="49"/>
  <c r="I263" i="49"/>
  <c r="I262" i="49"/>
  <c r="I261" i="49"/>
  <c r="I260" i="49"/>
  <c r="I259" i="49"/>
  <c r="I258" i="49"/>
  <c r="I257" i="49"/>
  <c r="I256" i="49"/>
  <c r="I255" i="49"/>
  <c r="I254" i="49"/>
  <c r="E274" i="49"/>
  <c r="E273" i="49"/>
  <c r="E272" i="49"/>
  <c r="E271" i="49"/>
  <c r="E270" i="49"/>
  <c r="E269" i="49"/>
  <c r="E268" i="49"/>
  <c r="E267" i="49"/>
  <c r="E266" i="49"/>
  <c r="E265" i="49"/>
  <c r="E264" i="49"/>
  <c r="E263" i="49"/>
  <c r="E262" i="49"/>
  <c r="E261" i="49"/>
  <c r="E260" i="49"/>
  <c r="E259" i="49"/>
  <c r="E258" i="49"/>
  <c r="E257" i="49"/>
  <c r="E256" i="49"/>
  <c r="E255" i="49"/>
  <c r="E254" i="49"/>
  <c r="I241" i="49"/>
  <c r="I240" i="49"/>
  <c r="I239" i="49"/>
  <c r="I238" i="49"/>
  <c r="I237" i="49"/>
  <c r="I236" i="49"/>
  <c r="I235" i="49"/>
  <c r="I234" i="49"/>
  <c r="I233" i="49"/>
  <c r="I232" i="49"/>
  <c r="I231" i="49"/>
  <c r="I230" i="49"/>
  <c r="I229" i="49"/>
  <c r="I228" i="49"/>
  <c r="I227" i="49"/>
  <c r="I226" i="49"/>
  <c r="I225" i="49"/>
  <c r="I224" i="49"/>
  <c r="I223" i="49"/>
  <c r="I222" i="49"/>
  <c r="I221" i="49"/>
  <c r="E241" i="49"/>
  <c r="E240" i="49"/>
  <c r="E239" i="49"/>
  <c r="E238" i="49"/>
  <c r="E237" i="49"/>
  <c r="E236" i="49"/>
  <c r="E235" i="49"/>
  <c r="E234" i="49"/>
  <c r="E233" i="49"/>
  <c r="E232" i="49"/>
  <c r="E231" i="49"/>
  <c r="E230" i="49"/>
  <c r="E229" i="49"/>
  <c r="E228" i="49"/>
  <c r="E227" i="49"/>
  <c r="E226" i="49"/>
  <c r="E225" i="49"/>
  <c r="E224" i="49"/>
  <c r="E223" i="49"/>
  <c r="E221" i="49"/>
  <c r="I189" i="49"/>
  <c r="I190" i="49"/>
  <c r="I191" i="49"/>
  <c r="I192" i="49"/>
  <c r="I193" i="49"/>
  <c r="I194" i="49"/>
  <c r="I195" i="49"/>
  <c r="I196" i="49"/>
  <c r="I197" i="49"/>
  <c r="I198" i="49"/>
  <c r="I199" i="49"/>
  <c r="I200" i="49"/>
  <c r="I201" i="49"/>
  <c r="I202" i="49"/>
  <c r="I203" i="49"/>
  <c r="I204" i="49"/>
  <c r="I205" i="49"/>
  <c r="I206" i="49"/>
  <c r="I207" i="49"/>
  <c r="I208" i="49"/>
  <c r="I188" i="49"/>
  <c r="E189" i="49"/>
  <c r="E190" i="49"/>
  <c r="E191" i="49"/>
  <c r="E192" i="49"/>
  <c r="E193" i="49"/>
  <c r="E194" i="49"/>
  <c r="E195" i="49"/>
  <c r="E196" i="49"/>
  <c r="E197" i="49"/>
  <c r="E198" i="49"/>
  <c r="E199" i="49"/>
  <c r="E200" i="49"/>
  <c r="E201" i="49"/>
  <c r="E202" i="49"/>
  <c r="E203" i="49"/>
  <c r="E204" i="49"/>
  <c r="E205" i="49"/>
  <c r="E206" i="49"/>
  <c r="E207" i="49"/>
  <c r="E208" i="49"/>
  <c r="E188" i="49"/>
  <c r="F188" i="49"/>
  <c r="I175" i="49"/>
  <c r="I174" i="49"/>
  <c r="I173" i="49"/>
  <c r="I172" i="49"/>
  <c r="I171" i="49"/>
  <c r="I170" i="49"/>
  <c r="I169" i="49"/>
  <c r="I168" i="49"/>
  <c r="I167" i="49"/>
  <c r="I166" i="49"/>
  <c r="I165" i="49"/>
  <c r="I164" i="49"/>
  <c r="I163" i="49"/>
  <c r="I162" i="49"/>
  <c r="I161" i="49"/>
  <c r="I160" i="49"/>
  <c r="I159" i="49"/>
  <c r="I158" i="49"/>
  <c r="I157" i="49"/>
  <c r="I156" i="49"/>
  <c r="I155" i="49"/>
  <c r="E175" i="49"/>
  <c r="E174" i="49"/>
  <c r="E173" i="49"/>
  <c r="E172" i="49"/>
  <c r="E171" i="49"/>
  <c r="E170" i="49"/>
  <c r="E169" i="49"/>
  <c r="E168" i="49"/>
  <c r="E167" i="49"/>
  <c r="E166" i="49"/>
  <c r="E165" i="49"/>
  <c r="E164" i="49"/>
  <c r="E163" i="49"/>
  <c r="E162" i="49"/>
  <c r="E161" i="49"/>
  <c r="E160" i="49"/>
  <c r="E159" i="49"/>
  <c r="E158" i="49"/>
  <c r="E157" i="49"/>
  <c r="E156"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72" i="49"/>
  <c r="I105" i="49"/>
  <c r="I104" i="49"/>
  <c r="I103" i="49"/>
  <c r="I102" i="49"/>
  <c r="I68" i="49"/>
  <c r="I101" i="49"/>
  <c r="I100" i="49"/>
  <c r="I99" i="49"/>
  <c r="I98" i="49"/>
  <c r="I64" i="49"/>
  <c r="I97" i="49"/>
  <c r="I96" i="49"/>
  <c r="I95" i="49"/>
  <c r="I94" i="49"/>
  <c r="I60" i="49"/>
  <c r="I93" i="49"/>
  <c r="I92" i="49"/>
  <c r="I91" i="49"/>
  <c r="I90" i="49"/>
  <c r="I56" i="49"/>
  <c r="I89" i="49"/>
  <c r="E109" i="49"/>
  <c r="E108" i="49"/>
  <c r="E107" i="49"/>
  <c r="E106" i="49"/>
  <c r="E105" i="49"/>
  <c r="E104" i="49"/>
  <c r="E103" i="49"/>
  <c r="E102" i="49"/>
  <c r="E101" i="49"/>
  <c r="E100" i="49"/>
  <c r="E99" i="49"/>
  <c r="E98" i="49"/>
  <c r="E97" i="49"/>
  <c r="E96" i="49"/>
  <c r="E95" i="49"/>
  <c r="E94" i="49"/>
  <c r="E93" i="49"/>
  <c r="E92" i="49"/>
  <c r="E91" i="49"/>
  <c r="E90" i="49"/>
  <c r="E89" i="49"/>
  <c r="J387" i="49"/>
  <c r="K386" i="49"/>
  <c r="I57" i="49"/>
  <c r="E38" i="11"/>
  <c r="E57" i="49"/>
  <c r="E61" i="49"/>
  <c r="E65" i="49"/>
  <c r="E69" i="49"/>
  <c r="E73" i="49"/>
  <c r="I69" i="49"/>
  <c r="G59" i="48"/>
  <c r="G27" i="48"/>
  <c r="I61" i="49"/>
  <c r="G51" i="48"/>
  <c r="G19" i="48"/>
  <c r="I65" i="49"/>
  <c r="G55" i="48"/>
  <c r="G23" i="48"/>
  <c r="I73" i="49"/>
  <c r="E58" i="49"/>
  <c r="E66" i="49"/>
  <c r="E70" i="49"/>
  <c r="E62" i="49"/>
  <c r="E74" i="49"/>
  <c r="I58" i="49"/>
  <c r="G48" i="48"/>
  <c r="G16" i="48"/>
  <c r="I74" i="49"/>
  <c r="G64" i="48"/>
  <c r="G32" i="48"/>
  <c r="I62" i="49"/>
  <c r="G52" i="48"/>
  <c r="G20" i="48"/>
  <c r="I66" i="49"/>
  <c r="G56" i="48"/>
  <c r="G24" i="48"/>
  <c r="I70" i="49"/>
  <c r="G60" i="48"/>
  <c r="G28" i="48"/>
  <c r="I55" i="49"/>
  <c r="I59" i="49"/>
  <c r="I63" i="49"/>
  <c r="G53" i="48"/>
  <c r="G21" i="48"/>
  <c r="I67" i="49"/>
  <c r="I71" i="49"/>
  <c r="I75" i="49"/>
  <c r="E55" i="49"/>
  <c r="E59" i="49"/>
  <c r="E63" i="49"/>
  <c r="E67" i="49"/>
  <c r="E71" i="49"/>
  <c r="E75" i="49"/>
  <c r="E56" i="49"/>
  <c r="E60" i="49"/>
  <c r="E64" i="49"/>
  <c r="E68" i="49"/>
  <c r="E72" i="49"/>
  <c r="C120" i="48"/>
  <c r="E120" i="48"/>
  <c r="C119" i="48"/>
  <c r="C131" i="48"/>
  <c r="P52" i="48"/>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c r="A16" i="48"/>
  <c r="A17" i="48"/>
  <c r="A18" i="48"/>
  <c r="A19" i="48"/>
  <c r="A20" i="48"/>
  <c r="A21" i="48"/>
  <c r="A22" i="48"/>
  <c r="A23" i="48"/>
  <c r="A24" i="48"/>
  <c r="A25" i="48"/>
  <c r="A26" i="48"/>
  <c r="A27" i="48"/>
  <c r="A28" i="48"/>
  <c r="A29" i="48"/>
  <c r="A30" i="48"/>
  <c r="A31" i="48"/>
  <c r="A32" i="48"/>
  <c r="A33" i="48"/>
  <c r="A34" i="48"/>
  <c r="A35" i="48"/>
  <c r="A36" i="48"/>
  <c r="A37" i="48"/>
  <c r="L13" i="48"/>
  <c r="C13" i="48"/>
  <c r="G75" i="48"/>
  <c r="E75" i="48"/>
  <c r="G74" i="48"/>
  <c r="F43" i="48"/>
  <c r="E73" i="48"/>
  <c r="F406" i="49"/>
  <c r="F405" i="49"/>
  <c r="F404" i="49"/>
  <c r="F403" i="49"/>
  <c r="F402" i="49"/>
  <c r="F401" i="49"/>
  <c r="F400" i="49"/>
  <c r="F399" i="49"/>
  <c r="F398" i="49"/>
  <c r="F397" i="49"/>
  <c r="F396" i="49"/>
  <c r="F395" i="49"/>
  <c r="F394" i="49"/>
  <c r="F393" i="49"/>
  <c r="F392" i="49"/>
  <c r="F391" i="49"/>
  <c r="F390" i="49"/>
  <c r="F389" i="49"/>
  <c r="F388" i="49"/>
  <c r="K384" i="49"/>
  <c r="J384" i="49"/>
  <c r="I384" i="49"/>
  <c r="H384" i="49"/>
  <c r="G384" i="49"/>
  <c r="F384" i="49"/>
  <c r="E384" i="49"/>
  <c r="D384" i="49"/>
  <c r="K383" i="49"/>
  <c r="J383" i="49"/>
  <c r="I383" i="49"/>
  <c r="H383" i="49"/>
  <c r="G383" i="49"/>
  <c r="F383" i="49"/>
  <c r="E383" i="49"/>
  <c r="D383" i="49"/>
  <c r="G382" i="49"/>
  <c r="F373" i="49"/>
  <c r="F372" i="49"/>
  <c r="F371" i="49"/>
  <c r="F370" i="49"/>
  <c r="F369" i="49"/>
  <c r="F368" i="49"/>
  <c r="F367" i="49"/>
  <c r="F366" i="49"/>
  <c r="F365" i="49"/>
  <c r="F364" i="49"/>
  <c r="F363" i="49"/>
  <c r="F362" i="49"/>
  <c r="F361" i="49"/>
  <c r="F360" i="49"/>
  <c r="F359" i="49"/>
  <c r="F358" i="49"/>
  <c r="F357" i="49"/>
  <c r="F356" i="49"/>
  <c r="F355" i="49"/>
  <c r="F354" i="49"/>
  <c r="F353" i="49"/>
  <c r="J352" i="49"/>
  <c r="K351" i="49"/>
  <c r="J351" i="49"/>
  <c r="I351" i="49"/>
  <c r="H351" i="49"/>
  <c r="G351" i="49"/>
  <c r="F351" i="49"/>
  <c r="E351" i="49"/>
  <c r="D351" i="49"/>
  <c r="K350" i="49"/>
  <c r="J350" i="49"/>
  <c r="I350" i="49"/>
  <c r="H350" i="49"/>
  <c r="G350" i="49"/>
  <c r="F350" i="49"/>
  <c r="E350" i="49"/>
  <c r="D350" i="49"/>
  <c r="G349" i="49"/>
  <c r="F340" i="49"/>
  <c r="F339" i="49"/>
  <c r="F338" i="49"/>
  <c r="F337" i="49"/>
  <c r="F336" i="49"/>
  <c r="F335" i="49"/>
  <c r="F334" i="49"/>
  <c r="F333" i="49"/>
  <c r="F332" i="49"/>
  <c r="F331" i="49"/>
  <c r="F330" i="49"/>
  <c r="F329" i="49"/>
  <c r="F328" i="49"/>
  <c r="F327" i="49"/>
  <c r="F326" i="49"/>
  <c r="F325" i="49"/>
  <c r="F324" i="49"/>
  <c r="F323" i="49"/>
  <c r="F322" i="49"/>
  <c r="F321" i="49"/>
  <c r="F320" i="49"/>
  <c r="K318" i="49"/>
  <c r="J318" i="49"/>
  <c r="I318" i="49"/>
  <c r="H318" i="49"/>
  <c r="G318" i="49"/>
  <c r="F318" i="49"/>
  <c r="E318" i="49"/>
  <c r="D318" i="49"/>
  <c r="K317" i="49"/>
  <c r="J317" i="49"/>
  <c r="I317" i="49"/>
  <c r="H317" i="49"/>
  <c r="G317" i="49"/>
  <c r="F317" i="49"/>
  <c r="E317" i="49"/>
  <c r="D317" i="49"/>
  <c r="G316" i="49"/>
  <c r="F307" i="49"/>
  <c r="F306" i="49"/>
  <c r="F305" i="49"/>
  <c r="F304" i="49"/>
  <c r="F303" i="49"/>
  <c r="F302" i="49"/>
  <c r="F301" i="49"/>
  <c r="F300" i="49"/>
  <c r="F299" i="49"/>
  <c r="F298" i="49"/>
  <c r="F297" i="49"/>
  <c r="F296" i="49"/>
  <c r="F295" i="49"/>
  <c r="F294" i="49"/>
  <c r="F293" i="49"/>
  <c r="F292" i="49"/>
  <c r="F291" i="49"/>
  <c r="F290" i="49"/>
  <c r="F289" i="49"/>
  <c r="F288" i="49"/>
  <c r="F287" i="49"/>
  <c r="J286" i="49"/>
  <c r="K285" i="49"/>
  <c r="J285" i="49"/>
  <c r="I285" i="49"/>
  <c r="H285" i="49"/>
  <c r="G285" i="49"/>
  <c r="F285" i="49"/>
  <c r="E285" i="49"/>
  <c r="D285" i="49"/>
  <c r="K284" i="49"/>
  <c r="J284" i="49"/>
  <c r="I284" i="49"/>
  <c r="H284" i="49"/>
  <c r="G284" i="49"/>
  <c r="F284" i="49"/>
  <c r="E284" i="49"/>
  <c r="D284" i="49"/>
  <c r="G283" i="49"/>
  <c r="F273" i="49"/>
  <c r="F272" i="49"/>
  <c r="F271" i="49"/>
  <c r="F270" i="49"/>
  <c r="F269" i="49"/>
  <c r="F268" i="49"/>
  <c r="F267" i="49"/>
  <c r="F266" i="49"/>
  <c r="F265" i="49"/>
  <c r="F264" i="49"/>
  <c r="F263" i="49"/>
  <c r="F262" i="49"/>
  <c r="F261" i="49"/>
  <c r="F260" i="49"/>
  <c r="F259" i="49"/>
  <c r="F258" i="49"/>
  <c r="F256" i="49"/>
  <c r="F255" i="49"/>
  <c r="F254" i="49"/>
  <c r="J253" i="49"/>
  <c r="K252" i="49"/>
  <c r="J252" i="49"/>
  <c r="I252" i="49"/>
  <c r="H252" i="49"/>
  <c r="F252" i="49"/>
  <c r="E252" i="49"/>
  <c r="D252" i="49"/>
  <c r="K251" i="49"/>
  <c r="J251" i="49"/>
  <c r="I251" i="49"/>
  <c r="H251" i="49"/>
  <c r="F251" i="49"/>
  <c r="E251" i="49"/>
  <c r="D251" i="49"/>
  <c r="F241" i="49"/>
  <c r="F240" i="49"/>
  <c r="F239" i="49"/>
  <c r="F238" i="49"/>
  <c r="F237" i="49"/>
  <c r="F236" i="49"/>
  <c r="F235" i="49"/>
  <c r="F234" i="49"/>
  <c r="F233" i="49"/>
  <c r="F232" i="49"/>
  <c r="F231" i="49"/>
  <c r="F230" i="49"/>
  <c r="F229" i="49"/>
  <c r="F228" i="49"/>
  <c r="F227" i="49"/>
  <c r="F226" i="49"/>
  <c r="F225" i="49"/>
  <c r="F224" i="49"/>
  <c r="F223" i="49"/>
  <c r="F222" i="49"/>
  <c r="F221" i="49"/>
  <c r="J220" i="49"/>
  <c r="K219" i="49"/>
  <c r="J219" i="49"/>
  <c r="I219" i="49"/>
  <c r="H219" i="49"/>
  <c r="G219" i="49"/>
  <c r="F219" i="49"/>
  <c r="E219" i="49"/>
  <c r="D219" i="49"/>
  <c r="K218" i="49"/>
  <c r="J218" i="49"/>
  <c r="I218" i="49"/>
  <c r="H218" i="49"/>
  <c r="G218" i="49"/>
  <c r="F218" i="49"/>
  <c r="E218" i="49"/>
  <c r="D218" i="49"/>
  <c r="G217" i="49"/>
  <c r="F208" i="49"/>
  <c r="F207" i="49"/>
  <c r="F206" i="49"/>
  <c r="F205" i="49"/>
  <c r="F204" i="49"/>
  <c r="F203" i="49"/>
  <c r="F202" i="49"/>
  <c r="F201" i="49"/>
  <c r="F200" i="49"/>
  <c r="F198" i="49"/>
  <c r="F197" i="49"/>
  <c r="F196" i="49"/>
  <c r="F195" i="49"/>
  <c r="F194" i="49"/>
  <c r="F193" i="49"/>
  <c r="F192" i="49"/>
  <c r="F191" i="49"/>
  <c r="F190" i="49"/>
  <c r="F189" i="49"/>
  <c r="J187" i="49"/>
  <c r="K186" i="49"/>
  <c r="J186" i="49"/>
  <c r="I186" i="49"/>
  <c r="H186" i="49"/>
  <c r="G186" i="49"/>
  <c r="F186" i="49"/>
  <c r="E186" i="49"/>
  <c r="D186" i="49"/>
  <c r="K185" i="49"/>
  <c r="J185" i="49"/>
  <c r="I185" i="49"/>
  <c r="H185" i="49"/>
  <c r="G185" i="49"/>
  <c r="F185" i="49"/>
  <c r="E185" i="49"/>
  <c r="D185" i="49"/>
  <c r="G184" i="49"/>
  <c r="F175" i="49"/>
  <c r="F174" i="49"/>
  <c r="F173" i="49"/>
  <c r="F172" i="49"/>
  <c r="F171" i="49"/>
  <c r="F170" i="49"/>
  <c r="F169" i="49"/>
  <c r="F168" i="49"/>
  <c r="F167" i="49"/>
  <c r="F166" i="49"/>
  <c r="F165" i="49"/>
  <c r="F164" i="49"/>
  <c r="F163" i="49"/>
  <c r="F162" i="49"/>
  <c r="F161" i="49"/>
  <c r="F160" i="49"/>
  <c r="F159" i="49"/>
  <c r="F158" i="49"/>
  <c r="F157" i="49"/>
  <c r="F156" i="49"/>
  <c r="F155" i="49"/>
  <c r="J154" i="49"/>
  <c r="K153" i="49"/>
  <c r="J153" i="49"/>
  <c r="I153" i="49"/>
  <c r="H153" i="49"/>
  <c r="G153" i="49"/>
  <c r="F153" i="49"/>
  <c r="E153" i="49"/>
  <c r="D153" i="49"/>
  <c r="K152" i="49"/>
  <c r="J152" i="49"/>
  <c r="I152" i="49"/>
  <c r="H152" i="49"/>
  <c r="G152" i="49"/>
  <c r="F152" i="49"/>
  <c r="E152" i="49"/>
  <c r="D152" i="49"/>
  <c r="G151" i="49"/>
  <c r="F142" i="49"/>
  <c r="F141" i="49"/>
  <c r="F140" i="49"/>
  <c r="F139" i="49"/>
  <c r="F138" i="49"/>
  <c r="F137" i="49"/>
  <c r="F136" i="49"/>
  <c r="G58" i="48"/>
  <c r="G26" i="48"/>
  <c r="F135" i="49"/>
  <c r="F134" i="49"/>
  <c r="F133" i="49"/>
  <c r="F132" i="49"/>
  <c r="G54" i="48"/>
  <c r="G22" i="48"/>
  <c r="F131" i="49"/>
  <c r="F130" i="49"/>
  <c r="F129" i="49"/>
  <c r="F128" i="49"/>
  <c r="F127" i="49"/>
  <c r="F126" i="49"/>
  <c r="F125" i="49"/>
  <c r="F124" i="49"/>
  <c r="F123" i="49"/>
  <c r="F122" i="49"/>
  <c r="J121" i="49"/>
  <c r="K120" i="49"/>
  <c r="J120" i="49"/>
  <c r="I120" i="49"/>
  <c r="H120" i="49"/>
  <c r="G120" i="49"/>
  <c r="G450" i="49"/>
  <c r="F120" i="49"/>
  <c r="E120" i="49"/>
  <c r="D120" i="49"/>
  <c r="K119" i="49"/>
  <c r="J119" i="49"/>
  <c r="I119" i="49"/>
  <c r="H119" i="49"/>
  <c r="G119" i="49"/>
  <c r="G449" i="49"/>
  <c r="F119" i="49"/>
  <c r="E119" i="49"/>
  <c r="D119" i="49"/>
  <c r="G118" i="49"/>
  <c r="G448" i="49"/>
  <c r="F109" i="49"/>
  <c r="F108" i="49"/>
  <c r="G63" i="48"/>
  <c r="G31" i="48"/>
  <c r="F106" i="49"/>
  <c r="F105" i="49"/>
  <c r="F104" i="49"/>
  <c r="F103" i="49"/>
  <c r="F102" i="49"/>
  <c r="F101" i="49"/>
  <c r="F100" i="49"/>
  <c r="F98" i="49"/>
  <c r="F97" i="49"/>
  <c r="F96" i="49"/>
  <c r="F95" i="49"/>
  <c r="F94" i="49"/>
  <c r="F93" i="49"/>
  <c r="F92" i="49"/>
  <c r="G47" i="48"/>
  <c r="G15" i="48"/>
  <c r="F91" i="49"/>
  <c r="F90" i="49"/>
  <c r="F89" i="49"/>
  <c r="J88" i="49"/>
  <c r="K87" i="49"/>
  <c r="J87" i="49"/>
  <c r="I87" i="49"/>
  <c r="H87" i="49"/>
  <c r="G87" i="49"/>
  <c r="G417" i="49"/>
  <c r="F87" i="49"/>
  <c r="E87" i="49"/>
  <c r="D87" i="49"/>
  <c r="K86" i="49"/>
  <c r="J86" i="49"/>
  <c r="I86" i="49"/>
  <c r="H86" i="49"/>
  <c r="G86" i="49"/>
  <c r="G416" i="49"/>
  <c r="F86" i="49"/>
  <c r="E86" i="49"/>
  <c r="D86" i="49"/>
  <c r="G85" i="49"/>
  <c r="G415" i="49"/>
  <c r="F65" i="48"/>
  <c r="F33" i="48"/>
  <c r="E65" i="48"/>
  <c r="E33" i="48"/>
  <c r="F64" i="48"/>
  <c r="F32" i="48"/>
  <c r="E64" i="48"/>
  <c r="E32" i="48"/>
  <c r="F63" i="48"/>
  <c r="F31" i="48"/>
  <c r="E63" i="48"/>
  <c r="E31" i="48"/>
  <c r="G62" i="48"/>
  <c r="G30" i="48"/>
  <c r="F62" i="48"/>
  <c r="F30" i="48"/>
  <c r="E62" i="48"/>
  <c r="E30" i="48"/>
  <c r="F61" i="48"/>
  <c r="F29" i="48"/>
  <c r="E61" i="48"/>
  <c r="E29" i="48"/>
  <c r="F60" i="48"/>
  <c r="F28" i="48"/>
  <c r="E60" i="48"/>
  <c r="E28" i="48"/>
  <c r="F59" i="48"/>
  <c r="F27" i="48"/>
  <c r="E59" i="48"/>
  <c r="E27" i="48"/>
  <c r="F58" i="48"/>
  <c r="F26" i="48"/>
  <c r="E58" i="48"/>
  <c r="E26" i="48"/>
  <c r="F57" i="48"/>
  <c r="F25" i="48"/>
  <c r="E57" i="48"/>
  <c r="E25" i="48"/>
  <c r="F56" i="48"/>
  <c r="F24" i="48"/>
  <c r="E56" i="48"/>
  <c r="E24" i="48"/>
  <c r="F55" i="48"/>
  <c r="F23" i="48"/>
  <c r="E55" i="48"/>
  <c r="E23" i="48"/>
  <c r="F54" i="48"/>
  <c r="F22" i="48"/>
  <c r="E54" i="48"/>
  <c r="E22" i="48"/>
  <c r="F53" i="48"/>
  <c r="F21" i="48"/>
  <c r="E53" i="48"/>
  <c r="E21" i="48"/>
  <c r="F52" i="48"/>
  <c r="F20" i="48"/>
  <c r="E52" i="48"/>
  <c r="E20" i="48"/>
  <c r="F51" i="48"/>
  <c r="F19" i="48"/>
  <c r="E51" i="48"/>
  <c r="E19" i="48"/>
  <c r="G50" i="48"/>
  <c r="G18" i="48"/>
  <c r="F50" i="48"/>
  <c r="F18" i="48"/>
  <c r="E50" i="48"/>
  <c r="E18" i="48"/>
  <c r="F49" i="48"/>
  <c r="F17" i="48"/>
  <c r="E49" i="48"/>
  <c r="E17" i="48"/>
  <c r="F48" i="48"/>
  <c r="F16" i="48"/>
  <c r="E48" i="48"/>
  <c r="E16" i="48"/>
  <c r="F47" i="48"/>
  <c r="F15" i="48"/>
  <c r="E47" i="48"/>
  <c r="E15" i="48"/>
  <c r="G46" i="48"/>
  <c r="G14" i="48"/>
  <c r="F46" i="48"/>
  <c r="F14" i="48"/>
  <c r="E46" i="48"/>
  <c r="E14" i="48"/>
  <c r="F45" i="48"/>
  <c r="F13" i="48"/>
  <c r="E45" i="48"/>
  <c r="A14" i="49"/>
  <c r="A15" i="49"/>
  <c r="A16" i="49"/>
  <c r="A17" i="49"/>
  <c r="A18" i="49"/>
  <c r="A19" i="49"/>
  <c r="A20" i="49"/>
  <c r="A21" i="49"/>
  <c r="A22" i="49"/>
  <c r="A23" i="49"/>
  <c r="A24" i="49"/>
  <c r="A25" i="49"/>
  <c r="F59" i="49"/>
  <c r="F63" i="49"/>
  <c r="F68" i="49"/>
  <c r="F60" i="49"/>
  <c r="F64" i="49"/>
  <c r="F55" i="49"/>
  <c r="F67" i="49"/>
  <c r="F71" i="49"/>
  <c r="F69" i="49"/>
  <c r="F56" i="49"/>
  <c r="F61" i="49"/>
  <c r="F62" i="49"/>
  <c r="F70" i="49"/>
  <c r="F74" i="49"/>
  <c r="F57" i="49"/>
  <c r="F72" i="49"/>
  <c r="J254" i="49"/>
  <c r="E119" i="48"/>
  <c r="H13" i="48"/>
  <c r="A45" i="48"/>
  <c r="A46" i="48"/>
  <c r="A47" i="48"/>
  <c r="A48" i="48"/>
  <c r="A49" i="48"/>
  <c r="A50" i="48"/>
  <c r="A51" i="48"/>
  <c r="A52" i="48"/>
  <c r="A53" i="48"/>
  <c r="A54" i="48"/>
  <c r="A55" i="48"/>
  <c r="A56" i="48"/>
  <c r="A57" i="48"/>
  <c r="A58" i="48"/>
  <c r="A59" i="48"/>
  <c r="A60" i="48"/>
  <c r="A61" i="48"/>
  <c r="A62" i="48"/>
  <c r="A63" i="48"/>
  <c r="A64" i="48"/>
  <c r="A65" i="48"/>
  <c r="G41" i="57"/>
  <c r="E78" i="7"/>
  <c r="J287" i="49"/>
  <c r="K287" i="49"/>
  <c r="J89" i="49"/>
  <c r="J122" i="49"/>
  <c r="K122" i="49"/>
  <c r="A26" i="49"/>
  <c r="A33" i="49"/>
  <c r="A34" i="49"/>
  <c r="A35" i="49"/>
  <c r="A36" i="49"/>
  <c r="A37" i="49"/>
  <c r="A38" i="49"/>
  <c r="A39" i="49"/>
  <c r="A40" i="49"/>
  <c r="E57" i="7"/>
  <c r="E46" i="7"/>
  <c r="E53" i="7"/>
  <c r="J320" i="49"/>
  <c r="K320" i="49"/>
  <c r="J353" i="49"/>
  <c r="K353" i="49"/>
  <c r="J221" i="49"/>
  <c r="K221" i="49"/>
  <c r="J188" i="49"/>
  <c r="K188" i="49"/>
  <c r="E16" i="71"/>
  <c r="F33" i="11"/>
  <c r="E15" i="71"/>
  <c r="F32" i="11"/>
  <c r="E17" i="71"/>
  <c r="F34" i="11"/>
  <c r="E14" i="71"/>
  <c r="F31" i="11"/>
  <c r="J54" i="49"/>
  <c r="D46" i="7"/>
  <c r="E12" i="71"/>
  <c r="F29" i="11"/>
  <c r="E9" i="71"/>
  <c r="F26" i="11"/>
  <c r="E13" i="71"/>
  <c r="F30" i="11"/>
  <c r="E10" i="71"/>
  <c r="F27" i="11"/>
  <c r="E11" i="71"/>
  <c r="F28" i="11"/>
  <c r="P95" i="48"/>
  <c r="P78" i="48"/>
  <c r="F74" i="48"/>
  <c r="E44" i="48"/>
  <c r="E13" i="48"/>
  <c r="P92" i="48"/>
  <c r="P79" i="48"/>
  <c r="P87" i="48"/>
  <c r="P94" i="48"/>
  <c r="P54" i="48"/>
  <c r="G44" i="48"/>
  <c r="P50" i="48"/>
  <c r="P57" i="48"/>
  <c r="P84" i="48"/>
  <c r="P93" i="48"/>
  <c r="P49" i="48"/>
  <c r="P56" i="48"/>
  <c r="P58" i="48"/>
  <c r="P85" i="48"/>
  <c r="P91" i="48"/>
  <c r="F75" i="48"/>
  <c r="F44" i="48"/>
  <c r="O15" i="48"/>
  <c r="I76" i="48"/>
  <c r="P89" i="48"/>
  <c r="P60" i="48"/>
  <c r="P65" i="48"/>
  <c r="P76" i="48"/>
  <c r="P82" i="48"/>
  <c r="P83" i="48"/>
  <c r="P20" i="48"/>
  <c r="O28" i="48"/>
  <c r="E42" i="48"/>
  <c r="P46" i="48"/>
  <c r="P64" i="48"/>
  <c r="P77" i="48"/>
  <c r="O14" i="48"/>
  <c r="O20" i="48"/>
  <c r="P48" i="48"/>
  <c r="P62" i="48"/>
  <c r="P80" i="48"/>
  <c r="P61" i="48"/>
  <c r="P53" i="48"/>
  <c r="P45" i="48"/>
  <c r="P96" i="48"/>
  <c r="P88" i="48"/>
  <c r="P59" i="48"/>
  <c r="P51" i="48"/>
  <c r="P63" i="48"/>
  <c r="P47" i="48"/>
  <c r="P86" i="48"/>
  <c r="P90" i="48"/>
  <c r="E74" i="48"/>
  <c r="E43" i="48"/>
  <c r="P81" i="48"/>
  <c r="O16" i="48"/>
  <c r="O32" i="48"/>
  <c r="G43" i="48"/>
  <c r="O22" i="48"/>
  <c r="O30" i="48"/>
  <c r="F257" i="49"/>
  <c r="F58" i="49"/>
  <c r="F274" i="49"/>
  <c r="F75" i="49"/>
  <c r="G57" i="48"/>
  <c r="G25" i="48"/>
  <c r="G61" i="48"/>
  <c r="G29" i="48"/>
  <c r="F107" i="49"/>
  <c r="F73" i="49"/>
  <c r="G65" i="48"/>
  <c r="G33" i="48"/>
  <c r="G45" i="48"/>
  <c r="K45" i="48"/>
  <c r="N45" i="48"/>
  <c r="F199" i="49"/>
  <c r="F66" i="49"/>
  <c r="F99" i="49"/>
  <c r="F65" i="49"/>
  <c r="G49" i="48"/>
  <c r="G17" i="48"/>
  <c r="J155" i="49"/>
  <c r="K155" i="49"/>
  <c r="F38" i="11"/>
  <c r="E21" i="71"/>
  <c r="A41" i="49"/>
  <c r="A42" i="49"/>
  <c r="A43" i="49"/>
  <c r="A44" i="49"/>
  <c r="A45" i="49"/>
  <c r="A46"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K89" i="49"/>
  <c r="J55" i="49"/>
  <c r="J90" i="49"/>
  <c r="M13" i="48"/>
  <c r="J388" i="49"/>
  <c r="K388" i="49"/>
  <c r="K387" i="49"/>
  <c r="J321" i="49"/>
  <c r="K321" i="49"/>
  <c r="J255" i="49"/>
  <c r="K255" i="49"/>
  <c r="K254" i="49"/>
  <c r="P24" i="48"/>
  <c r="J288" i="49"/>
  <c r="K288" i="49"/>
  <c r="A66" i="48"/>
  <c r="A67" i="48"/>
  <c r="A68" i="48"/>
  <c r="A76" i="48"/>
  <c r="A77" i="48"/>
  <c r="A78" i="48"/>
  <c r="A79" i="48"/>
  <c r="A80" i="48"/>
  <c r="A81" i="48"/>
  <c r="A82" i="48"/>
  <c r="A83" i="48"/>
  <c r="A84" i="48"/>
  <c r="A85" i="48"/>
  <c r="A86" i="48"/>
  <c r="A87" i="48"/>
  <c r="A88" i="48"/>
  <c r="A89" i="48"/>
  <c r="A90" i="48"/>
  <c r="A91" i="48"/>
  <c r="A92" i="48"/>
  <c r="A93" i="48"/>
  <c r="A94" i="48"/>
  <c r="A95" i="48"/>
  <c r="A96" i="48"/>
  <c r="A97" i="48"/>
  <c r="A98" i="48"/>
  <c r="A99" i="48"/>
  <c r="A103" i="48"/>
  <c r="J189" i="49"/>
  <c r="K189" i="49"/>
  <c r="J123" i="49"/>
  <c r="P28" i="48"/>
  <c r="J354" i="49"/>
  <c r="K354" i="49"/>
  <c r="J222" i="49"/>
  <c r="K222" i="49"/>
  <c r="G13" i="48"/>
  <c r="P32" i="48"/>
  <c r="P30" i="48"/>
  <c r="P13" i="48"/>
  <c r="P15" i="48"/>
  <c r="K46" i="48"/>
  <c r="P29" i="48"/>
  <c r="P19" i="48"/>
  <c r="P31" i="48"/>
  <c r="P25" i="48"/>
  <c r="P17" i="48"/>
  <c r="P26" i="48"/>
  <c r="P22" i="48"/>
  <c r="P21" i="48"/>
  <c r="P16" i="48"/>
  <c r="P18" i="48"/>
  <c r="P23" i="48"/>
  <c r="P33" i="48"/>
  <c r="P14" i="48"/>
  <c r="P27" i="48"/>
  <c r="J76" i="48"/>
  <c r="J13" i="48"/>
  <c r="I13" i="48"/>
  <c r="J156" i="49"/>
  <c r="K156" i="49"/>
  <c r="K47" i="48"/>
  <c r="K55" i="49"/>
  <c r="K90" i="49"/>
  <c r="J56" i="49"/>
  <c r="J91" i="49"/>
  <c r="J289" i="49"/>
  <c r="K289" i="49"/>
  <c r="J389" i="49"/>
  <c r="K389" i="49"/>
  <c r="J256" i="49"/>
  <c r="K256" i="49"/>
  <c r="J322" i="49"/>
  <c r="K322" i="49"/>
  <c r="J124" i="49"/>
  <c r="K124" i="49"/>
  <c r="K123" i="49"/>
  <c r="P37" i="48"/>
  <c r="D41" i="57"/>
  <c r="J223" i="49"/>
  <c r="A107" i="48"/>
  <c r="A111" i="48"/>
  <c r="G72" i="48"/>
  <c r="J190" i="49"/>
  <c r="K190" i="49"/>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G42" i="57"/>
  <c r="E82" i="7"/>
  <c r="J355" i="49"/>
  <c r="K355" i="49"/>
  <c r="K76" i="48"/>
  <c r="N76" i="48"/>
  <c r="N13" i="48"/>
  <c r="J157" i="49"/>
  <c r="K157" i="49"/>
  <c r="K48" i="48"/>
  <c r="J57" i="49"/>
  <c r="K56" i="49"/>
  <c r="J92" i="49"/>
  <c r="J93" i="49"/>
  <c r="K91" i="49"/>
  <c r="J290" i="49"/>
  <c r="K290" i="49"/>
  <c r="J390" i="49"/>
  <c r="K390" i="49"/>
  <c r="J257" i="49"/>
  <c r="K257" i="49"/>
  <c r="J323" i="49"/>
  <c r="K323" i="49"/>
  <c r="J125" i="49"/>
  <c r="K125" i="49"/>
  <c r="J224" i="49"/>
  <c r="K224" i="49"/>
  <c r="K223" i="49"/>
  <c r="J356" i="49"/>
  <c r="K356" i="49"/>
  <c r="J191" i="49"/>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G9" i="71"/>
  <c r="H26" i="11"/>
  <c r="K77" i="48"/>
  <c r="K14" i="48"/>
  <c r="K13" i="48"/>
  <c r="H72" i="48"/>
  <c r="J158" i="49"/>
  <c r="K158" i="49"/>
  <c r="J291" i="49"/>
  <c r="K291" i="49"/>
  <c r="K57" i="49"/>
  <c r="K49" i="48"/>
  <c r="K78" i="48"/>
  <c r="K15" i="48"/>
  <c r="J258" i="49"/>
  <c r="K258" i="49"/>
  <c r="K93" i="49"/>
  <c r="K92" i="49"/>
  <c r="J58" i="49"/>
  <c r="J225" i="49"/>
  <c r="K225" i="49"/>
  <c r="J391" i="49"/>
  <c r="K391" i="49"/>
  <c r="J324" i="49"/>
  <c r="K324" i="49"/>
  <c r="J126" i="49"/>
  <c r="K126" i="49"/>
  <c r="J192" i="49"/>
  <c r="K192" i="49"/>
  <c r="K191" i="49"/>
  <c r="J357" i="49"/>
  <c r="K357" i="49"/>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H27" i="11"/>
  <c r="G10" i="71"/>
  <c r="J292" i="49"/>
  <c r="K292" i="49"/>
  <c r="J159" i="49"/>
  <c r="K159" i="49"/>
  <c r="J94" i="49"/>
  <c r="J259" i="49"/>
  <c r="K259" i="49"/>
  <c r="J226" i="49"/>
  <c r="K226" i="49"/>
  <c r="K50" i="48"/>
  <c r="K79" i="48"/>
  <c r="K16" i="48"/>
  <c r="K94" i="49"/>
  <c r="K58" i="49"/>
  <c r="J59" i="49"/>
  <c r="K59" i="49"/>
  <c r="J392" i="49"/>
  <c r="K392" i="49"/>
  <c r="J325" i="49"/>
  <c r="K325" i="49"/>
  <c r="J193" i="49"/>
  <c r="K193" i="49"/>
  <c r="J127" i="49"/>
  <c r="K127" i="49"/>
  <c r="J358" i="49"/>
  <c r="K358" i="49"/>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G11" i="71"/>
  <c r="H28" i="11"/>
  <c r="A119" i="48"/>
  <c r="J72" i="48"/>
  <c r="J293" i="49"/>
  <c r="K293" i="49"/>
  <c r="J227" i="49"/>
  <c r="K227" i="49"/>
  <c r="J95" i="49"/>
  <c r="J160" i="49"/>
  <c r="K160" i="49"/>
  <c r="J260" i="49"/>
  <c r="K260" i="49"/>
  <c r="K51" i="48"/>
  <c r="K80" i="48"/>
  <c r="K17" i="48"/>
  <c r="J60" i="49"/>
  <c r="K95" i="49"/>
  <c r="K60" i="49"/>
  <c r="J393" i="49"/>
  <c r="K393" i="49"/>
  <c r="J326" i="49"/>
  <c r="K326" i="49"/>
  <c r="J194" i="49"/>
  <c r="K194" i="49"/>
  <c r="J128" i="49"/>
  <c r="K128" i="49"/>
  <c r="J359" i="49"/>
  <c r="A220" i="49"/>
  <c r="A221" i="49"/>
  <c r="A222" i="49"/>
  <c r="A223" i="49"/>
  <c r="A224" i="49"/>
  <c r="A225" i="49"/>
  <c r="A226" i="49"/>
  <c r="A227" i="49"/>
  <c r="A228" i="49"/>
  <c r="A229" i="49"/>
  <c r="A230" i="49"/>
  <c r="A231" i="49"/>
  <c r="A232" i="49"/>
  <c r="A233" i="49"/>
  <c r="A234" i="49"/>
  <c r="A235" i="49"/>
  <c r="A236" i="49"/>
  <c r="A237" i="49"/>
  <c r="A238" i="49"/>
  <c r="A239" i="49"/>
  <c r="A240" i="49"/>
  <c r="A241" i="49"/>
  <c r="G12" i="71"/>
  <c r="H29" i="11"/>
  <c r="A120" i="48"/>
  <c r="A121" i="48"/>
  <c r="A122" i="48"/>
  <c r="A123" i="48"/>
  <c r="A124" i="48"/>
  <c r="A125" i="48"/>
  <c r="A126" i="48"/>
  <c r="A127" i="48"/>
  <c r="A128" i="48"/>
  <c r="A129" i="48"/>
  <c r="A130" i="48"/>
  <c r="J228" i="49"/>
  <c r="K228" i="49"/>
  <c r="J294" i="49"/>
  <c r="K294" i="49"/>
  <c r="J261" i="49"/>
  <c r="K261" i="49"/>
  <c r="J96" i="49"/>
  <c r="J161" i="49"/>
  <c r="K161" i="49"/>
  <c r="K52" i="48"/>
  <c r="K81" i="48"/>
  <c r="K18" i="48"/>
  <c r="K96" i="49"/>
  <c r="J61" i="49"/>
  <c r="J394" i="49"/>
  <c r="K394" i="49"/>
  <c r="J327" i="49"/>
  <c r="K327" i="49"/>
  <c r="J195" i="49"/>
  <c r="K195" i="49"/>
  <c r="J360" i="49"/>
  <c r="K360" i="49"/>
  <c r="K359" i="49"/>
  <c r="K61" i="49"/>
  <c r="J129" i="49"/>
  <c r="K129" i="49"/>
  <c r="A242" i="49"/>
  <c r="A243" i="49"/>
  <c r="A244" i="49"/>
  <c r="A245" i="49"/>
  <c r="A253" i="49"/>
  <c r="A254" i="49"/>
  <c r="A255" i="49"/>
  <c r="A256" i="49"/>
  <c r="A257" i="49"/>
  <c r="A258" i="49"/>
  <c r="A259" i="49"/>
  <c r="A260" i="49"/>
  <c r="A261" i="49"/>
  <c r="A262" i="49"/>
  <c r="A263" i="49"/>
  <c r="A264" i="49"/>
  <c r="A265" i="49"/>
  <c r="A266" i="49"/>
  <c r="A267" i="49"/>
  <c r="A268" i="49"/>
  <c r="A269" i="49"/>
  <c r="A270" i="49"/>
  <c r="A271" i="49"/>
  <c r="A272" i="49"/>
  <c r="A273" i="49"/>
  <c r="A274" i="49"/>
  <c r="A275" i="49"/>
  <c r="F130" i="48"/>
  <c r="A131" i="48"/>
  <c r="A132" i="48"/>
  <c r="A133" i="48"/>
  <c r="F131" i="48"/>
  <c r="J162" i="49"/>
  <c r="K162" i="49"/>
  <c r="J295" i="49"/>
  <c r="K295" i="49"/>
  <c r="J97" i="49"/>
  <c r="J262" i="49"/>
  <c r="K262" i="49"/>
  <c r="J229" i="49"/>
  <c r="K229" i="49"/>
  <c r="K53" i="48"/>
  <c r="K82" i="48"/>
  <c r="K19" i="48"/>
  <c r="K97" i="49"/>
  <c r="J62" i="49"/>
  <c r="K62" i="49"/>
  <c r="J395" i="49"/>
  <c r="K395" i="49"/>
  <c r="J328" i="49"/>
  <c r="K328" i="49"/>
  <c r="J196" i="49"/>
  <c r="K196" i="49"/>
  <c r="J361" i="49"/>
  <c r="K361" i="49"/>
  <c r="J130" i="49"/>
  <c r="K130" i="49"/>
  <c r="F133" i="48"/>
  <c r="H30" i="11"/>
  <c r="A276" i="49"/>
  <c r="A277" i="49"/>
  <c r="A278" i="49"/>
  <c r="A286" i="49"/>
  <c r="A287" i="49"/>
  <c r="A288" i="49"/>
  <c r="A289" i="49"/>
  <c r="A290" i="49"/>
  <c r="A291" i="49"/>
  <c r="A292" i="49"/>
  <c r="A293" i="49"/>
  <c r="A294" i="49"/>
  <c r="A295" i="49"/>
  <c r="A296" i="49"/>
  <c r="A297" i="49"/>
  <c r="A298" i="49"/>
  <c r="A299" i="49"/>
  <c r="A300" i="49"/>
  <c r="A301" i="49"/>
  <c r="A302" i="49"/>
  <c r="A303" i="49"/>
  <c r="A304" i="49"/>
  <c r="A305" i="49"/>
  <c r="A306" i="49"/>
  <c r="A307" i="49"/>
  <c r="A308" i="49"/>
  <c r="A309" i="49"/>
  <c r="A310" i="49"/>
  <c r="A311" i="49"/>
  <c r="G13" i="71"/>
  <c r="J230" i="49"/>
  <c r="K230" i="49"/>
  <c r="J296" i="49"/>
  <c r="K296" i="49"/>
  <c r="J263" i="49"/>
  <c r="K263" i="49"/>
  <c r="J163" i="49"/>
  <c r="J98" i="49"/>
  <c r="K54" i="48"/>
  <c r="K83" i="48"/>
  <c r="K20" i="48"/>
  <c r="J63" i="49"/>
  <c r="K98" i="49"/>
  <c r="J396" i="49"/>
  <c r="K396" i="49"/>
  <c r="J197" i="49"/>
  <c r="K197" i="49"/>
  <c r="J329" i="49"/>
  <c r="K329" i="49"/>
  <c r="J362" i="49"/>
  <c r="K362" i="49"/>
  <c r="J131" i="49"/>
  <c r="K131" i="49"/>
  <c r="K163" i="49"/>
  <c r="K63" i="49"/>
  <c r="H31" i="11"/>
  <c r="G14" i="71"/>
  <c r="A319" i="49"/>
  <c r="A320" i="49"/>
  <c r="A321" i="49"/>
  <c r="A322" i="49"/>
  <c r="A323" i="49"/>
  <c r="A324" i="49"/>
  <c r="A325" i="49"/>
  <c r="A326" i="49"/>
  <c r="A327" i="49"/>
  <c r="A328" i="49"/>
  <c r="A329" i="49"/>
  <c r="A330" i="49"/>
  <c r="A331" i="49"/>
  <c r="A332" i="49"/>
  <c r="A333" i="49"/>
  <c r="A334" i="49"/>
  <c r="A335" i="49"/>
  <c r="A336" i="49"/>
  <c r="A337" i="49"/>
  <c r="A338" i="49"/>
  <c r="A339" i="49"/>
  <c r="A340" i="49"/>
  <c r="G15" i="71"/>
  <c r="H32" i="11"/>
  <c r="J99" i="49"/>
  <c r="J164" i="49"/>
  <c r="J297" i="49"/>
  <c r="K297" i="49"/>
  <c r="J264" i="49"/>
  <c r="K264" i="49"/>
  <c r="J231" i="49"/>
  <c r="K231" i="49"/>
  <c r="K55" i="48"/>
  <c r="K84" i="48"/>
  <c r="K21" i="48"/>
  <c r="J198" i="49"/>
  <c r="K198" i="49"/>
  <c r="J397" i="49"/>
  <c r="K397" i="49"/>
  <c r="K99" i="49"/>
  <c r="J64" i="49"/>
  <c r="J132" i="49"/>
  <c r="K132" i="49"/>
  <c r="J330" i="49"/>
  <c r="K330" i="49"/>
  <c r="J363" i="49"/>
  <c r="K363" i="49"/>
  <c r="K164" i="49"/>
  <c r="K64" i="49"/>
  <c r="A341" i="49"/>
  <c r="A342" i="49"/>
  <c r="A343" i="49"/>
  <c r="A344" i="49"/>
  <c r="A352" i="49"/>
  <c r="A353" i="49"/>
  <c r="A354" i="49"/>
  <c r="A355" i="49"/>
  <c r="A356" i="49"/>
  <c r="A357" i="49"/>
  <c r="A358" i="49"/>
  <c r="A359" i="49"/>
  <c r="A360" i="49"/>
  <c r="A361" i="49"/>
  <c r="A362" i="49"/>
  <c r="A363" i="49"/>
  <c r="A364" i="49"/>
  <c r="A365" i="49"/>
  <c r="A366" i="49"/>
  <c r="A367" i="49"/>
  <c r="A368" i="49"/>
  <c r="A369" i="49"/>
  <c r="A370" i="49"/>
  <c r="A371" i="49"/>
  <c r="A372" i="49"/>
  <c r="A373" i="49"/>
  <c r="J199" i="49"/>
  <c r="K199" i="49"/>
  <c r="J232" i="49"/>
  <c r="K232" i="49"/>
  <c r="J298" i="49"/>
  <c r="K298" i="49"/>
  <c r="J265" i="49"/>
  <c r="K265" i="49"/>
  <c r="J100" i="49"/>
  <c r="J165" i="49"/>
  <c r="K165" i="49"/>
  <c r="K56" i="48"/>
  <c r="K85" i="48"/>
  <c r="K22" i="48"/>
  <c r="J398" i="49"/>
  <c r="K398" i="49"/>
  <c r="K100" i="49"/>
  <c r="J65" i="49"/>
  <c r="K65" i="49"/>
  <c r="H33" i="11"/>
  <c r="J331" i="49"/>
  <c r="K331" i="49"/>
  <c r="J133" i="49"/>
  <c r="K133" i="49"/>
  <c r="J364" i="49"/>
  <c r="K364" i="49"/>
  <c r="A374" i="49"/>
  <c r="A375" i="49"/>
  <c r="A376" i="49"/>
  <c r="A377" i="49"/>
  <c r="G17" i="71"/>
  <c r="G16" i="71"/>
  <c r="J101" i="49"/>
  <c r="J200" i="49"/>
  <c r="K200" i="49"/>
  <c r="J266" i="49"/>
  <c r="K266" i="49"/>
  <c r="J166" i="49"/>
  <c r="J299" i="49"/>
  <c r="K299" i="49"/>
  <c r="J233" i="49"/>
  <c r="K233" i="49"/>
  <c r="K57" i="48"/>
  <c r="J399" i="49"/>
  <c r="K399" i="49"/>
  <c r="K86" i="48"/>
  <c r="K23" i="48"/>
  <c r="K101" i="49"/>
  <c r="J66" i="49"/>
  <c r="J332" i="49"/>
  <c r="K332" i="49"/>
  <c r="J134" i="49"/>
  <c r="K134" i="49"/>
  <c r="J365" i="49"/>
  <c r="K365" i="49"/>
  <c r="K166" i="49"/>
  <c r="K66" i="49"/>
  <c r="H34" i="11"/>
  <c r="A385" i="49"/>
  <c r="A386" i="49"/>
  <c r="A387" i="49"/>
  <c r="A388" i="49"/>
  <c r="A389" i="49"/>
  <c r="A390" i="49"/>
  <c r="A391" i="49"/>
  <c r="A392" i="49"/>
  <c r="A393" i="49"/>
  <c r="A394" i="49"/>
  <c r="A395" i="49"/>
  <c r="A396" i="49"/>
  <c r="A397" i="49"/>
  <c r="A398" i="49"/>
  <c r="A399" i="49"/>
  <c r="A400" i="49"/>
  <c r="A401" i="49"/>
  <c r="A402" i="49"/>
  <c r="A403" i="49"/>
  <c r="A404" i="49"/>
  <c r="A405" i="49"/>
  <c r="A406" i="49"/>
  <c r="J300" i="49"/>
  <c r="K300" i="49"/>
  <c r="J267" i="49"/>
  <c r="K267" i="49"/>
  <c r="J102" i="49"/>
  <c r="J234" i="49"/>
  <c r="K234" i="49"/>
  <c r="J167" i="49"/>
  <c r="K167" i="49"/>
  <c r="J201" i="49"/>
  <c r="K201" i="49"/>
  <c r="J400" i="49"/>
  <c r="K400" i="49"/>
  <c r="K58" i="48"/>
  <c r="K87" i="48"/>
  <c r="K24" i="48"/>
  <c r="K102" i="49"/>
  <c r="J67" i="49"/>
  <c r="K67" i="49"/>
  <c r="J135" i="49"/>
  <c r="K135" i="49"/>
  <c r="J333" i="49"/>
  <c r="J366" i="49"/>
  <c r="K366" i="49"/>
  <c r="A407" i="49"/>
  <c r="A408" i="49"/>
  <c r="A409" i="49"/>
  <c r="A410" i="49"/>
  <c r="A418" i="49"/>
  <c r="A419" i="49"/>
  <c r="A420" i="49"/>
  <c r="A421" i="49"/>
  <c r="A422" i="49"/>
  <c r="A423" i="49"/>
  <c r="A424" i="49"/>
  <c r="A425" i="49"/>
  <c r="A426" i="49"/>
  <c r="A427" i="49"/>
  <c r="A428" i="49"/>
  <c r="A429" i="49"/>
  <c r="A430" i="49"/>
  <c r="A431" i="49"/>
  <c r="A432" i="49"/>
  <c r="A433" i="49"/>
  <c r="A434" i="49"/>
  <c r="A435" i="49"/>
  <c r="A436" i="49"/>
  <c r="A437" i="49"/>
  <c r="A438" i="49"/>
  <c r="A439" i="49"/>
  <c r="A440" i="49"/>
  <c r="A441" i="49"/>
  <c r="A442" i="49"/>
  <c r="A443" i="49"/>
  <c r="A451" i="49"/>
  <c r="A452" i="49"/>
  <c r="A453" i="49"/>
  <c r="A454" i="49"/>
  <c r="A455" i="49"/>
  <c r="A456" i="49"/>
  <c r="A457" i="49"/>
  <c r="A458" i="49"/>
  <c r="A459" i="49"/>
  <c r="A460" i="49"/>
  <c r="A461" i="49"/>
  <c r="A462" i="49"/>
  <c r="A463" i="49"/>
  <c r="A464" i="49"/>
  <c r="A465" i="49"/>
  <c r="A466" i="49"/>
  <c r="A467" i="49"/>
  <c r="A468" i="49"/>
  <c r="A469" i="49"/>
  <c r="A470" i="49"/>
  <c r="A471" i="49"/>
  <c r="A472" i="49"/>
  <c r="A473" i="49"/>
  <c r="A474" i="49"/>
  <c r="A475" i="49"/>
  <c r="A476" i="49"/>
  <c r="J401" i="49"/>
  <c r="K401" i="49"/>
  <c r="J103" i="49"/>
  <c r="J168" i="49"/>
  <c r="K168" i="49"/>
  <c r="J301" i="49"/>
  <c r="K301" i="49"/>
  <c r="J202" i="49"/>
  <c r="K202" i="49"/>
  <c r="J235" i="49"/>
  <c r="K235" i="49"/>
  <c r="J268" i="49"/>
  <c r="K268" i="49"/>
  <c r="K59" i="48"/>
  <c r="K88" i="48"/>
  <c r="K25" i="48"/>
  <c r="J68" i="49"/>
  <c r="K103" i="49"/>
  <c r="J136" i="49"/>
  <c r="K136" i="49"/>
  <c r="K333" i="49"/>
  <c r="K68" i="49"/>
  <c r="J334" i="49"/>
  <c r="K334" i="49"/>
  <c r="H35" i="11"/>
  <c r="J367" i="49"/>
  <c r="K367" i="49"/>
  <c r="J169" i="49"/>
  <c r="J104" i="49"/>
  <c r="J269" i="49"/>
  <c r="K269" i="49"/>
  <c r="J236" i="49"/>
  <c r="K236" i="49"/>
  <c r="J203" i="49"/>
  <c r="K203" i="49"/>
  <c r="J302" i="49"/>
  <c r="K302" i="49"/>
  <c r="J402" i="49"/>
  <c r="K402" i="49"/>
  <c r="K60" i="48"/>
  <c r="K89" i="48"/>
  <c r="K26" i="48"/>
  <c r="J69" i="49"/>
  <c r="K104" i="49"/>
  <c r="J137" i="49"/>
  <c r="K137" i="49"/>
  <c r="J335" i="49"/>
  <c r="K335" i="49"/>
  <c r="J368" i="49"/>
  <c r="K368" i="49"/>
  <c r="K169" i="49"/>
  <c r="K69" i="49"/>
  <c r="J237" i="49"/>
  <c r="K237" i="49"/>
  <c r="J270" i="49"/>
  <c r="K270" i="49"/>
  <c r="J105" i="49"/>
  <c r="J403" i="49"/>
  <c r="K403" i="49"/>
  <c r="J303" i="49"/>
  <c r="K303" i="49"/>
  <c r="J204" i="49"/>
  <c r="K204" i="49"/>
  <c r="J170" i="49"/>
  <c r="K170" i="49"/>
  <c r="K61" i="48"/>
  <c r="K90" i="48"/>
  <c r="K27" i="48"/>
  <c r="J70" i="49"/>
  <c r="K70" i="49"/>
  <c r="J138" i="49"/>
  <c r="K138" i="49"/>
  <c r="K105" i="49"/>
  <c r="J336" i="49"/>
  <c r="K336" i="49"/>
  <c r="J369" i="49"/>
  <c r="K369" i="49"/>
  <c r="J271" i="49"/>
  <c r="K271" i="49"/>
  <c r="J171" i="49"/>
  <c r="J238" i="49"/>
  <c r="K238" i="49"/>
  <c r="J304" i="49"/>
  <c r="K304" i="49"/>
  <c r="J404" i="49"/>
  <c r="K404" i="49"/>
  <c r="J205" i="49"/>
  <c r="K205" i="49"/>
  <c r="J106" i="49"/>
  <c r="J337" i="49"/>
  <c r="K337" i="49"/>
  <c r="K62" i="48"/>
  <c r="K91" i="48"/>
  <c r="K28" i="48"/>
  <c r="K106" i="49"/>
  <c r="J139" i="49"/>
  <c r="K139" i="49"/>
  <c r="J71" i="49"/>
  <c r="J370" i="49"/>
  <c r="K370" i="49"/>
  <c r="K171" i="49"/>
  <c r="K71" i="49"/>
  <c r="J405" i="49"/>
  <c r="K405" i="49"/>
  <c r="J239" i="49"/>
  <c r="K239" i="49"/>
  <c r="J107" i="49"/>
  <c r="J338" i="49"/>
  <c r="K338" i="49"/>
  <c r="J206" i="49"/>
  <c r="K206" i="49"/>
  <c r="J305" i="49"/>
  <c r="K305" i="49"/>
  <c r="J172" i="49"/>
  <c r="J272" i="49"/>
  <c r="K272" i="49"/>
  <c r="K63" i="48"/>
  <c r="J140" i="49"/>
  <c r="K140" i="49"/>
  <c r="K92" i="48"/>
  <c r="K29" i="48"/>
  <c r="J72" i="49"/>
  <c r="K107" i="49"/>
  <c r="J371" i="49"/>
  <c r="K371" i="49"/>
  <c r="K172" i="49"/>
  <c r="K72" i="49"/>
  <c r="J108" i="49"/>
  <c r="J207" i="49"/>
  <c r="K207" i="49"/>
  <c r="J173" i="49"/>
  <c r="K173" i="49"/>
  <c r="J141" i="49"/>
  <c r="K141" i="49"/>
  <c r="J273" i="49"/>
  <c r="K273" i="49"/>
  <c r="J240" i="49"/>
  <c r="K240" i="49"/>
  <c r="J306" i="49"/>
  <c r="K306" i="49"/>
  <c r="J339" i="49"/>
  <c r="K339" i="49"/>
  <c r="J406" i="49"/>
  <c r="K406" i="49"/>
  <c r="K64" i="48"/>
  <c r="K93" i="48"/>
  <c r="K30" i="48"/>
  <c r="J372" i="49"/>
  <c r="K372" i="49"/>
  <c r="K108" i="49"/>
  <c r="K73" i="49"/>
  <c r="J73" i="49"/>
  <c r="J407" i="49"/>
  <c r="K407" i="49"/>
  <c r="J174" i="49"/>
  <c r="K174" i="49"/>
  <c r="J274" i="49"/>
  <c r="K274" i="49"/>
  <c r="J340" i="49"/>
  <c r="K340" i="49"/>
  <c r="J307" i="49"/>
  <c r="K307" i="49"/>
  <c r="J142" i="49"/>
  <c r="K142" i="49"/>
  <c r="J109" i="49"/>
  <c r="J241" i="49"/>
  <c r="K241" i="49"/>
  <c r="J208" i="49"/>
  <c r="K208" i="49"/>
  <c r="J373" i="49"/>
  <c r="K373" i="49"/>
  <c r="K65" i="48"/>
  <c r="K94" i="48"/>
  <c r="K31" i="48"/>
  <c r="J74" i="49"/>
  <c r="K74" i="49"/>
  <c r="J110" i="49"/>
  <c r="K109" i="49"/>
  <c r="J408" i="49"/>
  <c r="J374" i="49"/>
  <c r="K374" i="49"/>
  <c r="J341" i="49"/>
  <c r="K341" i="49"/>
  <c r="J308" i="49"/>
  <c r="K308" i="49"/>
  <c r="J275" i="49"/>
  <c r="K275" i="49"/>
  <c r="J242" i="49"/>
  <c r="K242" i="49"/>
  <c r="J209" i="49"/>
  <c r="K209" i="49"/>
  <c r="J143" i="49"/>
  <c r="K143" i="49"/>
  <c r="J175" i="49"/>
  <c r="K175" i="49"/>
  <c r="K408" i="49"/>
  <c r="J409" i="49"/>
  <c r="K66" i="48"/>
  <c r="K95" i="48"/>
  <c r="K32" i="48"/>
  <c r="K110" i="49"/>
  <c r="K75" i="49"/>
  <c r="J75" i="49"/>
  <c r="J111" i="49"/>
  <c r="J112" i="49"/>
  <c r="J375" i="49"/>
  <c r="K375" i="49"/>
  <c r="J342" i="49"/>
  <c r="K342" i="49"/>
  <c r="J309" i="49"/>
  <c r="K309" i="49"/>
  <c r="J276" i="49"/>
  <c r="K276" i="49"/>
  <c r="J243" i="49"/>
  <c r="K243" i="49"/>
  <c r="J210" i="49"/>
  <c r="K210" i="49"/>
  <c r="J176" i="49"/>
  <c r="J76" i="49"/>
  <c r="J144" i="49"/>
  <c r="K144" i="49"/>
  <c r="K67" i="48"/>
  <c r="K96" i="48"/>
  <c r="K33" i="48"/>
  <c r="K112" i="49"/>
  <c r="K111" i="49"/>
  <c r="K409" i="49"/>
  <c r="K410" i="49"/>
  <c r="K176" i="49"/>
  <c r="K76" i="49"/>
  <c r="J376" i="49"/>
  <c r="K376" i="49"/>
  <c r="J343" i="49"/>
  <c r="K343" i="49"/>
  <c r="J310" i="49"/>
  <c r="K310" i="49"/>
  <c r="J277" i="49"/>
  <c r="K277" i="49"/>
  <c r="J244" i="49"/>
  <c r="K244" i="49"/>
  <c r="J211" i="49"/>
  <c r="K211" i="49"/>
  <c r="K212" i="49"/>
  <c r="J177" i="49"/>
  <c r="J77" i="49"/>
  <c r="J145" i="49"/>
  <c r="K145" i="49"/>
  <c r="K68" i="48"/>
  <c r="K97" i="48"/>
  <c r="K34" i="48"/>
  <c r="K113" i="49"/>
  <c r="G26" i="11"/>
  <c r="F18" i="71"/>
  <c r="G35" i="11"/>
  <c r="K177" i="49"/>
  <c r="K77" i="49"/>
  <c r="K245" i="49"/>
  <c r="K311" i="49"/>
  <c r="K377" i="49"/>
  <c r="K146" i="49"/>
  <c r="K278" i="49"/>
  <c r="K344" i="49"/>
  <c r="J178" i="49"/>
  <c r="K178" i="49"/>
  <c r="K179" i="49"/>
  <c r="G28" i="11"/>
  <c r="K98" i="48"/>
  <c r="K35" i="48"/>
  <c r="K78" i="49"/>
  <c r="K79" i="49"/>
  <c r="C42" i="57"/>
  <c r="E42" i="57"/>
  <c r="J78" i="49"/>
  <c r="F9" i="71"/>
  <c r="F10" i="71"/>
  <c r="G27" i="11"/>
  <c r="G33" i="11"/>
  <c r="F16" i="71"/>
  <c r="F17" i="71"/>
  <c r="G34" i="11"/>
  <c r="F14" i="71"/>
  <c r="G31" i="11"/>
  <c r="G32" i="11"/>
  <c r="F15" i="71"/>
  <c r="G29" i="11"/>
  <c r="F12" i="71"/>
  <c r="F13" i="71"/>
  <c r="G30" i="11"/>
  <c r="I131" i="15"/>
  <c r="A131" i="15"/>
  <c r="I120" i="15"/>
  <c r="E95" i="15"/>
  <c r="A91" i="15"/>
  <c r="A92" i="15"/>
  <c r="I90" i="15"/>
  <c r="I70" i="15"/>
  <c r="E75" i="15"/>
  <c r="I68" i="15"/>
  <c r="A11" i="15"/>
  <c r="A12" i="15"/>
  <c r="A13" i="15"/>
  <c r="E14" i="15"/>
  <c r="G38" i="11"/>
  <c r="K99" i="48"/>
  <c r="K36" i="48"/>
  <c r="K37" i="48"/>
  <c r="C41" i="57"/>
  <c r="E41" i="57"/>
  <c r="G131" i="15"/>
  <c r="F11" i="71"/>
  <c r="F21" i="71"/>
  <c r="F92" i="15"/>
  <c r="I92" i="15"/>
  <c r="A132" i="15"/>
  <c r="A133" i="15"/>
  <c r="E12" i="15"/>
  <c r="F72" i="15"/>
  <c r="I56" i="15"/>
  <c r="A95" i="15"/>
  <c r="E11" i="15"/>
  <c r="E136" i="15"/>
  <c r="A14" i="15"/>
  <c r="I26" i="1"/>
  <c r="G70" i="15"/>
  <c r="A15" i="15"/>
  <c r="E19" i="15"/>
  <c r="D82" i="7"/>
  <c r="A136" i="15"/>
  <c r="I133" i="15"/>
  <c r="E10" i="15"/>
  <c r="I72" i="15"/>
  <c r="F133" i="15"/>
  <c r="A16" i="15"/>
  <c r="H131" i="15"/>
  <c r="H70" i="15"/>
  <c r="E70" i="15"/>
  <c r="A17" i="15"/>
  <c r="G56" i="46"/>
  <c r="A18" i="15"/>
  <c r="A10" i="22"/>
  <c r="A11" i="22"/>
  <c r="A12" i="22"/>
  <c r="A13" i="22"/>
  <c r="A14" i="22"/>
  <c r="A15" i="22"/>
  <c r="A16" i="22"/>
  <c r="A17" i="22"/>
  <c r="A18" i="22"/>
  <c r="A19" i="22"/>
  <c r="A20" i="22"/>
  <c r="A19" i="15"/>
  <c r="A21" i="22"/>
  <c r="G23" i="22"/>
  <c r="A20" i="15"/>
  <c r="D47" i="2"/>
  <c r="D48" i="2"/>
  <c r="D41" i="2"/>
  <c r="D42" i="2"/>
  <c r="D35" i="2"/>
  <c r="D36" i="2"/>
  <c r="A21" i="15"/>
  <c r="A22" i="15"/>
  <c r="A23" i="15"/>
  <c r="A24" i="15"/>
  <c r="H23" i="8"/>
  <c r="F117" i="46"/>
  <c r="F116" i="46"/>
  <c r="F118" i="46"/>
  <c r="F103" i="46"/>
  <c r="F87" i="46"/>
  <c r="F95" i="46"/>
  <c r="F97" i="46"/>
  <c r="F79" i="46"/>
  <c r="F93" i="46"/>
  <c r="F76" i="46"/>
  <c r="F74" i="46"/>
  <c r="F101" i="46"/>
  <c r="F83" i="46"/>
  <c r="F99" i="46"/>
  <c r="F90" i="46"/>
  <c r="F82" i="46"/>
  <c r="C29" i="46"/>
  <c r="L29" i="46"/>
  <c r="G29" i="46"/>
  <c r="E92" i="46"/>
  <c r="J29" i="46"/>
  <c r="C92" i="46"/>
  <c r="D92" i="46"/>
  <c r="E12" i="2"/>
  <c r="E11" i="2"/>
  <c r="E42" i="71"/>
  <c r="H27" i="8"/>
  <c r="H25" i="8"/>
  <c r="H9" i="8"/>
  <c r="H8" i="8"/>
  <c r="G27" i="32"/>
  <c r="G21" i="32"/>
  <c r="G13" i="32"/>
  <c r="B100" i="44"/>
  <c r="B200" i="71"/>
  <c r="F145" i="71"/>
  <c r="F144" i="71"/>
  <c r="D64" i="46"/>
  <c r="G69" i="8"/>
  <c r="G71" i="8"/>
  <c r="E51" i="7"/>
  <c r="E39" i="7"/>
  <c r="I136" i="1"/>
  <c r="I135" i="1"/>
  <c r="I132" i="1"/>
  <c r="I130" i="1"/>
  <c r="I128" i="1"/>
  <c r="I102" i="1"/>
  <c r="I32" i="1"/>
  <c r="I30" i="1"/>
  <c r="I22" i="1"/>
  <c r="I12" i="1"/>
  <c r="I11" i="1"/>
  <c r="F242" i="61"/>
  <c r="F243" i="61"/>
  <c r="F240" i="61"/>
  <c r="F246" i="61"/>
  <c r="J45" i="8"/>
  <c r="E71" i="8"/>
  <c r="C100" i="26"/>
  <c r="E19" i="55"/>
  <c r="E17" i="55"/>
  <c r="E18" i="55"/>
  <c r="I21" i="45"/>
  <c r="H57" i="26"/>
  <c r="F64" i="26"/>
  <c r="F49" i="22"/>
  <c r="I224" i="61"/>
  <c r="B112" i="12"/>
  <c r="K135" i="1"/>
  <c r="E27" i="12"/>
  <c r="E26" i="12"/>
  <c r="E25" i="12"/>
  <c r="H303" i="11"/>
  <c r="G303" i="11"/>
  <c r="H302" i="1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84" i="11"/>
  <c r="G284"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65" i="11"/>
  <c r="G265"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46" i="11"/>
  <c r="G246"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27" i="11"/>
  <c r="G227"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08" i="11"/>
  <c r="G208"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89" i="11"/>
  <c r="G189"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0" i="11"/>
  <c r="G170" i="11"/>
  <c r="G85" i="11"/>
  <c r="H169" i="11"/>
  <c r="G169" i="11"/>
  <c r="G84" i="11"/>
  <c r="H168" i="11"/>
  <c r="G168" i="11"/>
  <c r="G83" i="11"/>
  <c r="H167" i="11"/>
  <c r="G167" i="11"/>
  <c r="G82" i="11"/>
  <c r="H166" i="11"/>
  <c r="G166" i="11"/>
  <c r="G81" i="11"/>
  <c r="H165" i="11"/>
  <c r="G165" i="11"/>
  <c r="G80" i="11"/>
  <c r="H164" i="11"/>
  <c r="G164" i="11"/>
  <c r="G79" i="11"/>
  <c r="H163" i="11"/>
  <c r="G163" i="11"/>
  <c r="G78" i="11"/>
  <c r="H162" i="11"/>
  <c r="G162" i="11"/>
  <c r="G77" i="11"/>
  <c r="H161" i="11"/>
  <c r="G161" i="11"/>
  <c r="G76" i="11"/>
  <c r="H160" i="11"/>
  <c r="G160" i="11"/>
  <c r="G75" i="11"/>
  <c r="H159" i="11"/>
  <c r="G159" i="11"/>
  <c r="G74" i="11"/>
  <c r="H158" i="11"/>
  <c r="G158" i="11"/>
  <c r="G73" i="11"/>
  <c r="H150" i="11"/>
  <c r="G150" i="11"/>
  <c r="H85" i="11"/>
  <c r="H149" i="11"/>
  <c r="G149" i="11"/>
  <c r="H84" i="11"/>
  <c r="H148" i="11"/>
  <c r="G148" i="11"/>
  <c r="H83" i="11"/>
  <c r="H147" i="11"/>
  <c r="G147" i="11"/>
  <c r="H82" i="11"/>
  <c r="H146" i="11"/>
  <c r="G146" i="11"/>
  <c r="H81" i="11"/>
  <c r="H145" i="11"/>
  <c r="G145" i="11"/>
  <c r="H80" i="11"/>
  <c r="H144" i="11"/>
  <c r="G144" i="11"/>
  <c r="H79" i="11"/>
  <c r="H143" i="11"/>
  <c r="G143" i="11"/>
  <c r="H78" i="11"/>
  <c r="H142" i="11"/>
  <c r="G142" i="11"/>
  <c r="H77" i="11"/>
  <c r="H141" i="11"/>
  <c r="G141" i="11"/>
  <c r="H76" i="11"/>
  <c r="H140" i="11"/>
  <c r="G140" i="11"/>
  <c r="H75" i="11"/>
  <c r="H139" i="11"/>
  <c r="G139" i="11"/>
  <c r="H74" i="11"/>
  <c r="H138" i="11"/>
  <c r="G138" i="11"/>
  <c r="H73" i="11"/>
  <c r="H130" i="11"/>
  <c r="E107" i="11"/>
  <c r="G130" i="11"/>
  <c r="F85" i="11"/>
  <c r="H129" i="11"/>
  <c r="G129" i="11"/>
  <c r="F84" i="11"/>
  <c r="H128" i="11"/>
  <c r="E105" i="11"/>
  <c r="G128" i="11"/>
  <c r="F83" i="11"/>
  <c r="H127" i="11"/>
  <c r="G127" i="11"/>
  <c r="F82" i="11"/>
  <c r="H126" i="11"/>
  <c r="E103" i="11"/>
  <c r="G126" i="11"/>
  <c r="F81" i="11"/>
  <c r="H125" i="11"/>
  <c r="G125" i="11"/>
  <c r="F80" i="11"/>
  <c r="H124" i="11"/>
  <c r="E101" i="11"/>
  <c r="G124" i="11"/>
  <c r="F79" i="11"/>
  <c r="H123" i="11"/>
  <c r="G123" i="11"/>
  <c r="F78" i="11"/>
  <c r="H122" i="11"/>
  <c r="E99" i="11"/>
  <c r="G122" i="11"/>
  <c r="F77" i="11"/>
  <c r="H121" i="11"/>
  <c r="G121" i="11"/>
  <c r="F76" i="11"/>
  <c r="H120" i="11"/>
  <c r="E97" i="11"/>
  <c r="G120" i="11"/>
  <c r="F75" i="11"/>
  <c r="H119" i="11"/>
  <c r="G119" i="11"/>
  <c r="F74" i="11"/>
  <c r="H118" i="11"/>
  <c r="E95" i="11"/>
  <c r="G118" i="11"/>
  <c r="F73" i="11"/>
  <c r="F108" i="11"/>
  <c r="E96" i="11"/>
  <c r="G96" i="11"/>
  <c r="E98" i="11"/>
  <c r="E100" i="11"/>
  <c r="G100" i="11"/>
  <c r="E102" i="11"/>
  <c r="G102" i="11"/>
  <c r="E104" i="11"/>
  <c r="G104" i="11"/>
  <c r="E106" i="11"/>
  <c r="G106" i="11"/>
  <c r="F86" i="11"/>
  <c r="H86" i="11"/>
  <c r="G86" i="11"/>
  <c r="G98" i="11"/>
  <c r="G95" i="11"/>
  <c r="G97" i="11"/>
  <c r="G99" i="11"/>
  <c r="G101" i="11"/>
  <c r="G103" i="11"/>
  <c r="G105" i="11"/>
  <c r="G107" i="11"/>
  <c r="E108" i="11"/>
  <c r="G108" i="11"/>
  <c r="H19" i="8"/>
  <c r="E36" i="7"/>
  <c r="D37" i="7"/>
  <c r="G24" i="2"/>
  <c r="G22" i="2"/>
  <c r="E38" i="7"/>
  <c r="I21" i="1"/>
  <c r="J19" i="8"/>
  <c r="K22" i="1"/>
  <c r="D39" i="7"/>
  <c r="H18" i="8"/>
  <c r="F100" i="12"/>
  <c r="B108" i="12"/>
  <c r="E37" i="7"/>
  <c r="H20" i="8"/>
  <c r="I23" i="1"/>
  <c r="H6" i="8"/>
  <c r="I9" i="1"/>
  <c r="E24" i="2"/>
  <c r="E22" i="2"/>
  <c r="H7" i="8"/>
  <c r="I10" i="1"/>
  <c r="K86" i="1"/>
  <c r="B34" i="31"/>
  <c r="F44" i="26"/>
  <c r="F47" i="71"/>
  <c r="D54" i="71"/>
  <c r="A10" i="71"/>
  <c r="A11" i="71"/>
  <c r="A12" i="71"/>
  <c r="A13" i="71"/>
  <c r="A14" i="71"/>
  <c r="A15" i="71"/>
  <c r="A16" i="71"/>
  <c r="A17" i="71"/>
  <c r="A18" i="71"/>
  <c r="A19" i="71"/>
  <c r="A20" i="71"/>
  <c r="D47" i="71"/>
  <c r="D38" i="7"/>
  <c r="J50" i="61"/>
  <c r="G12" i="2"/>
  <c r="C64" i="46"/>
  <c r="G57" i="26"/>
  <c r="G58" i="26" s="1"/>
  <c r="G37" i="26" s="1"/>
  <c r="D37" i="26" s="1"/>
  <c r="G6" i="26" s="1"/>
  <c r="H6" i="26" s="1"/>
  <c r="G11" i="2"/>
  <c r="H80" i="44"/>
  <c r="H77" i="44"/>
  <c r="H55" i="44"/>
  <c r="A14" i="44"/>
  <c r="A15" i="44"/>
  <c r="A16" i="44"/>
  <c r="A17" i="44"/>
  <c r="A18" i="44"/>
  <c r="A30" i="44"/>
  <c r="K21" i="1"/>
  <c r="E60" i="46"/>
  <c r="C56" i="46"/>
  <c r="L57" i="46"/>
  <c r="E120" i="46"/>
  <c r="I120" i="46"/>
  <c r="K56" i="46"/>
  <c r="G55" i="46"/>
  <c r="L55" i="46"/>
  <c r="E118" i="46"/>
  <c r="K55" i="46"/>
  <c r="D118" i="46"/>
  <c r="C55" i="46"/>
  <c r="G54" i="46"/>
  <c r="L54" i="46"/>
  <c r="E117" i="46"/>
  <c r="K54" i="46"/>
  <c r="D117" i="46"/>
  <c r="C54" i="46"/>
  <c r="G53" i="46"/>
  <c r="L53" i="46"/>
  <c r="E116" i="46"/>
  <c r="K53" i="46"/>
  <c r="D116" i="46"/>
  <c r="C53" i="46"/>
  <c r="G52" i="46"/>
  <c r="L56" i="46"/>
  <c r="E119" i="46"/>
  <c r="I119" i="46"/>
  <c r="K52" i="46"/>
  <c r="D115" i="46"/>
  <c r="C52" i="46"/>
  <c r="L42" i="46"/>
  <c r="E105" i="46"/>
  <c r="G41" i="46"/>
  <c r="G40" i="46"/>
  <c r="L40" i="46"/>
  <c r="C40" i="46"/>
  <c r="D102" i="46"/>
  <c r="G39" i="46"/>
  <c r="L39" i="46"/>
  <c r="C39" i="46"/>
  <c r="G38" i="46"/>
  <c r="L38" i="46"/>
  <c r="C38" i="46"/>
  <c r="D100" i="46"/>
  <c r="G37" i="46"/>
  <c r="L37" i="46"/>
  <c r="C37" i="46"/>
  <c r="G36" i="46"/>
  <c r="L36" i="46"/>
  <c r="C36" i="46"/>
  <c r="D98" i="46"/>
  <c r="H98" i="46"/>
  <c r="G35" i="46"/>
  <c r="L35" i="46"/>
  <c r="C35" i="46"/>
  <c r="G34" i="46"/>
  <c r="L34" i="46"/>
  <c r="C34" i="46"/>
  <c r="G33" i="46"/>
  <c r="L33" i="46"/>
  <c r="C33" i="46"/>
  <c r="G32" i="46"/>
  <c r="L32" i="46"/>
  <c r="C32" i="46"/>
  <c r="G31" i="46"/>
  <c r="L31" i="46"/>
  <c r="D94" i="46"/>
  <c r="C31" i="46"/>
  <c r="G30" i="46"/>
  <c r="L30" i="46"/>
  <c r="C30" i="46"/>
  <c r="G28" i="46"/>
  <c r="L28" i="46"/>
  <c r="D91" i="46"/>
  <c r="C28" i="46"/>
  <c r="G27" i="46"/>
  <c r="L27" i="46"/>
  <c r="D90" i="46"/>
  <c r="H90" i="46"/>
  <c r="C27" i="46"/>
  <c r="G26" i="46"/>
  <c r="L26" i="46"/>
  <c r="C26" i="46"/>
  <c r="L25" i="46"/>
  <c r="D88" i="46"/>
  <c r="C25" i="46"/>
  <c r="G24" i="46"/>
  <c r="L24" i="46"/>
  <c r="C24" i="46"/>
  <c r="G23" i="46"/>
  <c r="L23" i="46"/>
  <c r="C23" i="46"/>
  <c r="G22" i="46"/>
  <c r="L22" i="46"/>
  <c r="J22" i="46"/>
  <c r="D85" i="46"/>
  <c r="H85" i="46"/>
  <c r="C22" i="46"/>
  <c r="G21" i="46"/>
  <c r="L21" i="46"/>
  <c r="J21" i="46"/>
  <c r="D84" i="46"/>
  <c r="H84" i="46"/>
  <c r="C21" i="46"/>
  <c r="G20" i="46"/>
  <c r="L20" i="46"/>
  <c r="J20" i="46"/>
  <c r="D83" i="46"/>
  <c r="H83" i="46"/>
  <c r="C20" i="46"/>
  <c r="G19" i="46"/>
  <c r="L19" i="46"/>
  <c r="J19" i="46"/>
  <c r="D82" i="46"/>
  <c r="H82" i="46"/>
  <c r="C19" i="46"/>
  <c r="G18" i="46"/>
  <c r="L18" i="46"/>
  <c r="J18" i="46"/>
  <c r="D81" i="46"/>
  <c r="H81" i="46"/>
  <c r="C18" i="46"/>
  <c r="G17" i="46"/>
  <c r="L17" i="46"/>
  <c r="J17" i="46"/>
  <c r="D80" i="46"/>
  <c r="H80" i="46"/>
  <c r="C17" i="46"/>
  <c r="G16" i="46"/>
  <c r="L16" i="46"/>
  <c r="J16" i="46"/>
  <c r="D79" i="46"/>
  <c r="H79" i="46"/>
  <c r="C16" i="46"/>
  <c r="G15" i="46"/>
  <c r="L15" i="46"/>
  <c r="J15" i="46"/>
  <c r="D78" i="46"/>
  <c r="H78" i="46"/>
  <c r="C15" i="46"/>
  <c r="G14" i="46"/>
  <c r="L14" i="46"/>
  <c r="C14" i="46"/>
  <c r="G13" i="46"/>
  <c r="L13" i="46"/>
  <c r="D76" i="46"/>
  <c r="C13" i="46"/>
  <c r="G12" i="46"/>
  <c r="L12"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G11" i="46"/>
  <c r="E54" i="71"/>
  <c r="B55" i="54"/>
  <c r="C9" i="9"/>
  <c r="A5" i="31"/>
  <c r="E15" i="66"/>
  <c r="J25" i="8"/>
  <c r="F15" i="66"/>
  <c r="H43" i="26"/>
  <c r="D43" i="26"/>
  <c r="G12" i="26"/>
  <c r="H12" i="26"/>
  <c r="F53" i="22"/>
  <c r="D58" i="7"/>
  <c r="D54" i="7"/>
  <c r="F42" i="54"/>
  <c r="F39" i="54"/>
  <c r="F30" i="54"/>
  <c r="G21" i="2"/>
  <c r="A8" i="2"/>
  <c r="A9" i="2"/>
  <c r="A10" i="2"/>
  <c r="A11" i="2"/>
  <c r="K128" i="1"/>
  <c r="A11" i="7"/>
  <c r="A12" i="7"/>
  <c r="A13" i="7"/>
  <c r="A14" i="7"/>
  <c r="A15" i="7"/>
  <c r="A16" i="7"/>
  <c r="K32" i="1"/>
  <c r="I87" i="65"/>
  <c r="I86" i="65"/>
  <c r="I85" i="65"/>
  <c r="I83" i="65"/>
  <c r="A14" i="65"/>
  <c r="A15" i="65"/>
  <c r="A16" i="65"/>
  <c r="A17" i="65"/>
  <c r="A18" i="65"/>
  <c r="A19" i="65"/>
  <c r="A20" i="65"/>
  <c r="A21" i="65"/>
  <c r="A22" i="65"/>
  <c r="A23" i="65"/>
  <c r="G49" i="11"/>
  <c r="G48" i="11"/>
  <c r="G47" i="11"/>
  <c r="E47" i="11"/>
  <c r="E39" i="12"/>
  <c r="G61" i="11"/>
  <c r="G63" i="11"/>
  <c r="E70" i="12"/>
  <c r="G62" i="11"/>
  <c r="E69" i="12"/>
  <c r="E85" i="11"/>
  <c r="E84" i="11"/>
  <c r="E83" i="11"/>
  <c r="E82" i="11"/>
  <c r="E81" i="11"/>
  <c r="E80" i="11"/>
  <c r="E79" i="11"/>
  <c r="E78" i="11"/>
  <c r="E77" i="11"/>
  <c r="E76" i="11"/>
  <c r="E75" i="11"/>
  <c r="E74" i="11"/>
  <c r="E73" i="11"/>
  <c r="A25" i="12"/>
  <c r="A26" i="12"/>
  <c r="E244" i="61"/>
  <c r="I225" i="61"/>
  <c r="N199" i="61"/>
  <c r="N196" i="61"/>
  <c r="N194" i="61"/>
  <c r="N191" i="61"/>
  <c r="N190" i="61"/>
  <c r="N185" i="61"/>
  <c r="M185" i="61"/>
  <c r="L185" i="61"/>
  <c r="L233" i="61"/>
  <c r="J185" i="61"/>
  <c r="I185" i="61"/>
  <c r="H185" i="61"/>
  <c r="G185" i="61"/>
  <c r="J164" i="61"/>
  <c r="H156" i="61"/>
  <c r="M119" i="61"/>
  <c r="N118" i="61"/>
  <c r="H92" i="61"/>
  <c r="N92" i="61"/>
  <c r="H91" i="61"/>
  <c r="H57" i="61"/>
  <c r="H80" i="61"/>
  <c r="G57" i="61"/>
  <c r="J56" i="61"/>
  <c r="M56" i="61"/>
  <c r="N55" i="61"/>
  <c r="N54" i="61"/>
  <c r="J53" i="61"/>
  <c r="M53" i="61"/>
  <c r="J52" i="61"/>
  <c r="M52" i="61"/>
  <c r="J51" i="61"/>
  <c r="M51" i="61"/>
  <c r="G18" i="61"/>
  <c r="I18" i="61"/>
  <c r="J17" i="61"/>
  <c r="M17" i="61"/>
  <c r="N16" i="61"/>
  <c r="J15" i="61"/>
  <c r="M15" i="61"/>
  <c r="G14" i="61"/>
  <c r="I14" i="61"/>
  <c r="J13" i="61"/>
  <c r="J12" i="61"/>
  <c r="M12" i="61"/>
  <c r="J11" i="61"/>
  <c r="J5" i="61"/>
  <c r="M5" i="61"/>
  <c r="G4" i="61"/>
  <c r="F49" i="11"/>
  <c r="F63" i="11"/>
  <c r="E47" i="71"/>
  <c r="A8" i="17"/>
  <c r="A9" i="17"/>
  <c r="A10" i="17"/>
  <c r="A11" i="17"/>
  <c r="A12" i="17"/>
  <c r="A13" i="17"/>
  <c r="A14" i="17"/>
  <c r="I103" i="1"/>
  <c r="D50" i="26"/>
  <c r="G19" i="26"/>
  <c r="H19" i="26"/>
  <c r="D49" i="26"/>
  <c r="G18" i="26"/>
  <c r="H18" i="26"/>
  <c r="D48" i="26"/>
  <c r="G17" i="26"/>
  <c r="H17" i="26"/>
  <c r="D47" i="26"/>
  <c r="G16" i="26"/>
  <c r="H16" i="26"/>
  <c r="D46" i="26"/>
  <c r="G15" i="26"/>
  <c r="H15" i="26"/>
  <c r="D45" i="26"/>
  <c r="G14" i="26"/>
  <c r="H14" i="26"/>
  <c r="D44" i="26"/>
  <c r="G13" i="26"/>
  <c r="H13" i="26"/>
  <c r="D42" i="26"/>
  <c r="G11" i="26" s="1"/>
  <c r="H11" i="26" s="1"/>
  <c r="D41" i="26"/>
  <c r="G10" i="26"/>
  <c r="H10" i="26"/>
  <c r="D40" i="26"/>
  <c r="G9" i="26" s="1"/>
  <c r="H9" i="26" s="1"/>
  <c r="D39" i="26"/>
  <c r="G8" i="26"/>
  <c r="H8" i="26"/>
  <c r="D38" i="26"/>
  <c r="G7" i="26"/>
  <c r="H7" i="26"/>
  <c r="A10" i="57"/>
  <c r="A11" i="57"/>
  <c r="A12" i="57"/>
  <c r="A13" i="57"/>
  <c r="A14" i="57"/>
  <c r="A15" i="57"/>
  <c r="A16" i="57"/>
  <c r="A17" i="57"/>
  <c r="A18" i="57"/>
  <c r="A19" i="57"/>
  <c r="A20" i="57"/>
  <c r="A21" i="57"/>
  <c r="A22" i="57"/>
  <c r="A23" i="57"/>
  <c r="A24" i="57"/>
  <c r="A25" i="57"/>
  <c r="A26" i="57"/>
  <c r="A27" i="57"/>
  <c r="A28" i="57"/>
  <c r="K18" i="57"/>
  <c r="J18" i="57"/>
  <c r="I18" i="57"/>
  <c r="H18" i="57"/>
  <c r="G18" i="57"/>
  <c r="K12" i="57"/>
  <c r="J12" i="57"/>
  <c r="I12" i="57"/>
  <c r="H12" i="57"/>
  <c r="G12" i="57"/>
  <c r="F11" i="56"/>
  <c r="F10" i="56"/>
  <c r="A9" i="56"/>
  <c r="A10" i="56"/>
  <c r="F38" i="56"/>
  <c r="F25" i="56"/>
  <c r="F24" i="56"/>
  <c r="F23" i="56"/>
  <c r="F22" i="56"/>
  <c r="F21" i="56"/>
  <c r="F20" i="56"/>
  <c r="K30" i="1"/>
  <c r="K136" i="1"/>
  <c r="A13" i="32"/>
  <c r="G14" i="32"/>
  <c r="A7" i="26"/>
  <c r="A8" i="26"/>
  <c r="A9" i="26"/>
  <c r="A10" i="26"/>
  <c r="A27" i="11"/>
  <c r="K102" i="1"/>
  <c r="A7" i="8"/>
  <c r="A8" i="8" s="1"/>
  <c r="E27" i="32"/>
  <c r="K12" i="1"/>
  <c r="F24" i="26"/>
  <c r="F27" i="12"/>
  <c r="F56" i="12"/>
  <c r="F26" i="12"/>
  <c r="F55" i="12"/>
  <c r="F25" i="12"/>
  <c r="F54" i="12"/>
  <c r="F22" i="31"/>
  <c r="E22" i="31"/>
  <c r="D22" i="31"/>
  <c r="E20" i="26"/>
  <c r="F15" i="56"/>
  <c r="I65" i="61"/>
  <c r="F48" i="11"/>
  <c r="F62" i="11"/>
  <c r="A28" i="11"/>
  <c r="A29" i="11"/>
  <c r="A30" i="11"/>
  <c r="A31" i="11"/>
  <c r="A32" i="11"/>
  <c r="A33" i="11"/>
  <c r="A34" i="11"/>
  <c r="A35" i="11"/>
  <c r="A36" i="11"/>
  <c r="A37" i="11"/>
  <c r="A38" i="11"/>
  <c r="I84" i="65"/>
  <c r="I88" i="65"/>
  <c r="L11" i="46"/>
  <c r="J11" i="46"/>
  <c r="D97" i="46"/>
  <c r="D99" i="46"/>
  <c r="L52" i="46"/>
  <c r="H64" i="44"/>
  <c r="A10" i="1"/>
  <c r="E236" i="61"/>
  <c r="A21" i="71"/>
  <c r="G21" i="71"/>
  <c r="F54" i="71"/>
  <c r="C58" i="46"/>
  <c r="L58" i="46"/>
  <c r="E96" i="46"/>
  <c r="J33" i="46"/>
  <c r="C96" i="46"/>
  <c r="E103" i="46"/>
  <c r="I103" i="46"/>
  <c r="J40" i="46"/>
  <c r="E87" i="46"/>
  <c r="I87" i="46"/>
  <c r="J24" i="46"/>
  <c r="E88" i="46"/>
  <c r="I88" i="46"/>
  <c r="J25" i="46"/>
  <c r="E95" i="46"/>
  <c r="J32" i="46"/>
  <c r="C95" i="46"/>
  <c r="E100" i="46"/>
  <c r="I100" i="46"/>
  <c r="J37" i="46"/>
  <c r="C100" i="46"/>
  <c r="E101" i="46"/>
  <c r="I101" i="46"/>
  <c r="J38" i="46"/>
  <c r="E76" i="46"/>
  <c r="I76" i="46"/>
  <c r="J13" i="46"/>
  <c r="C76" i="46"/>
  <c r="E102" i="46"/>
  <c r="J39" i="46"/>
  <c r="C102" i="46"/>
  <c r="E86" i="46"/>
  <c r="I86" i="46"/>
  <c r="J23" i="46"/>
  <c r="C86" i="46"/>
  <c r="E93" i="46"/>
  <c r="J30" i="46"/>
  <c r="C93" i="46"/>
  <c r="E94" i="46"/>
  <c r="J31" i="46"/>
  <c r="C94" i="46"/>
  <c r="E98" i="46"/>
  <c r="I98" i="46"/>
  <c r="J35" i="46"/>
  <c r="C98" i="46"/>
  <c r="E99" i="46"/>
  <c r="I99" i="46"/>
  <c r="J36" i="46"/>
  <c r="C99" i="46"/>
  <c r="E75" i="46"/>
  <c r="I75" i="46"/>
  <c r="J12" i="46"/>
  <c r="C75" i="46"/>
  <c r="E77" i="46"/>
  <c r="I77" i="46"/>
  <c r="J14" i="46"/>
  <c r="E89" i="46"/>
  <c r="I89" i="46"/>
  <c r="J26" i="46"/>
  <c r="C89" i="46"/>
  <c r="E90" i="46"/>
  <c r="I90" i="46"/>
  <c r="J27" i="46"/>
  <c r="C90" i="46"/>
  <c r="E91" i="46"/>
  <c r="J28" i="46"/>
  <c r="C91" i="46"/>
  <c r="E97" i="46"/>
  <c r="I97" i="46"/>
  <c r="J34" i="46"/>
  <c r="H147" i="61"/>
  <c r="D119" i="46"/>
  <c r="H119" i="46"/>
  <c r="G119" i="46"/>
  <c r="J56" i="46"/>
  <c r="C119" i="46"/>
  <c r="E74" i="46"/>
  <c r="L43" i="46"/>
  <c r="C43" i="46"/>
  <c r="E86" i="11"/>
  <c r="I91" i="61"/>
  <c r="I147" i="61"/>
  <c r="I156" i="61"/>
  <c r="H175" i="61"/>
  <c r="G92" i="61"/>
  <c r="M164" i="61"/>
  <c r="J175" i="61"/>
  <c r="I19" i="61"/>
  <c r="J14" i="61"/>
  <c r="M14" i="61"/>
  <c r="G16" i="61"/>
  <c r="I16" i="61"/>
  <c r="I12" i="61"/>
  <c r="J16" i="61"/>
  <c r="M16" i="61"/>
  <c r="J48" i="61"/>
  <c r="G15" i="61"/>
  <c r="I15" i="61"/>
  <c r="N12" i="61"/>
  <c r="I222" i="61"/>
  <c r="N197" i="61"/>
  <c r="A41" i="46"/>
  <c r="A42" i="46"/>
  <c r="A43" i="46"/>
  <c r="E10" i="2"/>
  <c r="A24" i="65"/>
  <c r="F48" i="71"/>
  <c r="E54" i="7"/>
  <c r="A29" i="57"/>
  <c r="M118" i="61"/>
  <c r="J54" i="61"/>
  <c r="M54" i="61"/>
  <c r="E241" i="61"/>
  <c r="M61" i="61"/>
  <c r="N53" i="61"/>
  <c r="F40" i="56"/>
  <c r="M11" i="61"/>
  <c r="G20" i="2"/>
  <c r="E62" i="11"/>
  <c r="I60" i="46"/>
  <c r="F42" i="56"/>
  <c r="F17" i="56"/>
  <c r="K20" i="57"/>
  <c r="E31" i="57"/>
  <c r="G163" i="61"/>
  <c r="N15" i="61"/>
  <c r="G52" i="61"/>
  <c r="I52" i="61"/>
  <c r="G11" i="61"/>
  <c r="N201" i="61"/>
  <c r="N5" i="61"/>
  <c r="M63" i="61"/>
  <c r="I60" i="61"/>
  <c r="G53" i="61"/>
  <c r="I53" i="61"/>
  <c r="M55" i="61"/>
  <c r="D86" i="46"/>
  <c r="H86" i="46"/>
  <c r="G86" i="46"/>
  <c r="F41" i="12"/>
  <c r="F39" i="12"/>
  <c r="F26" i="56"/>
  <c r="H24" i="8"/>
  <c r="I28" i="1"/>
  <c r="E63" i="11"/>
  <c r="E56" i="12"/>
  <c r="F40" i="12"/>
  <c r="E48" i="11"/>
  <c r="E21" i="32"/>
  <c r="G20" i="57"/>
  <c r="C26" i="57"/>
  <c r="D96" i="46"/>
  <c r="N17" i="61"/>
  <c r="N14" i="61"/>
  <c r="I223" i="61"/>
  <c r="N18" i="61"/>
  <c r="G5" i="61"/>
  <c r="I5" i="61"/>
  <c r="N4" i="61"/>
  <c r="N195" i="61"/>
  <c r="N198" i="61"/>
  <c r="J49" i="61"/>
  <c r="M49" i="61"/>
  <c r="J57" i="61"/>
  <c r="M57" i="61"/>
  <c r="N13" i="61"/>
  <c r="N119" i="61"/>
  <c r="N147" i="61"/>
  <c r="G17" i="61"/>
  <c r="I17" i="61"/>
  <c r="G13" i="61"/>
  <c r="I13" i="61"/>
  <c r="N192" i="61"/>
  <c r="M155" i="61"/>
  <c r="N11" i="61"/>
  <c r="N193" i="61"/>
  <c r="N52" i="61"/>
  <c r="M64" i="61"/>
  <c r="M62" i="61"/>
  <c r="M60" i="61"/>
  <c r="G51" i="61"/>
  <c r="N57" i="61"/>
  <c r="N200" i="61"/>
  <c r="G54" i="61"/>
  <c r="I54" i="61"/>
  <c r="J4" i="61"/>
  <c r="J8" i="61"/>
  <c r="J59" i="61"/>
  <c r="M59" i="61"/>
  <c r="F12" i="56"/>
  <c r="E13" i="32"/>
  <c r="H20" i="57"/>
  <c r="D26" i="57"/>
  <c r="E237" i="61"/>
  <c r="J55" i="46"/>
  <c r="C118" i="46"/>
  <c r="J53" i="46"/>
  <c r="C116" i="46"/>
  <c r="J54" i="46"/>
  <c r="C117" i="46"/>
  <c r="G90" i="46"/>
  <c r="C101" i="46"/>
  <c r="C103" i="46"/>
  <c r="E49" i="11"/>
  <c r="E25" i="71"/>
  <c r="A12" i="2"/>
  <c r="A13" i="2"/>
  <c r="J20" i="57"/>
  <c r="D27" i="57"/>
  <c r="D28" i="57"/>
  <c r="I20" i="57"/>
  <c r="C27" i="57"/>
  <c r="D103" i="46"/>
  <c r="H103" i="46"/>
  <c r="G103" i="46"/>
  <c r="G24" i="26"/>
  <c r="A11" i="26"/>
  <c r="A12" i="26"/>
  <c r="A13" i="26"/>
  <c r="A14" i="26"/>
  <c r="A15" i="26"/>
  <c r="A16" i="26"/>
  <c r="A17" i="26"/>
  <c r="A18" i="26"/>
  <c r="A19" i="26"/>
  <c r="A20" i="26"/>
  <c r="J27" i="8"/>
  <c r="G13" i="2"/>
  <c r="G14" i="2" s="1"/>
  <c r="D101" i="46"/>
  <c r="H101" i="46"/>
  <c r="G101" i="46"/>
  <c r="M13" i="61"/>
  <c r="I57" i="61"/>
  <c r="M50" i="61"/>
  <c r="I4" i="61"/>
  <c r="K28" i="1"/>
  <c r="K103" i="1"/>
  <c r="E61" i="11"/>
  <c r="E54" i="12"/>
  <c r="E68" i="12"/>
  <c r="D25" i="71"/>
  <c r="C88" i="46"/>
  <c r="H43" i="44"/>
  <c r="A15" i="17"/>
  <c r="A16" i="17"/>
  <c r="A17" i="17"/>
  <c r="A18" i="17"/>
  <c r="A19" i="17"/>
  <c r="A20" i="17"/>
  <c r="A21" i="17"/>
  <c r="A22" i="17"/>
  <c r="A23" i="17"/>
  <c r="C97" i="46"/>
  <c r="H99" i="46"/>
  <c r="G99" i="46"/>
  <c r="H100" i="46"/>
  <c r="J52" i="46"/>
  <c r="C115" i="46"/>
  <c r="D74" i="46"/>
  <c r="H97" i="46"/>
  <c r="H88" i="46"/>
  <c r="G88" i="46"/>
  <c r="H76" i="46"/>
  <c r="D60" i="46"/>
  <c r="C145" i="46"/>
  <c r="H57" i="46"/>
  <c r="G57" i="46" s="1"/>
  <c r="G58" i="46" s="1"/>
  <c r="A17" i="7"/>
  <c r="A18" i="7"/>
  <c r="A19" i="7"/>
  <c r="A20" i="7"/>
  <c r="A21" i="7"/>
  <c r="A22" i="7"/>
  <c r="A23" i="7"/>
  <c r="A24" i="7"/>
  <c r="A25" i="7"/>
  <c r="B197" i="71"/>
  <c r="D75" i="46"/>
  <c r="E78" i="46"/>
  <c r="C78" i="46"/>
  <c r="E79" i="46"/>
  <c r="I79" i="46"/>
  <c r="G79" i="46"/>
  <c r="C79" i="46"/>
  <c r="E80" i="46"/>
  <c r="C80" i="46"/>
  <c r="E81" i="46"/>
  <c r="I81" i="46"/>
  <c r="G81" i="46"/>
  <c r="C81" i="46"/>
  <c r="E82" i="46"/>
  <c r="C82" i="46"/>
  <c r="E83" i="46"/>
  <c r="I83" i="46"/>
  <c r="G83" i="46"/>
  <c r="C83" i="46"/>
  <c r="E84" i="46"/>
  <c r="C84" i="46"/>
  <c r="D89" i="46"/>
  <c r="D93" i="46"/>
  <c r="D77" i="46"/>
  <c r="C77" i="46"/>
  <c r="E85" i="46"/>
  <c r="C85" i="46"/>
  <c r="D87" i="46"/>
  <c r="C87" i="46"/>
  <c r="D95" i="46"/>
  <c r="G98" i="46"/>
  <c r="G77" i="44"/>
  <c r="A31" i="44"/>
  <c r="A47" i="11"/>
  <c r="H39" i="12"/>
  <c r="A11" i="56"/>
  <c r="A12" i="56"/>
  <c r="E115" i="46"/>
  <c r="E145" i="71"/>
  <c r="E144" i="71"/>
  <c r="E69" i="8"/>
  <c r="A23" i="22"/>
  <c r="A14" i="32"/>
  <c r="A20" i="32"/>
  <c r="A27" i="12"/>
  <c r="D48" i="71"/>
  <c r="E48" i="71"/>
  <c r="E55" i="71"/>
  <c r="D55" i="71"/>
  <c r="A6" i="31"/>
  <c r="A7" i="31"/>
  <c r="A8" i="31"/>
  <c r="B39" i="31"/>
  <c r="C60" i="46"/>
  <c r="G97" i="46"/>
  <c r="E40" i="12"/>
  <c r="E52" i="11"/>
  <c r="E55" i="12"/>
  <c r="E66" i="11"/>
  <c r="E26" i="57"/>
  <c r="C28" i="57"/>
  <c r="E27" i="57"/>
  <c r="G100" i="46"/>
  <c r="M37" i="61"/>
  <c r="L60" i="46"/>
  <c r="A25" i="65"/>
  <c r="B8" i="65"/>
  <c r="J37" i="61"/>
  <c r="N8" i="61"/>
  <c r="E239" i="61"/>
  <c r="E240" i="61"/>
  <c r="M147" i="61"/>
  <c r="N80" i="61"/>
  <c r="I51" i="61"/>
  <c r="I80" i="61"/>
  <c r="M48" i="61"/>
  <c r="M80" i="61"/>
  <c r="J80" i="61"/>
  <c r="N37" i="61"/>
  <c r="G37" i="61"/>
  <c r="I8" i="61"/>
  <c r="G8" i="61"/>
  <c r="C74" i="46"/>
  <c r="E106" i="46"/>
  <c r="H233" i="61"/>
  <c r="I229" i="61"/>
  <c r="I163" i="61"/>
  <c r="I175" i="61"/>
  <c r="G175" i="61"/>
  <c r="N217" i="61"/>
  <c r="M175" i="61"/>
  <c r="N175" i="61"/>
  <c r="I11" i="61"/>
  <c r="I37" i="61"/>
  <c r="A44" i="46"/>
  <c r="A52" i="46"/>
  <c r="A53" i="46"/>
  <c r="A54" i="46"/>
  <c r="A55" i="46"/>
  <c r="E62" i="46"/>
  <c r="A30" i="57"/>
  <c r="A31" i="57"/>
  <c r="G31" i="57"/>
  <c r="C77" i="26"/>
  <c r="F55" i="71"/>
  <c r="E58" i="7"/>
  <c r="E242" i="61"/>
  <c r="M4" i="61"/>
  <c r="M8" i="61"/>
  <c r="E41" i="12"/>
  <c r="E32" i="71"/>
  <c r="F28" i="56"/>
  <c r="A23" i="26"/>
  <c r="A24" i="26"/>
  <c r="A25" i="26"/>
  <c r="G23" i="26"/>
  <c r="D32" i="71"/>
  <c r="G76" i="46"/>
  <c r="F115" i="71"/>
  <c r="G41" i="44"/>
  <c r="E25" i="7"/>
  <c r="E13" i="2"/>
  <c r="E14" i="2"/>
  <c r="A14" i="2"/>
  <c r="C144" i="46"/>
  <c r="H42" i="46"/>
  <c r="K42" i="46" s="1"/>
  <c r="K43" i="46" s="1"/>
  <c r="K57" i="46"/>
  <c r="D120" i="46" s="1"/>
  <c r="H89" i="46"/>
  <c r="G89" i="46"/>
  <c r="I84" i="46"/>
  <c r="G84" i="46"/>
  <c r="I82" i="46"/>
  <c r="G82" i="46"/>
  <c r="I80" i="46"/>
  <c r="G80" i="46"/>
  <c r="I78" i="46"/>
  <c r="G78" i="46"/>
  <c r="H75" i="46"/>
  <c r="G75" i="46"/>
  <c r="H87" i="46"/>
  <c r="G87" i="46"/>
  <c r="I85" i="46"/>
  <c r="G85" i="46"/>
  <c r="H77" i="46"/>
  <c r="G77" i="46"/>
  <c r="E114" i="71"/>
  <c r="A25" i="71"/>
  <c r="F114" i="71"/>
  <c r="F32" i="71"/>
  <c r="F25" i="71"/>
  <c r="A9" i="31"/>
  <c r="H22" i="31"/>
  <c r="A28" i="12"/>
  <c r="A29" i="12"/>
  <c r="A39" i="12"/>
  <c r="A40" i="12"/>
  <c r="A41" i="12"/>
  <c r="A42" i="12"/>
  <c r="A43" i="12"/>
  <c r="A44" i="12"/>
  <c r="I137" i="1"/>
  <c r="E83" i="7"/>
  <c r="E47" i="7"/>
  <c r="A26" i="7"/>
  <c r="A27" i="7"/>
  <c r="A28" i="7"/>
  <c r="A29" i="7"/>
  <c r="A30" i="7"/>
  <c r="A31" i="7"/>
  <c r="A32" i="7"/>
  <c r="A33" i="7"/>
  <c r="A34" i="7"/>
  <c r="A35" i="7"/>
  <c r="A36" i="7"/>
  <c r="E121" i="46"/>
  <c r="D12" i="56"/>
  <c r="J24" i="8"/>
  <c r="A24" i="22"/>
  <c r="G27" i="22"/>
  <c r="A13" i="56"/>
  <c r="A14" i="56"/>
  <c r="A15" i="56"/>
  <c r="A16" i="56"/>
  <c r="A17" i="56"/>
  <c r="A48" i="11"/>
  <c r="H40" i="12"/>
  <c r="A32" i="44"/>
  <c r="G55" i="44"/>
  <c r="E28" i="57"/>
  <c r="C29" i="57"/>
  <c r="C31" i="57"/>
  <c r="C33" i="57"/>
  <c r="C40" i="57"/>
  <c r="C43" i="57"/>
  <c r="A26" i="65"/>
  <c r="A27" i="65"/>
  <c r="A28" i="65"/>
  <c r="A29" i="65"/>
  <c r="A30" i="65"/>
  <c r="A31" i="65"/>
  <c r="A32" i="65"/>
  <c r="A33" i="65"/>
  <c r="A34" i="65"/>
  <c r="A35" i="65"/>
  <c r="A36" i="65"/>
  <c r="B103" i="65"/>
  <c r="B98" i="65"/>
  <c r="B116" i="65"/>
  <c r="D17" i="56"/>
  <c r="M233" i="61"/>
  <c r="J233" i="61"/>
  <c r="N233" i="61"/>
  <c r="A56" i="46"/>
  <c r="A57" i="46"/>
  <c r="A58" i="46"/>
  <c r="A32" i="57"/>
  <c r="A33" i="57"/>
  <c r="E124" i="46"/>
  <c r="E243" i="61"/>
  <c r="I93" i="46"/>
  <c r="H96" i="46"/>
  <c r="I95" i="46"/>
  <c r="I94" i="46"/>
  <c r="H94" i="46"/>
  <c r="K85" i="1"/>
  <c r="E15" i="2"/>
  <c r="A15" i="2"/>
  <c r="A26" i="26"/>
  <c r="A27" i="26"/>
  <c r="A28" i="26"/>
  <c r="G25" i="26"/>
  <c r="G42" i="46"/>
  <c r="G43" i="46"/>
  <c r="A26" i="71"/>
  <c r="A27" i="71"/>
  <c r="A33" i="44"/>
  <c r="B48" i="44"/>
  <c r="G64" i="44"/>
  <c r="A37" i="7"/>
  <c r="A38" i="7"/>
  <c r="A39" i="7"/>
  <c r="A40" i="7"/>
  <c r="A41" i="7"/>
  <c r="A42" i="7"/>
  <c r="A43" i="7"/>
  <c r="A44" i="7"/>
  <c r="A45" i="7"/>
  <c r="A46" i="7"/>
  <c r="A54" i="12"/>
  <c r="B40" i="31"/>
  <c r="B35" i="31"/>
  <c r="A10" i="31"/>
  <c r="A49" i="11"/>
  <c r="H41" i="12"/>
  <c r="A18" i="56"/>
  <c r="A19" i="56"/>
  <c r="A20" i="56"/>
  <c r="A26" i="22"/>
  <c r="I15" i="1"/>
  <c r="G26" i="22"/>
  <c r="A21" i="32"/>
  <c r="A22" i="32"/>
  <c r="A26" i="32"/>
  <c r="E33" i="57"/>
  <c r="E40" i="57"/>
  <c r="E43" i="57"/>
  <c r="D29" i="57"/>
  <c r="D31" i="57"/>
  <c r="D33" i="57"/>
  <c r="D40" i="57"/>
  <c r="D43" i="57"/>
  <c r="A38" i="65"/>
  <c r="A39" i="65"/>
  <c r="A40" i="65"/>
  <c r="F40" i="65"/>
  <c r="B9" i="65"/>
  <c r="B7" i="65"/>
  <c r="B94" i="65"/>
  <c r="E245" i="61"/>
  <c r="E246" i="61"/>
  <c r="E249" i="61"/>
  <c r="K132" i="1"/>
  <c r="G52" i="21"/>
  <c r="G59" i="21"/>
  <c r="G63" i="4"/>
  <c r="G58" i="4"/>
  <c r="A59" i="46"/>
  <c r="A60" i="46"/>
  <c r="E63" i="46"/>
  <c r="A41" i="65"/>
  <c r="A34" i="57"/>
  <c r="A35" i="57"/>
  <c r="A36" i="57"/>
  <c r="A37" i="57"/>
  <c r="A38" i="57"/>
  <c r="A39" i="57"/>
  <c r="A40" i="57"/>
  <c r="A41" i="57"/>
  <c r="A42" i="57"/>
  <c r="A43" i="57"/>
  <c r="A44" i="57"/>
  <c r="A45" i="57"/>
  <c r="G40" i="57"/>
  <c r="G33" i="57"/>
  <c r="G73" i="44"/>
  <c r="I85" i="64"/>
  <c r="H93" i="46"/>
  <c r="G93" i="46"/>
  <c r="H95" i="46"/>
  <c r="G95" i="46"/>
  <c r="I96" i="46"/>
  <c r="G96" i="46"/>
  <c r="G94" i="46"/>
  <c r="A47" i="7"/>
  <c r="A48" i="7"/>
  <c r="A49" i="7"/>
  <c r="A50" i="7"/>
  <c r="A51" i="7"/>
  <c r="A52" i="7"/>
  <c r="A53" i="7"/>
  <c r="A54" i="7"/>
  <c r="A55" i="7"/>
  <c r="G26" i="26"/>
  <c r="G50" i="22"/>
  <c r="F29" i="54"/>
  <c r="G54" i="22"/>
  <c r="G24" i="22"/>
  <c r="I55" i="1"/>
  <c r="A16" i="2"/>
  <c r="A17" i="2"/>
  <c r="A18" i="2"/>
  <c r="A19" i="2"/>
  <c r="A20" i="2"/>
  <c r="A21" i="2"/>
  <c r="A22" i="2"/>
  <c r="G22" i="32"/>
  <c r="G27" i="26"/>
  <c r="A55" i="12"/>
  <c r="A56" i="12"/>
  <c r="A57" i="12"/>
  <c r="A58" i="12"/>
  <c r="A59" i="12"/>
  <c r="H61" i="8"/>
  <c r="B191" i="71"/>
  <c r="B194" i="71"/>
  <c r="F27" i="71"/>
  <c r="F65" i="71"/>
  <c r="A32" i="71"/>
  <c r="A33" i="71"/>
  <c r="A27" i="22"/>
  <c r="H12" i="8"/>
  <c r="A27" i="32"/>
  <c r="A28" i="32"/>
  <c r="A21" i="56"/>
  <c r="A22" i="56"/>
  <c r="A23" i="56"/>
  <c r="A24" i="56"/>
  <c r="A25" i="56"/>
  <c r="A26" i="56"/>
  <c r="A50" i="11"/>
  <c r="A51" i="11"/>
  <c r="A52" i="11"/>
  <c r="A61" i="11"/>
  <c r="B41" i="31"/>
  <c r="B36" i="31"/>
  <c r="A18" i="31"/>
  <c r="E40" i="7"/>
  <c r="A34" i="44"/>
  <c r="G80" i="44"/>
  <c r="A29" i="26"/>
  <c r="G29" i="26"/>
  <c r="G43" i="57"/>
  <c r="G45" i="57"/>
  <c r="D45" i="57"/>
  <c r="B10" i="31"/>
  <c r="C45" i="57"/>
  <c r="A42" i="65"/>
  <c r="B95" i="65"/>
  <c r="F42" i="65"/>
  <c r="D144" i="46"/>
  <c r="A61" i="46"/>
  <c r="A62" i="46"/>
  <c r="A63" i="46"/>
  <c r="A64"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D145" i="46"/>
  <c r="A34" i="71"/>
  <c r="A35" i="71"/>
  <c r="F66" i="71"/>
  <c r="A46" i="57"/>
  <c r="A47" i="57"/>
  <c r="G9" i="31"/>
  <c r="G10" i="31"/>
  <c r="H54" i="12"/>
  <c r="F68" i="12"/>
  <c r="E48" i="7"/>
  <c r="E23" i="2"/>
  <c r="A23" i="2"/>
  <c r="B109" i="12"/>
  <c r="A68" i="12"/>
  <c r="A19" i="31"/>
  <c r="A20" i="31"/>
  <c r="A22" i="31"/>
  <c r="A24" i="31"/>
  <c r="A27" i="31"/>
  <c r="A56" i="7"/>
  <c r="A57" i="7"/>
  <c r="A58" i="7"/>
  <c r="A59" i="7"/>
  <c r="A60" i="7"/>
  <c r="A61" i="7"/>
  <c r="E55" i="7"/>
  <c r="A30" i="26"/>
  <c r="I127" i="1"/>
  <c r="G30" i="26"/>
  <c r="D26" i="56"/>
  <c r="G28" i="32"/>
  <c r="A34" i="22"/>
  <c r="A41" i="44"/>
  <c r="A42" i="44"/>
  <c r="A62" i="11"/>
  <c r="A27" i="56"/>
  <c r="A28" i="56"/>
  <c r="D28" i="56"/>
  <c r="B9" i="31"/>
  <c r="A36" i="71"/>
  <c r="A37" i="71"/>
  <c r="C37" i="71"/>
  <c r="B192" i="71"/>
  <c r="B195" i="71"/>
  <c r="A43" i="65"/>
  <c r="A44" i="65"/>
  <c r="F44" i="65"/>
  <c r="F43" i="65"/>
  <c r="A104" i="46"/>
  <c r="A105" i="46"/>
  <c r="A106" i="46"/>
  <c r="A107" i="46"/>
  <c r="A115" i="46"/>
  <c r="A116" i="46"/>
  <c r="A117" i="46"/>
  <c r="A118" i="46"/>
  <c r="A119" i="46"/>
  <c r="A120" i="46"/>
  <c r="A121" i="46"/>
  <c r="A122" i="46"/>
  <c r="A123" i="46"/>
  <c r="A124" i="46"/>
  <c r="A125" i="46"/>
  <c r="G12" i="32"/>
  <c r="G26" i="32"/>
  <c r="G20" i="32"/>
  <c r="E20" i="2"/>
  <c r="A38" i="71"/>
  <c r="A39" i="71"/>
  <c r="A42" i="71"/>
  <c r="A47" i="71"/>
  <c r="A48" i="71"/>
  <c r="A49" i="71"/>
  <c r="F35" i="71"/>
  <c r="H55" i="12"/>
  <c r="F69" i="12"/>
  <c r="A35" i="22"/>
  <c r="A36" i="22"/>
  <c r="A37" i="22"/>
  <c r="A38" i="22"/>
  <c r="A39" i="22"/>
  <c r="A40" i="22"/>
  <c r="A41" i="22"/>
  <c r="A42" i="22"/>
  <c r="A43" i="22"/>
  <c r="A44" i="22"/>
  <c r="A45" i="22"/>
  <c r="A46" i="22"/>
  <c r="G49" i="22"/>
  <c r="A24" i="2"/>
  <c r="I102" i="46"/>
  <c r="H102" i="46"/>
  <c r="A34" i="56"/>
  <c r="A35" i="56"/>
  <c r="A36" i="56"/>
  <c r="A37" i="56"/>
  <c r="A38" i="56"/>
  <c r="E63" i="7"/>
  <c r="A69" i="12"/>
  <c r="A70" i="12"/>
  <c r="A71" i="12"/>
  <c r="A81" i="12"/>
  <c r="A82" i="12"/>
  <c r="A83" i="12"/>
  <c r="A84" i="12"/>
  <c r="A85" i="12"/>
  <c r="A86" i="12"/>
  <c r="B38" i="31"/>
  <c r="H27" i="31"/>
  <c r="A62" i="7"/>
  <c r="A63" i="7"/>
  <c r="E59" i="7"/>
  <c r="B98" i="44"/>
  <c r="A43" i="44"/>
  <c r="A37" i="26"/>
  <c r="G78" i="26"/>
  <c r="A63" i="11"/>
  <c r="B99" i="44"/>
  <c r="A45" i="65"/>
  <c r="A46" i="65"/>
  <c r="A47" i="65"/>
  <c r="A48" i="65"/>
  <c r="A49" i="65"/>
  <c r="A50" i="65"/>
  <c r="A51" i="65"/>
  <c r="A52" i="65"/>
  <c r="A53" i="65"/>
  <c r="A54" i="65"/>
  <c r="F41" i="65"/>
  <c r="I151" i="1"/>
  <c r="B125" i="46"/>
  <c r="H56" i="12"/>
  <c r="F70" i="12"/>
  <c r="E64" i="7"/>
  <c r="E69" i="7"/>
  <c r="E25" i="2"/>
  <c r="A25" i="2"/>
  <c r="G102" i="46"/>
  <c r="G53" i="22"/>
  <c r="A64" i="7"/>
  <c r="A65" i="7"/>
  <c r="B110" i="12"/>
  <c r="A90" i="12"/>
  <c r="A54" i="71"/>
  <c r="A55" i="71"/>
  <c r="A56" i="71"/>
  <c r="F67" i="71"/>
  <c r="G44" i="44"/>
  <c r="A44" i="44"/>
  <c r="A49" i="22"/>
  <c r="A64" i="11"/>
  <c r="A65" i="11"/>
  <c r="A66" i="11"/>
  <c r="A73" i="11"/>
  <c r="A74" i="11"/>
  <c r="A75" i="11"/>
  <c r="A76" i="11"/>
  <c r="A77" i="11"/>
  <c r="A78" i="11"/>
  <c r="A79" i="11"/>
  <c r="A80" i="11"/>
  <c r="A81" i="11"/>
  <c r="A82" i="11"/>
  <c r="A83" i="11"/>
  <c r="A84" i="11"/>
  <c r="A85" i="11"/>
  <c r="A38" i="26"/>
  <c r="A39" i="26"/>
  <c r="A40" i="26"/>
  <c r="A41" i="26"/>
  <c r="A42" i="26"/>
  <c r="A43" i="26"/>
  <c r="C79" i="26"/>
  <c r="A39" i="56"/>
  <c r="A40" i="56"/>
  <c r="A55" i="65"/>
  <c r="A56" i="65"/>
  <c r="A57" i="65"/>
  <c r="A58" i="65"/>
  <c r="A59" i="65"/>
  <c r="A60" i="65"/>
  <c r="A61" i="65"/>
  <c r="A62" i="65"/>
  <c r="A63" i="65"/>
  <c r="A64" i="65"/>
  <c r="A65" i="65"/>
  <c r="A66" i="65"/>
  <c r="A67" i="65"/>
  <c r="A68" i="65"/>
  <c r="A69" i="65"/>
  <c r="A70" i="65"/>
  <c r="A71" i="65"/>
  <c r="A72" i="65"/>
  <c r="A73" i="65"/>
  <c r="A74" i="65"/>
  <c r="A75" i="65"/>
  <c r="A76" i="65"/>
  <c r="A77" i="65"/>
  <c r="I126" i="1"/>
  <c r="E7" i="2"/>
  <c r="A26" i="2"/>
  <c r="A27" i="2"/>
  <c r="A28" i="2"/>
  <c r="E65" i="7"/>
  <c r="D40" i="56"/>
  <c r="A66" i="7"/>
  <c r="A67" i="7"/>
  <c r="A68" i="7"/>
  <c r="A69" i="7"/>
  <c r="A70" i="7"/>
  <c r="A50" i="22"/>
  <c r="A51" i="22"/>
  <c r="H13" i="8"/>
  <c r="A91" i="12"/>
  <c r="A92" i="12"/>
  <c r="H47" i="11"/>
  <c r="H48" i="11"/>
  <c r="H49" i="11"/>
  <c r="A57" i="71"/>
  <c r="A58" i="71"/>
  <c r="F68" i="71"/>
  <c r="A41" i="56"/>
  <c r="A42" i="56"/>
  <c r="E21" i="2"/>
  <c r="D42" i="56"/>
  <c r="A86" i="11"/>
  <c r="G87" i="44"/>
  <c r="A55" i="44"/>
  <c r="A44" i="26"/>
  <c r="B115" i="65"/>
  <c r="A53" i="22"/>
  <c r="A78" i="65"/>
  <c r="A79" i="65"/>
  <c r="A80" i="65"/>
  <c r="A81" i="65"/>
  <c r="A82" i="65"/>
  <c r="A83" i="65"/>
  <c r="A84" i="65"/>
  <c r="A85" i="65"/>
  <c r="A86" i="65"/>
  <c r="A87" i="65"/>
  <c r="A88" i="65"/>
  <c r="A89" i="65"/>
  <c r="A90" i="65"/>
  <c r="A91" i="65"/>
  <c r="B109" i="65"/>
  <c r="I132" i="15"/>
  <c r="I91" i="15"/>
  <c r="I71" i="15"/>
  <c r="A65" i="71"/>
  <c r="A66" i="71"/>
  <c r="F49" i="71"/>
  <c r="F56" i="71"/>
  <c r="E28" i="2"/>
  <c r="A29" i="2"/>
  <c r="A30" i="2"/>
  <c r="A31" i="2"/>
  <c r="A32" i="2"/>
  <c r="I40" i="1"/>
  <c r="G28" i="26"/>
  <c r="G92" i="12"/>
  <c r="A71" i="7"/>
  <c r="E71" i="7"/>
  <c r="A45" i="26"/>
  <c r="A46" i="26"/>
  <c r="A47" i="26"/>
  <c r="A48" i="26"/>
  <c r="A49" i="26"/>
  <c r="A50" i="26"/>
  <c r="C73" i="26"/>
  <c r="A54" i="22"/>
  <c r="A55" i="22"/>
  <c r="I16" i="1"/>
  <c r="G51" i="22"/>
  <c r="A93" i="12"/>
  <c r="A94" i="12"/>
  <c r="G98" i="12"/>
  <c r="A95" i="11"/>
  <c r="A96" i="11"/>
  <c r="A97" i="11"/>
  <c r="A98" i="11"/>
  <c r="A99" i="11"/>
  <c r="A100" i="11"/>
  <c r="A101" i="11"/>
  <c r="A102" i="11"/>
  <c r="A103" i="11"/>
  <c r="A104" i="11"/>
  <c r="A105" i="11"/>
  <c r="A106" i="11"/>
  <c r="A107" i="11"/>
  <c r="A108" i="11"/>
  <c r="A118" i="11"/>
  <c r="H62" i="11"/>
  <c r="H61" i="11"/>
  <c r="H63" i="11"/>
  <c r="A56" i="44"/>
  <c r="A57" i="44"/>
  <c r="G59" i="44"/>
  <c r="B119" i="65"/>
  <c r="B108" i="65"/>
  <c r="C22" i="17"/>
  <c r="A72" i="7"/>
  <c r="A73" i="7"/>
  <c r="A74" i="7"/>
  <c r="A75" i="7"/>
  <c r="A76" i="7"/>
  <c r="A77" i="7"/>
  <c r="A78" i="7"/>
  <c r="A79" i="7"/>
  <c r="A80" i="7"/>
  <c r="A81" i="7"/>
  <c r="A82" i="7"/>
  <c r="A83" i="7"/>
  <c r="A84" i="7"/>
  <c r="A85" i="7"/>
  <c r="A86" i="7"/>
  <c r="E88" i="7"/>
  <c r="A119" i="11"/>
  <c r="A120" i="11"/>
  <c r="A121" i="11"/>
  <c r="A122" i="11"/>
  <c r="A123" i="11"/>
  <c r="A124" i="11"/>
  <c r="A125" i="11"/>
  <c r="A126" i="11"/>
  <c r="A127" i="11"/>
  <c r="A128" i="11"/>
  <c r="A129" i="11"/>
  <c r="A130" i="11"/>
  <c r="F70" i="11"/>
  <c r="A87" i="7"/>
  <c r="A88" i="7"/>
  <c r="A89" i="7"/>
  <c r="C23" i="17"/>
  <c r="I53" i="1"/>
  <c r="G55" i="22"/>
  <c r="A98" i="12"/>
  <c r="G94" i="12"/>
  <c r="A67" i="71"/>
  <c r="A58" i="44"/>
  <c r="A59" i="44"/>
  <c r="G65" i="44"/>
  <c r="E73" i="7"/>
  <c r="E89" i="7"/>
  <c r="E79" i="7"/>
  <c r="A138" i="11"/>
  <c r="A139" i="11"/>
  <c r="A140" i="11"/>
  <c r="A141" i="11"/>
  <c r="A142" i="11"/>
  <c r="A143" i="11"/>
  <c r="A144" i="11"/>
  <c r="A145" i="11"/>
  <c r="A146" i="11"/>
  <c r="A147" i="11"/>
  <c r="A148" i="11"/>
  <c r="A149" i="11"/>
  <c r="A150" i="11"/>
  <c r="A158" i="11"/>
  <c r="A90" i="7"/>
  <c r="A91" i="7"/>
  <c r="I150" i="1"/>
  <c r="G90" i="44"/>
  <c r="A99" i="12"/>
  <c r="A100" i="12"/>
  <c r="A101" i="12"/>
  <c r="A68" i="71"/>
  <c r="B193" i="71"/>
  <c r="E91" i="7"/>
  <c r="E80" i="7"/>
  <c r="E86" i="7"/>
  <c r="E84" i="7"/>
  <c r="G78" i="44"/>
  <c r="A64" i="44"/>
  <c r="B189" i="71"/>
  <c r="B190" i="71"/>
  <c r="B196" i="71"/>
  <c r="H70" i="11"/>
  <c r="A159" i="11"/>
  <c r="A160" i="11"/>
  <c r="A161" i="11"/>
  <c r="A162" i="11"/>
  <c r="A163" i="11"/>
  <c r="A164" i="11"/>
  <c r="A165" i="11"/>
  <c r="A166" i="11"/>
  <c r="A167" i="11"/>
  <c r="A168" i="11"/>
  <c r="A169" i="11"/>
  <c r="A170" i="11"/>
  <c r="A177" i="11"/>
  <c r="A178" i="11"/>
  <c r="A179" i="11"/>
  <c r="A180" i="11"/>
  <c r="A181" i="11"/>
  <c r="A182" i="11"/>
  <c r="A183" i="11"/>
  <c r="A184" i="11"/>
  <c r="A185" i="11"/>
  <c r="A186" i="11"/>
  <c r="A187" i="11"/>
  <c r="A188" i="11"/>
  <c r="A189" i="11"/>
  <c r="A196" i="11"/>
  <c r="A197" i="11"/>
  <c r="A198" i="11"/>
  <c r="A199" i="11"/>
  <c r="A200" i="11"/>
  <c r="A201" i="11"/>
  <c r="A202" i="11"/>
  <c r="A203" i="11"/>
  <c r="A204" i="11"/>
  <c r="A205" i="11"/>
  <c r="A206" i="11"/>
  <c r="A207" i="11"/>
  <c r="A208" i="11"/>
  <c r="A215" i="11"/>
  <c r="A216" i="11"/>
  <c r="A217" i="11"/>
  <c r="A218" i="11"/>
  <c r="A219" i="11"/>
  <c r="A220" i="11"/>
  <c r="A221" i="11"/>
  <c r="A222" i="11"/>
  <c r="A223" i="11"/>
  <c r="A224" i="11"/>
  <c r="A225" i="11"/>
  <c r="A226" i="11"/>
  <c r="A227" i="11"/>
  <c r="A234" i="11"/>
  <c r="A235" i="11"/>
  <c r="A236" i="11"/>
  <c r="A237" i="11"/>
  <c r="A238" i="11"/>
  <c r="A239" i="11"/>
  <c r="A240" i="11"/>
  <c r="A241" i="11"/>
  <c r="A242" i="11"/>
  <c r="A243" i="11"/>
  <c r="A244" i="11"/>
  <c r="A245" i="11"/>
  <c r="A246" i="11"/>
  <c r="A253" i="11"/>
  <c r="A254" i="11"/>
  <c r="A255" i="11"/>
  <c r="A256" i="11"/>
  <c r="A257" i="11"/>
  <c r="A258" i="11"/>
  <c r="A259" i="11"/>
  <c r="A260" i="11"/>
  <c r="A261" i="11"/>
  <c r="A262" i="11"/>
  <c r="A263" i="11"/>
  <c r="A264" i="11"/>
  <c r="A265" i="11"/>
  <c r="A272" i="11"/>
  <c r="A273" i="11"/>
  <c r="A274" i="11"/>
  <c r="A275" i="11"/>
  <c r="A276" i="11"/>
  <c r="A277" i="11"/>
  <c r="A278" i="11"/>
  <c r="A279" i="11"/>
  <c r="A280" i="11"/>
  <c r="A281" i="11"/>
  <c r="A282" i="11"/>
  <c r="A283" i="11"/>
  <c r="A284" i="11"/>
  <c r="A291" i="11"/>
  <c r="A292" i="11"/>
  <c r="A293" i="11"/>
  <c r="A294" i="11"/>
  <c r="A295" i="11"/>
  <c r="A296" i="11"/>
  <c r="A297" i="11"/>
  <c r="A298" i="11"/>
  <c r="A299" i="11"/>
  <c r="A300" i="11"/>
  <c r="A301" i="11"/>
  <c r="A302" i="11"/>
  <c r="A303" i="11"/>
  <c r="G101" i="12"/>
  <c r="F141" i="71"/>
  <c r="A69" i="71"/>
  <c r="A65" i="44"/>
  <c r="A66" i="44"/>
  <c r="A67" i="44"/>
  <c r="A68" i="44"/>
  <c r="A69" i="44"/>
  <c r="A70" i="44"/>
  <c r="A310" i="11"/>
  <c r="A311" i="11"/>
  <c r="A312" i="11"/>
  <c r="A313" i="11"/>
  <c r="A314" i="11"/>
  <c r="A315" i="11"/>
  <c r="A316" i="11"/>
  <c r="A317" i="11"/>
  <c r="A318" i="11"/>
  <c r="A319" i="11"/>
  <c r="A320" i="11"/>
  <c r="A321" i="11"/>
  <c r="A322" i="11"/>
  <c r="G70" i="11"/>
  <c r="A71" i="44"/>
  <c r="A72" i="44"/>
  <c r="G66" i="44"/>
  <c r="A70" i="71"/>
  <c r="A78" i="71"/>
  <c r="F70" i="71"/>
  <c r="G79" i="44"/>
  <c r="A330" i="11"/>
  <c r="A331" i="11"/>
  <c r="A332" i="11"/>
  <c r="A333" i="11"/>
  <c r="A334" i="11"/>
  <c r="A335" i="11"/>
  <c r="A336" i="11"/>
  <c r="A337" i="11"/>
  <c r="A338" i="11"/>
  <c r="A339" i="11"/>
  <c r="A340" i="11"/>
  <c r="A341" i="11"/>
  <c r="G72" i="44"/>
  <c r="A73" i="44"/>
  <c r="A74" i="44"/>
  <c r="A79" i="71"/>
  <c r="A80" i="71"/>
  <c r="A81" i="71"/>
  <c r="A82" i="71"/>
  <c r="A83" i="71"/>
  <c r="A84" i="71"/>
  <c r="A85" i="71"/>
  <c r="A86" i="71"/>
  <c r="A87" i="71"/>
  <c r="A88" i="71"/>
  <c r="A89" i="71"/>
  <c r="A342" i="11"/>
  <c r="G74" i="44"/>
  <c r="G81" i="44"/>
  <c r="A77" i="44"/>
  <c r="A78" i="44"/>
  <c r="A79" i="44"/>
  <c r="A80" i="44"/>
  <c r="A81" i="44"/>
  <c r="A82" i="44"/>
  <c r="A83" i="44"/>
  <c r="A33" i="2"/>
  <c r="B198" i="71"/>
  <c r="A90" i="71"/>
  <c r="A96" i="71"/>
  <c r="I90" i="71"/>
  <c r="A366" i="11"/>
  <c r="A367" i="11"/>
  <c r="A349" i="11"/>
  <c r="A350" i="11"/>
  <c r="A351" i="11"/>
  <c r="A352" i="11"/>
  <c r="A353" i="11"/>
  <c r="A354" i="11"/>
  <c r="A355" i="11"/>
  <c r="A356" i="11"/>
  <c r="A357" i="11"/>
  <c r="A358" i="11"/>
  <c r="A359" i="11"/>
  <c r="A360" i="11"/>
  <c r="A361" i="11"/>
  <c r="G88" i="44"/>
  <c r="A87" i="44"/>
  <c r="A88" i="44"/>
  <c r="A89" i="44"/>
  <c r="A90" i="44"/>
  <c r="A91" i="44"/>
  <c r="A92" i="44"/>
  <c r="A93" i="44"/>
  <c r="I158" i="1"/>
  <c r="A34" i="2"/>
  <c r="A35" i="2"/>
  <c r="A36" i="2"/>
  <c r="A97" i="71"/>
  <c r="A98" i="71"/>
  <c r="A99" i="71"/>
  <c r="A100" i="71"/>
  <c r="A101" i="71"/>
  <c r="A102" i="71"/>
  <c r="A103" i="71"/>
  <c r="A104" i="71"/>
  <c r="A105" i="71"/>
  <c r="A106" i="71"/>
  <c r="A107" i="71"/>
  <c r="A108" i="71"/>
  <c r="A114" i="71"/>
  <c r="A115" i="71"/>
  <c r="A116" i="71"/>
  <c r="F117" i="71"/>
  <c r="I108" i="71"/>
  <c r="G25" i="12"/>
  <c r="A368" i="11"/>
  <c r="A371" i="11"/>
  <c r="A372" i="11"/>
  <c r="B101" i="44"/>
  <c r="G93" i="44"/>
  <c r="G91" i="44"/>
  <c r="E36" i="2"/>
  <c r="E35" i="2"/>
  <c r="A37" i="2"/>
  <c r="A38" i="2"/>
  <c r="A39" i="2"/>
  <c r="G26" i="12"/>
  <c r="A373" i="11"/>
  <c r="A376" i="11"/>
  <c r="A377" i="11"/>
  <c r="A40" i="2"/>
  <c r="A41" i="2"/>
  <c r="A42" i="2"/>
  <c r="F116" i="71"/>
  <c r="A117" i="71"/>
  <c r="A118" i="71"/>
  <c r="A123" i="71"/>
  <c r="F142" i="71"/>
  <c r="G27" i="12"/>
  <c r="A378" i="11"/>
  <c r="A379" i="11"/>
  <c r="A382" i="11"/>
  <c r="A383" i="11"/>
  <c r="A384" i="11"/>
  <c r="A385" i="11"/>
  <c r="A386" i="11"/>
  <c r="A389" i="11"/>
  <c r="A390" i="11"/>
  <c r="A391" i="11"/>
  <c r="A394" i="11"/>
  <c r="A395" i="11"/>
  <c r="A396" i="11"/>
  <c r="A399" i="11"/>
  <c r="A400" i="11"/>
  <c r="A401" i="11"/>
  <c r="A404" i="11"/>
  <c r="A405" i="11"/>
  <c r="A406" i="11"/>
  <c r="A409" i="11"/>
  <c r="A410" i="11"/>
  <c r="A411" i="11"/>
  <c r="A414" i="11"/>
  <c r="A415" i="11"/>
  <c r="A416" i="11"/>
  <c r="A419" i="11"/>
  <c r="A420" i="11"/>
  <c r="A421" i="11"/>
  <c r="A424" i="11"/>
  <c r="A425" i="11"/>
  <c r="A426" i="11"/>
  <c r="A429" i="11"/>
  <c r="A430" i="11"/>
  <c r="A431" i="11"/>
  <c r="A434" i="11"/>
  <c r="A435" i="11"/>
  <c r="A436" i="11"/>
  <c r="E41" i="2"/>
  <c r="E42" i="2"/>
  <c r="A43" i="2"/>
  <c r="F118" i="71"/>
  <c r="A124" i="71"/>
  <c r="A125" i="71"/>
  <c r="A126" i="71"/>
  <c r="A127" i="71"/>
  <c r="A128" i="71"/>
  <c r="A129" i="71"/>
  <c r="A130" i="71"/>
  <c r="A131" i="71"/>
  <c r="A132" i="71"/>
  <c r="A141" i="71"/>
  <c r="A142" i="71"/>
  <c r="A143" i="71"/>
  <c r="A133" i="71"/>
  <c r="A134" i="71"/>
  <c r="A135" i="71"/>
  <c r="A44" i="2"/>
  <c r="A45" i="2"/>
  <c r="A46" i="2"/>
  <c r="A47" i="2"/>
  <c r="A48" i="2"/>
  <c r="A49" i="2"/>
  <c r="F135" i="71"/>
  <c r="B199" i="71"/>
  <c r="A50" i="2"/>
  <c r="A51" i="2"/>
  <c r="A52" i="2"/>
  <c r="A53" i="2"/>
  <c r="A54" i="2"/>
  <c r="F143" i="71"/>
  <c r="A144" i="71"/>
  <c r="A145" i="71"/>
  <c r="A146" i="71"/>
  <c r="A147" i="71"/>
  <c r="A148" i="71"/>
  <c r="A149" i="71"/>
  <c r="B37" i="31"/>
  <c r="A155" i="71"/>
  <c r="A156" i="71"/>
  <c r="A157" i="71"/>
  <c r="A158" i="71"/>
  <c r="A159" i="71"/>
  <c r="A160" i="71"/>
  <c r="A161" i="71"/>
  <c r="A162" i="71"/>
  <c r="A163" i="71"/>
  <c r="A164" i="71"/>
  <c r="F146" i="71"/>
  <c r="F149" i="71"/>
  <c r="F148" i="71"/>
  <c r="F147" i="71"/>
  <c r="A174" i="71"/>
  <c r="A175" i="71"/>
  <c r="A176" i="71"/>
  <c r="A177" i="71"/>
  <c r="A178" i="71"/>
  <c r="A179" i="71"/>
  <c r="A180" i="71"/>
  <c r="A181" i="71"/>
  <c r="A182" i="71"/>
  <c r="A183" i="71"/>
  <c r="A165" i="71"/>
  <c r="A166" i="71"/>
  <c r="A167" i="71"/>
  <c r="E48" i="2"/>
  <c r="E47" i="2"/>
  <c r="E54" i="2"/>
  <c r="E53" i="2"/>
  <c r="I92" i="46"/>
  <c r="I91" i="46"/>
  <c r="I74" i="46"/>
  <c r="I106" i="46"/>
  <c r="H74" i="46"/>
  <c r="G74" i="46"/>
  <c r="H91" i="46"/>
  <c r="G91" i="46"/>
  <c r="H92" i="46"/>
  <c r="G92" i="46"/>
  <c r="C149" i="46"/>
  <c r="I118" i="46"/>
  <c r="I117" i="46"/>
  <c r="I116" i="46"/>
  <c r="I115" i="46"/>
  <c r="I121" i="46"/>
  <c r="I124" i="46"/>
  <c r="H118" i="46"/>
  <c r="G118" i="46"/>
  <c r="H115" i="46"/>
  <c r="G115" i="46"/>
  <c r="H116" i="46"/>
  <c r="G116" i="46"/>
  <c r="H117" i="46"/>
  <c r="G117" i="46"/>
  <c r="C13" i="64"/>
  <c r="C49" i="64"/>
  <c r="C14" i="64"/>
  <c r="D71" i="21"/>
  <c r="C50" i="64"/>
  <c r="C15" i="64"/>
  <c r="D72" i="21"/>
  <c r="C51" i="64"/>
  <c r="C16" i="64"/>
  <c r="D73" i="21"/>
  <c r="C52" i="64"/>
  <c r="C17" i="64"/>
  <c r="D74" i="21"/>
  <c r="C53" i="64"/>
  <c r="C18" i="64"/>
  <c r="D75" i="21"/>
  <c r="C54" i="64"/>
  <c r="C19" i="64"/>
  <c r="D76" i="21"/>
  <c r="C55" i="64"/>
  <c r="C20" i="64"/>
  <c r="D77" i="21"/>
  <c r="C56" i="64"/>
  <c r="C21" i="64"/>
  <c r="D78" i="21"/>
  <c r="C57" i="64"/>
  <c r="C22" i="64"/>
  <c r="D79" i="21"/>
  <c r="C58" i="64"/>
  <c r="C23" i="64"/>
  <c r="D80" i="21"/>
  <c r="C59" i="64"/>
  <c r="D81" i="21"/>
  <c r="D82" i="21"/>
  <c r="D109" i="21"/>
  <c r="C60" i="64"/>
  <c r="D13" i="64"/>
  <c r="D49" i="64"/>
  <c r="D112" i="21"/>
  <c r="D14" i="64"/>
  <c r="E71" i="21"/>
  <c r="D50" i="64"/>
  <c r="D129" i="21"/>
  <c r="D121" i="21"/>
  <c r="D123" i="21"/>
  <c r="D122" i="21"/>
  <c r="D124" i="21"/>
  <c r="D127" i="21"/>
  <c r="D119" i="21"/>
  <c r="D126" i="21"/>
  <c r="D128" i="21"/>
  <c r="D130" i="21"/>
  <c r="D125" i="21"/>
  <c r="D120" i="21"/>
  <c r="D15" i="64"/>
  <c r="E72" i="21"/>
  <c r="D51" i="64"/>
  <c r="D131" i="21"/>
  <c r="D13" i="21"/>
  <c r="D16" i="64"/>
  <c r="E73" i="21"/>
  <c r="D52" i="64"/>
  <c r="D14" i="21"/>
  <c r="D17" i="64"/>
  <c r="E74" i="21"/>
  <c r="D53" i="64"/>
  <c r="D15" i="21"/>
  <c r="D18" i="64"/>
  <c r="E75" i="21"/>
  <c r="D54" i="64"/>
  <c r="D16" i="21"/>
  <c r="D19" i="64"/>
  <c r="E76" i="21"/>
  <c r="D55" i="64"/>
  <c r="D17" i="21"/>
  <c r="D20" i="64"/>
  <c r="E77" i="21"/>
  <c r="D56" i="64"/>
  <c r="D18" i="21"/>
  <c r="D21" i="64"/>
  <c r="E78" i="21"/>
  <c r="D57" i="64"/>
  <c r="D19" i="21"/>
  <c r="D22" i="64"/>
  <c r="E79" i="21"/>
  <c r="D58" i="64"/>
  <c r="D20" i="21"/>
  <c r="D23" i="64"/>
  <c r="D25" i="4"/>
  <c r="E80" i="21"/>
  <c r="D59" i="64"/>
  <c r="D21" i="21"/>
  <c r="E81" i="21"/>
  <c r="E82" i="21"/>
  <c r="D60" i="64"/>
  <c r="D22" i="21"/>
  <c r="E109" i="21"/>
  <c r="I24" i="64"/>
  <c r="C125" i="48"/>
  <c r="E125" i="48"/>
  <c r="F24" i="64"/>
  <c r="C122" i="48"/>
  <c r="E122" i="48"/>
  <c r="G24" i="64"/>
  <c r="C123" i="48"/>
  <c r="E123" i="48"/>
  <c r="L183" i="4"/>
  <c r="L191" i="4"/>
  <c r="L24" i="64"/>
  <c r="C128" i="48"/>
  <c r="E128" i="48"/>
  <c r="F183" i="4"/>
  <c r="F191" i="4"/>
  <c r="G183" i="4"/>
  <c r="G191" i="4"/>
  <c r="G198" i="4"/>
  <c r="K183" i="4"/>
  <c r="K191" i="4"/>
  <c r="K203" i="4"/>
  <c r="K24" i="64"/>
  <c r="C127" i="48"/>
  <c r="E127" i="48"/>
  <c r="J24" i="64"/>
  <c r="C126" i="48"/>
  <c r="E126" i="48"/>
  <c r="J183" i="4"/>
  <c r="J191" i="4"/>
  <c r="J209" i="4"/>
  <c r="M24" i="4"/>
  <c r="H183" i="4"/>
  <c r="H191" i="4"/>
  <c r="H24" i="64"/>
  <c r="C124" i="48"/>
  <c r="E124" i="48"/>
  <c r="E183" i="4"/>
  <c r="E191" i="4"/>
  <c r="E24" i="64"/>
  <c r="C121" i="48"/>
  <c r="I183" i="4"/>
  <c r="I191" i="4"/>
  <c r="E121" i="48"/>
  <c r="E130" i="48"/>
  <c r="E131" i="48"/>
  <c r="G13" i="4"/>
  <c r="M24" i="64"/>
  <c r="M183" i="4"/>
  <c r="M191" i="4"/>
  <c r="K209" i="4"/>
  <c r="E201" i="4"/>
  <c r="E207" i="4"/>
  <c r="E200" i="4"/>
  <c r="D36" i="7"/>
  <c r="D40" i="7"/>
  <c r="D23" i="21"/>
  <c r="E112" i="21"/>
  <c r="J206" i="4"/>
  <c r="J204" i="4"/>
  <c r="J202" i="4"/>
  <c r="J207" i="4"/>
  <c r="J199" i="4"/>
  <c r="J201" i="4"/>
  <c r="J200" i="4"/>
  <c r="J205" i="4"/>
  <c r="J198" i="4"/>
  <c r="J208" i="4"/>
  <c r="J203" i="4"/>
  <c r="G200" i="4"/>
  <c r="G202" i="4"/>
  <c r="G207" i="4"/>
  <c r="G204" i="4"/>
  <c r="G199" i="4"/>
  <c r="G205" i="4"/>
  <c r="G208" i="4"/>
  <c r="G203" i="4"/>
  <c r="G206" i="4"/>
  <c r="G209" i="4"/>
  <c r="G201" i="4"/>
  <c r="L201" i="4"/>
  <c r="L199" i="4"/>
  <c r="L208" i="4"/>
  <c r="L205" i="4"/>
  <c r="L203" i="4"/>
  <c r="L200" i="4"/>
  <c r="L202" i="4"/>
  <c r="L207" i="4"/>
  <c r="L209" i="4"/>
  <c r="L204" i="4"/>
  <c r="L198" i="4"/>
  <c r="L206" i="4"/>
  <c r="I201" i="4"/>
  <c r="I205" i="4"/>
  <c r="I204" i="4"/>
  <c r="I206" i="4"/>
  <c r="I199" i="4"/>
  <c r="I202" i="4"/>
  <c r="I198" i="4"/>
  <c r="I200" i="4"/>
  <c r="I209" i="4"/>
  <c r="I207" i="4"/>
  <c r="I208" i="4"/>
  <c r="I203" i="4"/>
  <c r="H202" i="4"/>
  <c r="H207" i="4"/>
  <c r="H199" i="4"/>
  <c r="H205" i="4"/>
  <c r="H200" i="4"/>
  <c r="H206" i="4"/>
  <c r="H209" i="4"/>
  <c r="H198" i="4"/>
  <c r="H208" i="4"/>
  <c r="H204" i="4"/>
  <c r="H203" i="4"/>
  <c r="H201" i="4"/>
  <c r="F207" i="4"/>
  <c r="F203" i="4"/>
  <c r="F204" i="4"/>
  <c r="F206" i="4"/>
  <c r="F199" i="4"/>
  <c r="F201" i="4"/>
  <c r="F208" i="4"/>
  <c r="F205" i="4"/>
  <c r="F200" i="4"/>
  <c r="F202" i="4"/>
  <c r="F198" i="4"/>
  <c r="F209" i="4"/>
  <c r="K204" i="4"/>
  <c r="K206" i="4"/>
  <c r="K200" i="4"/>
  <c r="K208" i="4"/>
  <c r="K205" i="4"/>
  <c r="K199" i="4"/>
  <c r="K207" i="4"/>
  <c r="K202" i="4"/>
  <c r="K201" i="4"/>
  <c r="K198" i="4"/>
  <c r="E209" i="4"/>
  <c r="D44" i="4"/>
  <c r="K9" i="1"/>
  <c r="E204" i="4"/>
  <c r="E205" i="4"/>
  <c r="E206" i="4"/>
  <c r="E202" i="4"/>
  <c r="E198" i="4"/>
  <c r="E203" i="4"/>
  <c r="E199" i="4"/>
  <c r="E208" i="4"/>
  <c r="M203" i="4"/>
  <c r="G210" i="4"/>
  <c r="E133" i="48"/>
  <c r="M206" i="4"/>
  <c r="M209" i="4"/>
  <c r="F13" i="4"/>
  <c r="F14" i="4"/>
  <c r="F15" i="4"/>
  <c r="F16" i="4"/>
  <c r="F17" i="4"/>
  <c r="F18" i="4"/>
  <c r="F19" i="4"/>
  <c r="F20" i="4"/>
  <c r="F21" i="4"/>
  <c r="F22" i="4"/>
  <c r="F23" i="4"/>
  <c r="F210" i="4"/>
  <c r="I13" i="4"/>
  <c r="I14" i="4"/>
  <c r="I15" i="4"/>
  <c r="I16" i="4"/>
  <c r="I17" i="4"/>
  <c r="I18" i="4"/>
  <c r="I19" i="4"/>
  <c r="I20" i="4"/>
  <c r="I21" i="4"/>
  <c r="I22" i="4"/>
  <c r="I23" i="4"/>
  <c r="I210" i="4"/>
  <c r="L13" i="4"/>
  <c r="L210" i="4"/>
  <c r="J13" i="4"/>
  <c r="J14" i="4"/>
  <c r="J15" i="4"/>
  <c r="J16" i="4"/>
  <c r="J17" i="4"/>
  <c r="J18" i="4"/>
  <c r="J19" i="4"/>
  <c r="J20" i="4"/>
  <c r="J21" i="4"/>
  <c r="J22" i="4"/>
  <c r="J23" i="4"/>
  <c r="J210" i="4"/>
  <c r="M200" i="4"/>
  <c r="E13" i="4"/>
  <c r="E210" i="4"/>
  <c r="M198" i="4"/>
  <c r="M205" i="4"/>
  <c r="K13" i="4"/>
  <c r="K14" i="4"/>
  <c r="K15" i="4"/>
  <c r="K16" i="4"/>
  <c r="K17" i="4"/>
  <c r="K18" i="4"/>
  <c r="K19" i="4"/>
  <c r="K20" i="4"/>
  <c r="K21" i="4"/>
  <c r="K22" i="4"/>
  <c r="K23" i="4"/>
  <c r="K210" i="4"/>
  <c r="M207" i="4"/>
  <c r="M208" i="4"/>
  <c r="M204" i="4"/>
  <c r="M201" i="4"/>
  <c r="M199" i="4"/>
  <c r="M202" i="4"/>
  <c r="H13" i="4"/>
  <c r="H14" i="4"/>
  <c r="H15" i="4"/>
  <c r="H16" i="4"/>
  <c r="H17" i="4"/>
  <c r="H18" i="4"/>
  <c r="H19" i="4"/>
  <c r="H20" i="4"/>
  <c r="H21" i="4"/>
  <c r="H22" i="4"/>
  <c r="H23" i="4"/>
  <c r="H210" i="4"/>
  <c r="D25" i="21"/>
  <c r="L14" i="4"/>
  <c r="L15" i="4"/>
  <c r="L16" i="4"/>
  <c r="L17" i="4"/>
  <c r="L18" i="4"/>
  <c r="L19" i="4"/>
  <c r="L20" i="4"/>
  <c r="L21" i="4"/>
  <c r="L22" i="4"/>
  <c r="L23" i="4"/>
  <c r="G14" i="4"/>
  <c r="G15" i="4"/>
  <c r="G16" i="4"/>
  <c r="G17" i="4"/>
  <c r="G18" i="4"/>
  <c r="G19" i="4"/>
  <c r="G20" i="4"/>
  <c r="G21" i="4"/>
  <c r="G22" i="4"/>
  <c r="G23" i="4"/>
  <c r="E119" i="21"/>
  <c r="E13" i="21"/>
  <c r="E129" i="21"/>
  <c r="E120" i="21"/>
  <c r="E127" i="21"/>
  <c r="E121" i="21"/>
  <c r="E130" i="21"/>
  <c r="E124" i="21"/>
  <c r="E125" i="21"/>
  <c r="E126" i="21"/>
  <c r="E123" i="21"/>
  <c r="E122" i="21"/>
  <c r="E128" i="21"/>
  <c r="G13" i="64"/>
  <c r="M13" i="4"/>
  <c r="L47" i="48"/>
  <c r="L48" i="48"/>
  <c r="L49" i="48"/>
  <c r="L78" i="48"/>
  <c r="L79" i="48"/>
  <c r="L50" i="48"/>
  <c r="L51" i="48"/>
  <c r="L80" i="48"/>
  <c r="L81" i="48"/>
  <c r="L52" i="48"/>
  <c r="L53" i="48"/>
  <c r="L82" i="48"/>
  <c r="L54" i="48"/>
  <c r="L83" i="48"/>
  <c r="L55" i="48"/>
  <c r="L84" i="48"/>
  <c r="L85" i="48"/>
  <c r="L56" i="48"/>
  <c r="L86" i="48"/>
  <c r="L57" i="48"/>
  <c r="L87" i="48"/>
  <c r="L58" i="48"/>
  <c r="L88" i="48"/>
  <c r="L59" i="48"/>
  <c r="L89" i="48"/>
  <c r="L60" i="48"/>
  <c r="L90" i="48"/>
  <c r="L61" i="48"/>
  <c r="L62" i="48"/>
  <c r="L91" i="48"/>
  <c r="L63" i="48"/>
  <c r="L92" i="48"/>
  <c r="L64" i="48"/>
  <c r="L93" i="48"/>
  <c r="L94" i="48"/>
  <c r="L65" i="48"/>
  <c r="L66" i="48"/>
  <c r="L95" i="48"/>
  <c r="L67" i="48"/>
  <c r="L96" i="48"/>
  <c r="L68" i="48"/>
  <c r="L97" i="48"/>
  <c r="L98" i="48"/>
  <c r="L99" i="48"/>
  <c r="E14" i="4"/>
  <c r="M210" i="4"/>
  <c r="G49" i="64"/>
  <c r="L46" i="48"/>
  <c r="M46" i="48"/>
  <c r="N46" i="48"/>
  <c r="L77" i="48"/>
  <c r="M77" i="48"/>
  <c r="N77" i="48"/>
  <c r="G16" i="64"/>
  <c r="G17" i="64"/>
  <c r="H14" i="64"/>
  <c r="G15" i="64"/>
  <c r="L14" i="64"/>
  <c r="G14" i="64"/>
  <c r="E131" i="21"/>
  <c r="J14" i="64"/>
  <c r="E14" i="64"/>
  <c r="I14" i="64"/>
  <c r="F13" i="64"/>
  <c r="K13" i="64"/>
  <c r="L13" i="64"/>
  <c r="I13" i="64"/>
  <c r="J13" i="64"/>
  <c r="E13" i="64"/>
  <c r="H13" i="64"/>
  <c r="L19" i="48"/>
  <c r="L34" i="48"/>
  <c r="L30" i="48"/>
  <c r="L27" i="48"/>
  <c r="L35" i="48"/>
  <c r="L31" i="48"/>
  <c r="L23" i="48"/>
  <c r="L26" i="48"/>
  <c r="L18" i="48"/>
  <c r="L22" i="48"/>
  <c r="L29" i="48"/>
  <c r="L25" i="48"/>
  <c r="M78" i="48"/>
  <c r="L21" i="48"/>
  <c r="L17" i="48"/>
  <c r="L28" i="48"/>
  <c r="L24" i="48"/>
  <c r="L20" i="48"/>
  <c r="L16" i="48"/>
  <c r="L33" i="48"/>
  <c r="N14" i="48"/>
  <c r="L36" i="48"/>
  <c r="L32" i="48"/>
  <c r="L15" i="48"/>
  <c r="E15" i="4"/>
  <c r="E16" i="4"/>
  <c r="E17" i="4"/>
  <c r="E18" i="4"/>
  <c r="E19" i="4"/>
  <c r="E20" i="4"/>
  <c r="M14" i="4"/>
  <c r="M14" i="64"/>
  <c r="H71" i="21"/>
  <c r="H49" i="64"/>
  <c r="I49" i="64"/>
  <c r="F49" i="64"/>
  <c r="G50" i="64"/>
  <c r="G53" i="64"/>
  <c r="E49" i="64"/>
  <c r="I50" i="64"/>
  <c r="L50" i="64"/>
  <c r="G52" i="64"/>
  <c r="L49" i="64"/>
  <c r="E50" i="64"/>
  <c r="G51" i="64"/>
  <c r="J49" i="64"/>
  <c r="K49" i="64"/>
  <c r="J50" i="64"/>
  <c r="H50" i="64"/>
  <c r="M47" i="48"/>
  <c r="L14" i="48"/>
  <c r="E14" i="21"/>
  <c r="L15" i="64"/>
  <c r="H15" i="64"/>
  <c r="G18" i="64"/>
  <c r="K14" i="64"/>
  <c r="I15" i="64"/>
  <c r="J15" i="64"/>
  <c r="F14" i="64"/>
  <c r="M13" i="64"/>
  <c r="M15" i="4"/>
  <c r="M15" i="64"/>
  <c r="E15" i="64"/>
  <c r="M15" i="48"/>
  <c r="M79" i="48"/>
  <c r="N78" i="48"/>
  <c r="M48" i="48"/>
  <c r="N47" i="48"/>
  <c r="E21" i="4"/>
  <c r="E22" i="4"/>
  <c r="E23" i="4"/>
  <c r="E20" i="64"/>
  <c r="E56" i="64"/>
  <c r="K71" i="21"/>
  <c r="H74" i="21"/>
  <c r="H75" i="21"/>
  <c r="I72" i="21"/>
  <c r="H73" i="21"/>
  <c r="M72" i="21"/>
  <c r="H72" i="21"/>
  <c r="K72" i="21"/>
  <c r="F72" i="21"/>
  <c r="J72" i="21"/>
  <c r="G71" i="21"/>
  <c r="L71" i="21"/>
  <c r="J71" i="21"/>
  <c r="M14" i="48"/>
  <c r="M49" i="64"/>
  <c r="E51" i="64"/>
  <c r="J51" i="64"/>
  <c r="G54" i="64"/>
  <c r="I51" i="64"/>
  <c r="H51" i="64"/>
  <c r="M71" i="21"/>
  <c r="F71" i="21"/>
  <c r="L51" i="64"/>
  <c r="F50" i="64"/>
  <c r="K50" i="64"/>
  <c r="I71" i="21"/>
  <c r="E15" i="21"/>
  <c r="H16" i="64"/>
  <c r="K15" i="64"/>
  <c r="G19" i="64"/>
  <c r="L16" i="64"/>
  <c r="E16" i="64"/>
  <c r="M16" i="4"/>
  <c r="M16" i="64"/>
  <c r="F15" i="64"/>
  <c r="J16" i="64"/>
  <c r="I16" i="64"/>
  <c r="M16" i="48"/>
  <c r="N15" i="48"/>
  <c r="N79" i="48"/>
  <c r="M80" i="48"/>
  <c r="M49" i="48"/>
  <c r="N48" i="48"/>
  <c r="L72" i="21"/>
  <c r="K73" i="21"/>
  <c r="I73" i="21"/>
  <c r="J73" i="21"/>
  <c r="G72" i="21"/>
  <c r="F73" i="21"/>
  <c r="M73" i="21"/>
  <c r="H76" i="21"/>
  <c r="J52" i="64"/>
  <c r="K51" i="64"/>
  <c r="F51" i="64"/>
  <c r="E52" i="64"/>
  <c r="M50" i="64"/>
  <c r="L52" i="64"/>
  <c r="I52" i="64"/>
  <c r="G55" i="64"/>
  <c r="H52" i="64"/>
  <c r="N71" i="21"/>
  <c r="E16" i="21"/>
  <c r="F16" i="64"/>
  <c r="G20" i="64"/>
  <c r="L17" i="64"/>
  <c r="K16" i="64"/>
  <c r="I17" i="64"/>
  <c r="J17" i="64"/>
  <c r="M17" i="4"/>
  <c r="M17" i="64"/>
  <c r="E17" i="64"/>
  <c r="H17" i="64"/>
  <c r="M17" i="48"/>
  <c r="N16" i="48"/>
  <c r="N80" i="48"/>
  <c r="M81" i="48"/>
  <c r="N72" i="21"/>
  <c r="M50" i="48"/>
  <c r="N49" i="48"/>
  <c r="N17" i="48"/>
  <c r="F74" i="21"/>
  <c r="M74" i="21"/>
  <c r="H77" i="21"/>
  <c r="J74" i="21"/>
  <c r="L73" i="21"/>
  <c r="K74" i="21"/>
  <c r="M51" i="64"/>
  <c r="H53" i="64"/>
  <c r="K52" i="64"/>
  <c r="F52" i="64"/>
  <c r="L53" i="64"/>
  <c r="E53" i="64"/>
  <c r="J53" i="64"/>
  <c r="G56" i="64"/>
  <c r="I74" i="21"/>
  <c r="G73" i="21"/>
  <c r="I53" i="64"/>
  <c r="E17" i="21"/>
  <c r="E18" i="64"/>
  <c r="G21" i="64"/>
  <c r="I18" i="64"/>
  <c r="L18" i="64"/>
  <c r="F17" i="64"/>
  <c r="M18" i="4"/>
  <c r="J18" i="64"/>
  <c r="K17" i="64"/>
  <c r="H18" i="64"/>
  <c r="N73" i="21"/>
  <c r="M18" i="48"/>
  <c r="N81" i="48"/>
  <c r="M82" i="48"/>
  <c r="M51" i="48"/>
  <c r="N50" i="48"/>
  <c r="K75" i="21"/>
  <c r="F75" i="21"/>
  <c r="I75" i="21"/>
  <c r="H78" i="21"/>
  <c r="J75" i="21"/>
  <c r="M75" i="21"/>
  <c r="G74" i="21"/>
  <c r="M52" i="64"/>
  <c r="K53" i="64"/>
  <c r="L54" i="64"/>
  <c r="J54" i="64"/>
  <c r="I54" i="64"/>
  <c r="L74" i="21"/>
  <c r="E54" i="64"/>
  <c r="H54" i="64"/>
  <c r="F53" i="64"/>
  <c r="G57" i="64"/>
  <c r="E18" i="21"/>
  <c r="M18" i="64"/>
  <c r="H19" i="64"/>
  <c r="I19" i="64"/>
  <c r="K18" i="64"/>
  <c r="J19" i="64"/>
  <c r="L19" i="64"/>
  <c r="F18" i="64"/>
  <c r="F54" i="64"/>
  <c r="G22" i="64"/>
  <c r="M19" i="4"/>
  <c r="M19" i="64"/>
  <c r="E19" i="64"/>
  <c r="M19" i="48"/>
  <c r="N18" i="48"/>
  <c r="N82" i="48"/>
  <c r="M83" i="48"/>
  <c r="M52" i="48"/>
  <c r="N51" i="48"/>
  <c r="N74" i="21"/>
  <c r="K76" i="21"/>
  <c r="I76" i="21"/>
  <c r="F76" i="21"/>
  <c r="H79" i="21"/>
  <c r="L75" i="21"/>
  <c r="M76" i="21"/>
  <c r="J76" i="21"/>
  <c r="M53" i="64"/>
  <c r="G58" i="64"/>
  <c r="J55" i="64"/>
  <c r="K54" i="64"/>
  <c r="H55" i="64"/>
  <c r="G75" i="21"/>
  <c r="N75" i="21"/>
  <c r="E55" i="64"/>
  <c r="I55" i="64"/>
  <c r="L55" i="64"/>
  <c r="G76" i="21"/>
  <c r="E19" i="21"/>
  <c r="L20" i="64"/>
  <c r="G23" i="64"/>
  <c r="G25" i="4"/>
  <c r="F19" i="64"/>
  <c r="M20" i="4"/>
  <c r="M20" i="64"/>
  <c r="F78" i="21"/>
  <c r="J20" i="64"/>
  <c r="H20" i="64"/>
  <c r="K19" i="64"/>
  <c r="I20" i="64"/>
  <c r="M20" i="48"/>
  <c r="N19" i="48"/>
  <c r="N83" i="48"/>
  <c r="M84" i="48"/>
  <c r="M53" i="48"/>
  <c r="N52" i="48"/>
  <c r="H80" i="21"/>
  <c r="M77" i="21"/>
  <c r="J77" i="21"/>
  <c r="L76" i="21"/>
  <c r="N76" i="21"/>
  <c r="I77" i="21"/>
  <c r="F77" i="21"/>
  <c r="K77" i="21"/>
  <c r="J56" i="64"/>
  <c r="L56" i="64"/>
  <c r="I56" i="64"/>
  <c r="F55" i="64"/>
  <c r="K55" i="64"/>
  <c r="H56" i="64"/>
  <c r="G59" i="64"/>
  <c r="M54" i="64"/>
  <c r="E20" i="21"/>
  <c r="I21" i="64"/>
  <c r="K20" i="64"/>
  <c r="H21" i="64"/>
  <c r="F20" i="64"/>
  <c r="J21" i="64"/>
  <c r="M21" i="4"/>
  <c r="M21" i="64"/>
  <c r="E21" i="64"/>
  <c r="L21" i="64"/>
  <c r="M21" i="48"/>
  <c r="N20" i="48"/>
  <c r="N84" i="48"/>
  <c r="M85" i="48"/>
  <c r="M54" i="48"/>
  <c r="N53" i="48"/>
  <c r="M78" i="21"/>
  <c r="K78" i="21"/>
  <c r="G77" i="21"/>
  <c r="I78" i="21"/>
  <c r="H81" i="21"/>
  <c r="H82" i="21"/>
  <c r="H109" i="21"/>
  <c r="H112" i="21"/>
  <c r="H129" i="21"/>
  <c r="J78" i="21"/>
  <c r="M55" i="64"/>
  <c r="G60" i="64"/>
  <c r="E57" i="64"/>
  <c r="I57" i="64"/>
  <c r="J57" i="64"/>
  <c r="H57" i="64"/>
  <c r="L77" i="21"/>
  <c r="L57" i="64"/>
  <c r="F56" i="64"/>
  <c r="K56" i="64"/>
  <c r="E21" i="21"/>
  <c r="E22" i="64"/>
  <c r="E25" i="4"/>
  <c r="K21" i="64"/>
  <c r="H22" i="64"/>
  <c r="L22" i="64"/>
  <c r="J22" i="64"/>
  <c r="F21" i="64"/>
  <c r="I22" i="64"/>
  <c r="H125" i="21"/>
  <c r="H123" i="21"/>
  <c r="H122" i="21"/>
  <c r="H127" i="21"/>
  <c r="H119" i="21"/>
  <c r="H13" i="21"/>
  <c r="H124" i="21"/>
  <c r="H121" i="21"/>
  <c r="H130" i="21"/>
  <c r="M22" i="48"/>
  <c r="H120" i="21"/>
  <c r="H126" i="21"/>
  <c r="H128" i="21"/>
  <c r="N21" i="48"/>
  <c r="N85" i="48"/>
  <c r="M86" i="48"/>
  <c r="M55" i="48"/>
  <c r="N54" i="48"/>
  <c r="N77" i="21"/>
  <c r="J79" i="21"/>
  <c r="F79" i="21"/>
  <c r="I79" i="21"/>
  <c r="M79" i="21"/>
  <c r="L78" i="21"/>
  <c r="G78" i="21"/>
  <c r="N78" i="21"/>
  <c r="K79" i="21"/>
  <c r="M56" i="64"/>
  <c r="J58" i="64"/>
  <c r="L58" i="64"/>
  <c r="K57" i="64"/>
  <c r="E58" i="64"/>
  <c r="I58" i="64"/>
  <c r="H58" i="64"/>
  <c r="F57" i="64"/>
  <c r="E22" i="21"/>
  <c r="F22" i="64"/>
  <c r="H23" i="64"/>
  <c r="H25" i="4"/>
  <c r="E23" i="64"/>
  <c r="K22" i="64"/>
  <c r="M23" i="4"/>
  <c r="I23" i="64"/>
  <c r="I25" i="4"/>
  <c r="J23" i="64"/>
  <c r="J25" i="4"/>
  <c r="L23" i="64"/>
  <c r="L25" i="4"/>
  <c r="M22" i="4"/>
  <c r="M22" i="64"/>
  <c r="H131" i="21"/>
  <c r="M23" i="48"/>
  <c r="H14" i="21"/>
  <c r="H15" i="21"/>
  <c r="H16" i="21"/>
  <c r="H17" i="21"/>
  <c r="H18" i="21"/>
  <c r="H19" i="21"/>
  <c r="H20" i="21"/>
  <c r="H21" i="21"/>
  <c r="H22" i="21"/>
  <c r="H23" i="21"/>
  <c r="H25" i="21"/>
  <c r="N22" i="48"/>
  <c r="N86" i="48"/>
  <c r="M87" i="48"/>
  <c r="M56" i="48"/>
  <c r="N55" i="48"/>
  <c r="L79" i="21"/>
  <c r="G79" i="21"/>
  <c r="I80" i="21"/>
  <c r="M80" i="21"/>
  <c r="F80" i="21"/>
  <c r="J80" i="21"/>
  <c r="K80" i="21"/>
  <c r="H59" i="64"/>
  <c r="M57" i="64"/>
  <c r="J59" i="64"/>
  <c r="K58" i="64"/>
  <c r="F58" i="64"/>
  <c r="E59" i="64"/>
  <c r="L59" i="64"/>
  <c r="I59" i="64"/>
  <c r="E23" i="21"/>
  <c r="M23" i="64"/>
  <c r="M25" i="4"/>
  <c r="D43" i="4"/>
  <c r="J6" i="8"/>
  <c r="F23" i="64"/>
  <c r="F25" i="4"/>
  <c r="K23" i="64"/>
  <c r="K25" i="4"/>
  <c r="M24" i="48"/>
  <c r="N23" i="48"/>
  <c r="N87" i="48"/>
  <c r="M88" i="48"/>
  <c r="M57" i="48"/>
  <c r="N56" i="48"/>
  <c r="N79" i="21"/>
  <c r="L60" i="64"/>
  <c r="F81" i="21"/>
  <c r="F82" i="21"/>
  <c r="F109" i="21"/>
  <c r="K81" i="21"/>
  <c r="K82" i="21"/>
  <c r="K109" i="21"/>
  <c r="K112" i="21"/>
  <c r="K120" i="21"/>
  <c r="G80" i="21"/>
  <c r="H60" i="64"/>
  <c r="I60" i="64"/>
  <c r="L80" i="21"/>
  <c r="M81" i="21"/>
  <c r="M82" i="21"/>
  <c r="M109" i="21"/>
  <c r="M112" i="21"/>
  <c r="M129" i="21"/>
  <c r="J60" i="64"/>
  <c r="K59" i="64"/>
  <c r="M58" i="64"/>
  <c r="E60" i="64"/>
  <c r="F59" i="64"/>
  <c r="J81" i="21"/>
  <c r="J82" i="21"/>
  <c r="J109" i="21"/>
  <c r="J112" i="21"/>
  <c r="J123" i="21"/>
  <c r="I81" i="21"/>
  <c r="I82" i="21"/>
  <c r="I109" i="21"/>
  <c r="I112" i="21"/>
  <c r="I123" i="21"/>
  <c r="E25" i="21"/>
  <c r="N80" i="21"/>
  <c r="N24" i="48"/>
  <c r="M25" i="48"/>
  <c r="M120" i="21"/>
  <c r="N88" i="48"/>
  <c r="M89" i="48"/>
  <c r="M58" i="48"/>
  <c r="N57" i="48"/>
  <c r="K127" i="21"/>
  <c r="K124" i="21"/>
  <c r="K126" i="21"/>
  <c r="K123" i="21"/>
  <c r="K130" i="21"/>
  <c r="K128" i="21"/>
  <c r="K125" i="21"/>
  <c r="K119" i="21"/>
  <c r="K13" i="21"/>
  <c r="K14" i="21"/>
  <c r="K121" i="21"/>
  <c r="K129" i="21"/>
  <c r="K122" i="21"/>
  <c r="M122" i="21"/>
  <c r="L81" i="21"/>
  <c r="L82" i="21"/>
  <c r="L109" i="21"/>
  <c r="L112" i="21"/>
  <c r="L125" i="21"/>
  <c r="G81" i="21"/>
  <c r="G82" i="21"/>
  <c r="M126" i="21"/>
  <c r="M125" i="21"/>
  <c r="M119" i="21"/>
  <c r="M13" i="21"/>
  <c r="M123" i="21"/>
  <c r="M121" i="21"/>
  <c r="M124" i="21"/>
  <c r="M130" i="21"/>
  <c r="M127" i="21"/>
  <c r="M128" i="21"/>
  <c r="F60" i="64"/>
  <c r="I121" i="21"/>
  <c r="J122" i="21"/>
  <c r="K60" i="64"/>
  <c r="J121" i="21"/>
  <c r="I129" i="21"/>
  <c r="J127" i="21"/>
  <c r="J120" i="21"/>
  <c r="M59" i="64"/>
  <c r="M61" i="64"/>
  <c r="F91" i="64"/>
  <c r="I124" i="21"/>
  <c r="J126" i="21"/>
  <c r="J129" i="21"/>
  <c r="I128" i="21"/>
  <c r="I127" i="21"/>
  <c r="I125" i="21"/>
  <c r="I122" i="21"/>
  <c r="I130" i="21"/>
  <c r="I126" i="21"/>
  <c r="J119" i="21"/>
  <c r="J13" i="21"/>
  <c r="J128" i="21"/>
  <c r="J124" i="21"/>
  <c r="I120" i="21"/>
  <c r="I119" i="21"/>
  <c r="I13" i="21"/>
  <c r="J125" i="21"/>
  <c r="J130" i="21"/>
  <c r="L130" i="21"/>
  <c r="F112" i="21"/>
  <c r="L127" i="21"/>
  <c r="M14" i="21"/>
  <c r="N25" i="48"/>
  <c r="M26" i="48"/>
  <c r="N89" i="48"/>
  <c r="M90" i="48"/>
  <c r="K15" i="21"/>
  <c r="K16" i="21"/>
  <c r="K17" i="21"/>
  <c r="K18" i="21"/>
  <c r="K19" i="21"/>
  <c r="K20" i="21"/>
  <c r="K21" i="21"/>
  <c r="K22" i="21"/>
  <c r="K23" i="21"/>
  <c r="M59" i="48"/>
  <c r="N58" i="48"/>
  <c r="K131" i="21"/>
  <c r="N81" i="21"/>
  <c r="L129" i="21"/>
  <c r="L119" i="21"/>
  <c r="L13" i="21"/>
  <c r="L123" i="21"/>
  <c r="L120" i="21"/>
  <c r="L124" i="21"/>
  <c r="L128" i="21"/>
  <c r="L121" i="21"/>
  <c r="L122" i="21"/>
  <c r="L126" i="21"/>
  <c r="M131" i="21"/>
  <c r="M15" i="21"/>
  <c r="M16" i="21"/>
  <c r="M17" i="21"/>
  <c r="M18" i="21"/>
  <c r="M19" i="21"/>
  <c r="M20" i="21"/>
  <c r="M21" i="21"/>
  <c r="M22" i="21"/>
  <c r="M23" i="21"/>
  <c r="I14" i="21"/>
  <c r="I15" i="21"/>
  <c r="I16" i="21"/>
  <c r="I17" i="21"/>
  <c r="I18" i="21"/>
  <c r="I19" i="21"/>
  <c r="I20" i="21"/>
  <c r="I21" i="21"/>
  <c r="I22" i="21"/>
  <c r="I23" i="21"/>
  <c r="J14" i="21"/>
  <c r="J15" i="21"/>
  <c r="J16" i="21"/>
  <c r="J17" i="21"/>
  <c r="J18" i="21"/>
  <c r="J19" i="21"/>
  <c r="J20" i="21"/>
  <c r="J21" i="21"/>
  <c r="J22" i="21"/>
  <c r="J23" i="21"/>
  <c r="J131" i="21"/>
  <c r="I131" i="21"/>
  <c r="N82" i="21"/>
  <c r="G109" i="21"/>
  <c r="F126" i="21"/>
  <c r="F121" i="21"/>
  <c r="F120" i="21"/>
  <c r="F119" i="21"/>
  <c r="F129" i="21"/>
  <c r="F124" i="21"/>
  <c r="F122" i="21"/>
  <c r="F128" i="21"/>
  <c r="F127" i="21"/>
  <c r="F130" i="21"/>
  <c r="F125" i="21"/>
  <c r="F123" i="21"/>
  <c r="N26" i="48"/>
  <c r="L14" i="21"/>
  <c r="M27" i="48"/>
  <c r="N90" i="48"/>
  <c r="M91" i="48"/>
  <c r="L131" i="21"/>
  <c r="K25" i="21"/>
  <c r="M60" i="48"/>
  <c r="N59" i="48"/>
  <c r="L15" i="21"/>
  <c r="L16" i="21"/>
  <c r="L17" i="21"/>
  <c r="L18" i="21"/>
  <c r="L19" i="21"/>
  <c r="L20" i="21"/>
  <c r="L21" i="21"/>
  <c r="L22" i="21"/>
  <c r="L23" i="21"/>
  <c r="M25" i="21"/>
  <c r="I25" i="21"/>
  <c r="J25" i="21"/>
  <c r="G112" i="21"/>
  <c r="N109" i="21"/>
  <c r="F131" i="21"/>
  <c r="F13" i="21"/>
  <c r="N27" i="48"/>
  <c r="M28" i="48"/>
  <c r="N91" i="48"/>
  <c r="M92" i="48"/>
  <c r="L25" i="21"/>
  <c r="M61" i="48"/>
  <c r="M29" i="48"/>
  <c r="N60" i="48"/>
  <c r="G122" i="21"/>
  <c r="N122" i="21"/>
  <c r="G120" i="21"/>
  <c r="N120" i="21"/>
  <c r="G125" i="21"/>
  <c r="N125" i="21"/>
  <c r="G128" i="21"/>
  <c r="N128" i="21"/>
  <c r="G126" i="21"/>
  <c r="N126" i="21"/>
  <c r="G129" i="21"/>
  <c r="N129" i="21"/>
  <c r="G130" i="21"/>
  <c r="N130" i="21"/>
  <c r="G127" i="21"/>
  <c r="N127" i="21"/>
  <c r="G121" i="21"/>
  <c r="N121" i="21"/>
  <c r="G123" i="21"/>
  <c r="N123" i="21"/>
  <c r="G119" i="21"/>
  <c r="G124" i="21"/>
  <c r="N124" i="21"/>
  <c r="N112" i="21"/>
  <c r="F14" i="21"/>
  <c r="N28" i="48"/>
  <c r="N92" i="48"/>
  <c r="M93" i="48"/>
  <c r="M62" i="48"/>
  <c r="N61" i="48"/>
  <c r="G13" i="21"/>
  <c r="G131" i="21"/>
  <c r="N119" i="21"/>
  <c r="N131" i="21"/>
  <c r="F15" i="21"/>
  <c r="N29" i="48"/>
  <c r="N93" i="48"/>
  <c r="M94" i="48"/>
  <c r="M30" i="48"/>
  <c r="M63" i="48"/>
  <c r="N62" i="48"/>
  <c r="N30" i="48"/>
  <c r="G14" i="21"/>
  <c r="N13" i="21"/>
  <c r="F16" i="21"/>
  <c r="N94" i="48"/>
  <c r="M95" i="48"/>
  <c r="M31" i="48"/>
  <c r="M64" i="48"/>
  <c r="M32" i="48"/>
  <c r="N63" i="48"/>
  <c r="N31" i="48"/>
  <c r="G15" i="21"/>
  <c r="N14" i="21"/>
  <c r="F17" i="21"/>
  <c r="N95" i="48"/>
  <c r="M96" i="48"/>
  <c r="M65" i="48"/>
  <c r="N64" i="48"/>
  <c r="G16" i="21"/>
  <c r="N15" i="21"/>
  <c r="F18" i="21"/>
  <c r="N32" i="48"/>
  <c r="M33" i="48"/>
  <c r="N96" i="48"/>
  <c r="M97" i="48"/>
  <c r="M66" i="48"/>
  <c r="N65" i="48"/>
  <c r="G17" i="21"/>
  <c r="N16" i="21"/>
  <c r="F19" i="21"/>
  <c r="M34" i="48"/>
  <c r="N33" i="48"/>
  <c r="N97" i="48"/>
  <c r="M98" i="48"/>
  <c r="M67" i="48"/>
  <c r="N66" i="48"/>
  <c r="G18" i="21"/>
  <c r="N17" i="21"/>
  <c r="F20" i="21"/>
  <c r="M35" i="48"/>
  <c r="N34" i="48"/>
  <c r="N98" i="48"/>
  <c r="M99" i="48"/>
  <c r="N99" i="48"/>
  <c r="M68" i="48"/>
  <c r="N67" i="48"/>
  <c r="G19" i="21"/>
  <c r="N18" i="21"/>
  <c r="F21" i="21"/>
  <c r="N35" i="48"/>
  <c r="N68" i="48"/>
  <c r="N36" i="48"/>
  <c r="M36" i="48"/>
  <c r="G20" i="21"/>
  <c r="N19" i="21"/>
  <c r="F22" i="21"/>
  <c r="N37" i="48"/>
  <c r="D78" i="7"/>
  <c r="G21" i="21"/>
  <c r="N20" i="21"/>
  <c r="F23" i="21"/>
  <c r="G22" i="21"/>
  <c r="N21" i="21"/>
  <c r="F25" i="21"/>
  <c r="G23" i="21"/>
  <c r="N22" i="21"/>
  <c r="N23" i="21"/>
  <c r="G25" i="21"/>
  <c r="N25" i="21"/>
  <c r="J18" i="8"/>
  <c r="G136" i="61"/>
  <c r="G147" i="61"/>
  <c r="G59" i="61"/>
  <c r="I233" i="61"/>
  <c r="G80" i="61"/>
  <c r="G233" i="61"/>
  <c r="K75" i="1"/>
  <c r="J58" i="8" l="1"/>
  <c r="G21" i="45"/>
  <c r="J9" i="8" s="1"/>
  <c r="J44" i="8"/>
  <c r="G60" i="46"/>
  <c r="J57" i="46"/>
  <c r="H58" i="46"/>
  <c r="H43" i="46"/>
  <c r="H60" i="46" s="1"/>
  <c r="K58" i="46"/>
  <c r="K60" i="46" s="1"/>
  <c r="H120" i="46"/>
  <c r="D121" i="46"/>
  <c r="J42" i="46"/>
  <c r="D105" i="46"/>
  <c r="J52" i="8"/>
  <c r="K81" i="1"/>
  <c r="J57" i="8"/>
  <c r="J50" i="8"/>
  <c r="A11" i="1"/>
  <c r="A12" i="1" s="1"/>
  <c r="A15" i="1" s="1"/>
  <c r="K104" i="1"/>
  <c r="K82" i="1"/>
  <c r="K80" i="1" s="1"/>
  <c r="K52" i="1"/>
  <c r="J54" i="8"/>
  <c r="F91" i="12"/>
  <c r="H20" i="26"/>
  <c r="F23" i="26" s="1"/>
  <c r="F25" i="26" s="1"/>
  <c r="A9" i="8"/>
  <c r="A12" i="8" s="1"/>
  <c r="K91" i="1" l="1"/>
  <c r="C120" i="46"/>
  <c r="C121" i="46" s="1"/>
  <c r="J58" i="46"/>
  <c r="J43" i="46"/>
  <c r="J60" i="46" s="1"/>
  <c r="C105" i="46"/>
  <c r="C106" i="46" s="1"/>
  <c r="H105" i="46"/>
  <c r="D106" i="46"/>
  <c r="D124" i="46" s="1"/>
  <c r="G120" i="46"/>
  <c r="G121" i="46" s="1"/>
  <c r="H121" i="46"/>
  <c r="K90" i="1"/>
  <c r="K83" i="1"/>
  <c r="E97" i="8"/>
  <c r="G16" i="12"/>
  <c r="D34" i="71"/>
  <c r="J43" i="8"/>
  <c r="D23" i="7"/>
  <c r="H56" i="44"/>
  <c r="H57" i="44" s="1"/>
  <c r="E34" i="71"/>
  <c r="F93" i="12"/>
  <c r="G15" i="12"/>
  <c r="K92" i="1"/>
  <c r="E96" i="8"/>
  <c r="A16" i="1"/>
  <c r="A17" i="1" s="1"/>
  <c r="F20" i="17"/>
  <c r="A13" i="8"/>
  <c r="A14" i="8" s="1"/>
  <c r="A15" i="8" s="1"/>
  <c r="G17" i="12" l="1"/>
  <c r="E103" i="8"/>
  <c r="J42" i="8" s="1"/>
  <c r="C124" i="46"/>
  <c r="G105" i="46"/>
  <c r="G106" i="46" s="1"/>
  <c r="G124" i="46" s="1"/>
  <c r="K126" i="1" s="1"/>
  <c r="H106" i="46"/>
  <c r="H124" i="46" s="1"/>
  <c r="G7" i="2" s="1"/>
  <c r="G15" i="2" s="1"/>
  <c r="H14" i="8"/>
  <c r="A18" i="1"/>
  <c r="F22" i="17"/>
  <c r="K53" i="1" s="1"/>
  <c r="D42" i="71"/>
  <c r="E81" i="12"/>
  <c r="F81" i="12" s="1"/>
  <c r="G56" i="12"/>
  <c r="D51" i="7"/>
  <c r="E82" i="12"/>
  <c r="F82" i="12" s="1"/>
  <c r="G54" i="12"/>
  <c r="G55" i="12"/>
  <c r="G40" i="12"/>
  <c r="G41" i="12"/>
  <c r="E83" i="12"/>
  <c r="F83" i="12" s="1"/>
  <c r="G39" i="12"/>
  <c r="I18" i="1"/>
  <c r="K95" i="1"/>
  <c r="H59" i="44"/>
  <c r="H78" i="44" s="1"/>
  <c r="H65" i="44"/>
  <c r="H66" i="44" s="1"/>
  <c r="H79" i="44" s="1"/>
  <c r="E95" i="8"/>
  <c r="E98" i="8" s="1"/>
  <c r="J33" i="8" s="1"/>
  <c r="K93" i="1"/>
  <c r="D21" i="7"/>
  <c r="A18" i="8"/>
  <c r="H15" i="8"/>
  <c r="F23" i="17" l="1"/>
  <c r="G44" i="12"/>
  <c r="K137" i="1" s="1"/>
  <c r="K138" i="1" s="1"/>
  <c r="H83" i="44"/>
  <c r="D29" i="54"/>
  <c r="D30" i="54" s="1"/>
  <c r="D39" i="54" s="1"/>
  <c r="D42" i="54" s="1"/>
  <c r="J8" i="8" s="1"/>
  <c r="H71" i="15"/>
  <c r="H72" i="15" s="1"/>
  <c r="H91" i="15"/>
  <c r="H92" i="15" s="1"/>
  <c r="F50" i="22"/>
  <c r="F51" i="22" s="1"/>
  <c r="J13" i="8" s="1"/>
  <c r="G31" i="79"/>
  <c r="G32" i="79" s="1"/>
  <c r="I31" i="79"/>
  <c r="I32" i="79" s="1"/>
  <c r="I18" i="79" s="1"/>
  <c r="G25" i="2"/>
  <c r="G38" i="79"/>
  <c r="G39" i="79" s="1"/>
  <c r="H73" i="44"/>
  <c r="H74" i="44" s="1"/>
  <c r="H81" i="44" s="1"/>
  <c r="F24" i="22"/>
  <c r="F52" i="21"/>
  <c r="F53" i="21" s="1"/>
  <c r="J20" i="8" s="1"/>
  <c r="F26" i="26"/>
  <c r="F27" i="26" s="1"/>
  <c r="G26" i="79"/>
  <c r="G27" i="79" s="1"/>
  <c r="F59" i="21"/>
  <c r="F60" i="21" s="1"/>
  <c r="K23" i="1" s="1"/>
  <c r="I26" i="79"/>
  <c r="I27" i="79" s="1"/>
  <c r="I17" i="79" s="1"/>
  <c r="H132" i="15"/>
  <c r="H133" i="15" s="1"/>
  <c r="K55" i="1"/>
  <c r="I38" i="79"/>
  <c r="I39" i="79" s="1"/>
  <c r="I19" i="79" s="1"/>
  <c r="F63" i="4"/>
  <c r="F64" i="4" s="1"/>
  <c r="K10" i="1" s="1"/>
  <c r="E29" i="54"/>
  <c r="E30" i="54" s="1"/>
  <c r="E39" i="54" s="1"/>
  <c r="K11" i="1" s="1"/>
  <c r="F54" i="22"/>
  <c r="F55" i="22" s="1"/>
  <c r="K16" i="1" s="1"/>
  <c r="F58" i="4"/>
  <c r="F59" i="4" s="1"/>
  <c r="J7" i="8" s="1"/>
  <c r="G23" i="2"/>
  <c r="G28" i="2" s="1"/>
  <c r="H85" i="64"/>
  <c r="H86" i="64" s="1"/>
  <c r="F93" i="64" s="1"/>
  <c r="F94" i="64" s="1"/>
  <c r="K129" i="1" s="1"/>
  <c r="J48" i="8"/>
  <c r="D55" i="7"/>
  <c r="D59" i="7"/>
  <c r="F86" i="12"/>
  <c r="D56" i="71"/>
  <c r="E56" i="71"/>
  <c r="E49" i="71"/>
  <c r="D49" i="71"/>
  <c r="K54" i="1"/>
  <c r="D26" i="71"/>
  <c r="D27" i="71" s="1"/>
  <c r="E26" i="71"/>
  <c r="E27" i="71" s="1"/>
  <c r="G59" i="12"/>
  <c r="J61" i="8" s="1"/>
  <c r="A21" i="1"/>
  <c r="D33" i="71"/>
  <c r="D35" i="71" s="1"/>
  <c r="D22" i="7"/>
  <c r="D25" i="7" s="1"/>
  <c r="E33" i="71"/>
  <c r="E35" i="71" s="1"/>
  <c r="A19" i="8"/>
  <c r="A20" i="8" s="1"/>
  <c r="A21" i="8" s="1"/>
  <c r="H88" i="44" l="1"/>
  <c r="K39" i="79"/>
  <c r="G19" i="79"/>
  <c r="K19" i="79" s="1"/>
  <c r="G132" i="15"/>
  <c r="G133" i="15" s="1"/>
  <c r="D133" i="15" s="1"/>
  <c r="D12" i="15" s="1"/>
  <c r="G71" i="15"/>
  <c r="G72" i="15" s="1"/>
  <c r="D72" i="15" s="1"/>
  <c r="D10" i="15" s="1"/>
  <c r="G91" i="15"/>
  <c r="G92" i="15" s="1"/>
  <c r="D92" i="15" s="1"/>
  <c r="D11" i="15" s="1"/>
  <c r="K40" i="1"/>
  <c r="F28" i="26"/>
  <c r="F29" i="26" s="1"/>
  <c r="F30" i="26" s="1"/>
  <c r="K127" i="1" s="1"/>
  <c r="I20" i="79"/>
  <c r="K9" i="79" s="1"/>
  <c r="K31" i="1" s="1"/>
  <c r="K24" i="1"/>
  <c r="G17" i="79"/>
  <c r="K27" i="79"/>
  <c r="K32" i="79"/>
  <c r="G18" i="79"/>
  <c r="K18" i="79" s="1"/>
  <c r="J51" i="8"/>
  <c r="J21" i="8"/>
  <c r="F27" i="22"/>
  <c r="J12" i="8" s="1"/>
  <c r="F26" i="22"/>
  <c r="K15" i="1" s="1"/>
  <c r="H41" i="44"/>
  <c r="H44" i="44" s="1"/>
  <c r="H87" i="44" s="1"/>
  <c r="D83" i="7"/>
  <c r="D84" i="7" s="1"/>
  <c r="D47" i="7"/>
  <c r="D48" i="7" s="1"/>
  <c r="D63" i="7" s="1"/>
  <c r="E115" i="71"/>
  <c r="E116" i="71" s="1"/>
  <c r="F78" i="71"/>
  <c r="D67" i="71"/>
  <c r="F96" i="71"/>
  <c r="E67" i="71"/>
  <c r="D68" i="71"/>
  <c r="F79" i="71"/>
  <c r="E82" i="71"/>
  <c r="D66" i="71"/>
  <c r="E86" i="71"/>
  <c r="E87" i="71"/>
  <c r="E85" i="71"/>
  <c r="E84" i="71"/>
  <c r="E78" i="71"/>
  <c r="E79" i="71"/>
  <c r="E80" i="71"/>
  <c r="E88" i="71"/>
  <c r="E83" i="71"/>
  <c r="E81" i="71"/>
  <c r="D65" i="71"/>
  <c r="D86" i="71"/>
  <c r="D87" i="71"/>
  <c r="D88" i="71"/>
  <c r="D80" i="71"/>
  <c r="D79" i="71"/>
  <c r="D84" i="71"/>
  <c r="D85" i="71"/>
  <c r="D83" i="71"/>
  <c r="D81" i="71"/>
  <c r="D82" i="71"/>
  <c r="D78" i="71"/>
  <c r="K56" i="1"/>
  <c r="E97" i="71"/>
  <c r="E102" i="71"/>
  <c r="E96" i="71"/>
  <c r="E104" i="71"/>
  <c r="E105" i="71"/>
  <c r="E66" i="71"/>
  <c r="E101" i="71"/>
  <c r="E103" i="71"/>
  <c r="E98" i="71"/>
  <c r="E106" i="71"/>
  <c r="E99" i="71"/>
  <c r="E100" i="71"/>
  <c r="J62" i="8"/>
  <c r="D106" i="71"/>
  <c r="D102" i="71"/>
  <c r="E65" i="71"/>
  <c r="D101" i="71"/>
  <c r="D104" i="71"/>
  <c r="D100" i="71"/>
  <c r="D103" i="71"/>
  <c r="D97" i="71"/>
  <c r="D105" i="71"/>
  <c r="D96" i="71"/>
  <c r="D99" i="71"/>
  <c r="D98" i="71"/>
  <c r="E68" i="71"/>
  <c r="F97" i="71"/>
  <c r="A22" i="1"/>
  <c r="A23" i="1" s="1"/>
  <c r="A24" i="1" s="1"/>
  <c r="H21" i="8"/>
  <c r="A23" i="8"/>
  <c r="H29" i="8"/>
  <c r="H92" i="44" l="1"/>
  <c r="J49" i="8"/>
  <c r="D72" i="7"/>
  <c r="K17" i="1"/>
  <c r="K18" i="1"/>
  <c r="K17" i="79"/>
  <c r="K20" i="79" s="1"/>
  <c r="K10" i="79" s="1"/>
  <c r="J26" i="8" s="1"/>
  <c r="G20" i="79"/>
  <c r="D14" i="15"/>
  <c r="K41" i="1"/>
  <c r="F90" i="71"/>
  <c r="G100" i="71"/>
  <c r="H100" i="71" s="1"/>
  <c r="D182" i="71"/>
  <c r="G86" i="71"/>
  <c r="H86" i="71" s="1"/>
  <c r="D163" i="71"/>
  <c r="E108" i="71"/>
  <c r="E141" i="71"/>
  <c r="D69" i="71"/>
  <c r="D70" i="71" s="1"/>
  <c r="G98" i="71"/>
  <c r="H98" i="71" s="1"/>
  <c r="G101" i="71"/>
  <c r="H101" i="71" s="1"/>
  <c r="D162" i="71"/>
  <c r="G85" i="71"/>
  <c r="H85" i="71" s="1"/>
  <c r="D181" i="71"/>
  <c r="D179" i="71"/>
  <c r="D160" i="71"/>
  <c r="G83" i="71"/>
  <c r="H83" i="71" s="1"/>
  <c r="F108" i="71"/>
  <c r="G99" i="71"/>
  <c r="H99" i="71" s="1"/>
  <c r="E69" i="71"/>
  <c r="E70" i="71" s="1"/>
  <c r="D180" i="71"/>
  <c r="G84" i="71"/>
  <c r="H84" i="71" s="1"/>
  <c r="D161" i="71"/>
  <c r="G79" i="71"/>
  <c r="H79" i="71" s="1"/>
  <c r="D156" i="71"/>
  <c r="D175" i="71"/>
  <c r="D108" i="71"/>
  <c r="G96" i="71"/>
  <c r="H96" i="71" s="1"/>
  <c r="D123" i="71"/>
  <c r="D125" i="71"/>
  <c r="D124" i="71"/>
  <c r="E142" i="71"/>
  <c r="D133" i="71"/>
  <c r="D128" i="71"/>
  <c r="D126" i="71"/>
  <c r="D127" i="71"/>
  <c r="D132" i="71"/>
  <c r="E117" i="71"/>
  <c r="E118" i="71" s="1"/>
  <c r="D130" i="71"/>
  <c r="D129" i="71"/>
  <c r="D131" i="71"/>
  <c r="G105" i="71"/>
  <c r="H105" i="71" s="1"/>
  <c r="G106" i="71"/>
  <c r="H106" i="71" s="1"/>
  <c r="D176" i="71"/>
  <c r="D157" i="71"/>
  <c r="G80" i="71"/>
  <c r="H80" i="71" s="1"/>
  <c r="D69" i="7"/>
  <c r="D64" i="7"/>
  <c r="D65" i="7" s="1"/>
  <c r="G102" i="71"/>
  <c r="H102" i="71" s="1"/>
  <c r="I24" i="1"/>
  <c r="G97" i="71"/>
  <c r="H97" i="71" s="1"/>
  <c r="D90" i="71"/>
  <c r="D174" i="71"/>
  <c r="D155" i="71"/>
  <c r="G78" i="71"/>
  <c r="H78" i="71" s="1"/>
  <c r="G88" i="71"/>
  <c r="H88" i="71" s="1"/>
  <c r="D184" i="71"/>
  <c r="D165" i="71"/>
  <c r="G81" i="71"/>
  <c r="H81" i="71" s="1"/>
  <c r="D177" i="71"/>
  <c r="D158" i="71"/>
  <c r="G104" i="71"/>
  <c r="H104" i="71" s="1"/>
  <c r="A26" i="1"/>
  <c r="I34" i="1"/>
  <c r="G103" i="71"/>
  <c r="H103" i="71" s="1"/>
  <c r="D178" i="71"/>
  <c r="D159" i="71"/>
  <c r="G82" i="71"/>
  <c r="H82" i="71" s="1"/>
  <c r="D164" i="71"/>
  <c r="G87" i="71"/>
  <c r="H87" i="71" s="1"/>
  <c r="D183" i="71"/>
  <c r="E90" i="71"/>
  <c r="A24" i="8"/>
  <c r="E143" i="71" l="1"/>
  <c r="K58" i="1"/>
  <c r="K131" i="1" s="1"/>
  <c r="J14" i="8"/>
  <c r="K26" i="1"/>
  <c r="D24" i="15"/>
  <c r="J23" i="8" s="1"/>
  <c r="E123" i="71"/>
  <c r="E126" i="71"/>
  <c r="E132" i="71"/>
  <c r="E129" i="71"/>
  <c r="E130" i="71"/>
  <c r="E128" i="71"/>
  <c r="E124" i="71"/>
  <c r="E131" i="71"/>
  <c r="E133" i="71"/>
  <c r="E125" i="71"/>
  <c r="E127" i="71"/>
  <c r="E179" i="71"/>
  <c r="E160" i="71"/>
  <c r="E163" i="71"/>
  <c r="F163" i="71" s="1"/>
  <c r="G163" i="71" s="1"/>
  <c r="E182" i="71"/>
  <c r="F182" i="71" s="1"/>
  <c r="G182" i="71" s="1"/>
  <c r="E184" i="71"/>
  <c r="F184" i="71" s="1"/>
  <c r="E165" i="71"/>
  <c r="H108" i="71"/>
  <c r="H90" i="71"/>
  <c r="A28" i="1"/>
  <c r="A30" i="1" s="1"/>
  <c r="A31" i="1" s="1"/>
  <c r="A32" i="1" s="1"/>
  <c r="A34" i="1" s="1"/>
  <c r="E180" i="71"/>
  <c r="F180" i="71" s="1"/>
  <c r="E161" i="71"/>
  <c r="F161" i="71" s="1"/>
  <c r="G108" i="71"/>
  <c r="E181" i="71"/>
  <c r="E162" i="71"/>
  <c r="F162" i="71" s="1"/>
  <c r="G162" i="71" s="1"/>
  <c r="E156" i="71"/>
  <c r="F156" i="71" s="1"/>
  <c r="G156" i="71" s="1"/>
  <c r="E175" i="71"/>
  <c r="F175" i="71" s="1"/>
  <c r="G175" i="71" s="1"/>
  <c r="F160" i="71"/>
  <c r="G160" i="71" s="1"/>
  <c r="E158" i="71"/>
  <c r="F158" i="71" s="1"/>
  <c r="E177" i="71"/>
  <c r="F177" i="71" s="1"/>
  <c r="G177" i="71" s="1"/>
  <c r="G90" i="71"/>
  <c r="E157" i="71"/>
  <c r="F157" i="71" s="1"/>
  <c r="E176" i="71"/>
  <c r="F179" i="71"/>
  <c r="G179" i="71" s="1"/>
  <c r="F165" i="71"/>
  <c r="D167" i="71"/>
  <c r="E183" i="71"/>
  <c r="F183" i="71" s="1"/>
  <c r="E164" i="71"/>
  <c r="F164" i="71" s="1"/>
  <c r="E174" i="71"/>
  <c r="E155" i="71"/>
  <c r="F155" i="71" s="1"/>
  <c r="G155" i="71" s="1"/>
  <c r="D135" i="71"/>
  <c r="F181" i="71"/>
  <c r="E146" i="71"/>
  <c r="E149" i="71"/>
  <c r="E147" i="71"/>
  <c r="E148" i="71" s="1"/>
  <c r="D186" i="71"/>
  <c r="E178" i="71"/>
  <c r="E159" i="71"/>
  <c r="F159" i="71" s="1"/>
  <c r="G159" i="71" s="1"/>
  <c r="A25" i="8"/>
  <c r="G91" i="12"/>
  <c r="K34" i="1" l="1"/>
  <c r="J15" i="8"/>
  <c r="K97" i="1"/>
  <c r="K112" i="1"/>
  <c r="G184" i="71"/>
  <c r="G183" i="71"/>
  <c r="G181" i="71"/>
  <c r="G165" i="71"/>
  <c r="F167" i="71"/>
  <c r="F176" i="71"/>
  <c r="G176" i="71" s="1"/>
  <c r="I117" i="1"/>
  <c r="A39" i="1"/>
  <c r="E167" i="71"/>
  <c r="G157" i="71"/>
  <c r="I35" i="1"/>
  <c r="E186" i="71"/>
  <c r="G164" i="71"/>
  <c r="F178" i="71"/>
  <c r="G178" i="71" s="1"/>
  <c r="G158" i="71"/>
  <c r="G180" i="71"/>
  <c r="G161" i="71"/>
  <c r="J53" i="8"/>
  <c r="E19" i="31"/>
  <c r="D19" i="31"/>
  <c r="F174" i="71"/>
  <c r="E135" i="71"/>
  <c r="A26" i="8"/>
  <c r="A27" i="8" s="1"/>
  <c r="A29" i="8" s="1"/>
  <c r="K134" i="1" l="1"/>
  <c r="J29" i="8"/>
  <c r="K133" i="1"/>
  <c r="G167" i="71"/>
  <c r="F186" i="71"/>
  <c r="G174" i="71"/>
  <c r="G186" i="71" s="1"/>
  <c r="A40" i="1"/>
  <c r="A41" i="1" s="1"/>
  <c r="H30" i="8"/>
  <c r="G90" i="12"/>
  <c r="H41" i="8"/>
  <c r="A33" i="8"/>
  <c r="A34" i="8" s="1"/>
  <c r="K139" i="1" l="1"/>
  <c r="F90" i="12"/>
  <c r="F92" i="12" s="1"/>
  <c r="F94" i="12" s="1"/>
  <c r="F98" i="12" s="1"/>
  <c r="F101" i="12" s="1"/>
  <c r="J41" i="8"/>
  <c r="J34" i="8"/>
  <c r="J38" i="8"/>
  <c r="I41" i="1"/>
  <c r="A43" i="1"/>
  <c r="A44" i="1" s="1"/>
  <c r="A38" i="8"/>
  <c r="H55" i="8"/>
  <c r="H34" i="8"/>
  <c r="J55" i="8" l="1"/>
  <c r="J56" i="8"/>
  <c r="K142" i="1"/>
  <c r="D70" i="7"/>
  <c r="D71" i="7" s="1"/>
  <c r="D73" i="7" s="1"/>
  <c r="D79" i="7" s="1"/>
  <c r="D80" i="7" s="1"/>
  <c r="D86" i="7" s="1"/>
  <c r="K141" i="1"/>
  <c r="A45" i="1"/>
  <c r="H56" i="8"/>
  <c r="A41" i="8"/>
  <c r="A42" i="8" s="1"/>
  <c r="A43" i="8" s="1"/>
  <c r="A44" i="8" s="1"/>
  <c r="A45" i="8" s="1"/>
  <c r="A48" i="8" s="1"/>
  <c r="K144" i="1" l="1"/>
  <c r="J59" i="8"/>
  <c r="D88" i="7"/>
  <c r="D89" i="7"/>
  <c r="H90" i="44" s="1"/>
  <c r="H89" i="44"/>
  <c r="H91" i="44" s="1"/>
  <c r="H93" i="44" s="1"/>
  <c r="K158" i="1" s="1"/>
  <c r="A46" i="1"/>
  <c r="A47" i="1" s="1"/>
  <c r="A48" i="1" s="1"/>
  <c r="A49" i="8"/>
  <c r="A50" i="8" s="1"/>
  <c r="A51" i="8" s="1"/>
  <c r="A52" i="8" s="1"/>
  <c r="A53" i="8" s="1"/>
  <c r="A54" i="8" s="1"/>
  <c r="A55" i="8" s="1"/>
  <c r="A56" i="8" s="1"/>
  <c r="A57" i="8" s="1"/>
  <c r="A58" i="8" s="1"/>
  <c r="A59" i="8" s="1"/>
  <c r="D91" i="7" l="1"/>
  <c r="K150" i="1" s="1"/>
  <c r="C7" i="9" s="1"/>
  <c r="J64" i="8"/>
  <c r="K149" i="1"/>
  <c r="C6" i="9"/>
  <c r="A49" i="1"/>
  <c r="A50" i="1" s="1"/>
  <c r="A51" i="1" s="1"/>
  <c r="A52" i="1" s="1"/>
  <c r="I44" i="1"/>
  <c r="A61" i="8"/>
  <c r="A64" i="8" s="1"/>
  <c r="H64" i="8"/>
  <c r="H59" i="8"/>
  <c r="E68" i="8" l="1"/>
  <c r="I52" i="1"/>
  <c r="C20" i="17"/>
  <c r="A53" i="1"/>
  <c r="A54" i="1" s="1"/>
  <c r="A68" i="8"/>
  <c r="G68" i="8"/>
  <c r="E70" i="8" l="1"/>
  <c r="E72" i="8"/>
  <c r="I54" i="1"/>
  <c r="A55" i="1"/>
  <c r="A56" i="1" s="1"/>
  <c r="A69" i="8"/>
  <c r="A70" i="8" s="1"/>
  <c r="A71" i="8" s="1"/>
  <c r="A72" i="8" s="1"/>
  <c r="A73" i="8" s="1"/>
  <c r="H14" i="65" s="1"/>
  <c r="E73" i="8" l="1"/>
  <c r="E14" i="65"/>
  <c r="I56" i="1"/>
  <c r="A58" i="1"/>
  <c r="I58" i="1"/>
  <c r="G70" i="8"/>
  <c r="G73" i="8"/>
  <c r="G72" i="8"/>
  <c r="E30" i="65" l="1"/>
  <c r="H30" i="65" s="1"/>
  <c r="E36" i="65"/>
  <c r="H36" i="65" s="1"/>
  <c r="E31" i="65"/>
  <c r="H31" i="65" s="1"/>
  <c r="E33" i="65"/>
  <c r="H33" i="65" s="1"/>
  <c r="E34" i="65"/>
  <c r="H34" i="65" s="1"/>
  <c r="E29" i="65"/>
  <c r="H29" i="65" s="1"/>
  <c r="E35" i="65"/>
  <c r="H35" i="65" s="1"/>
  <c r="E25" i="65"/>
  <c r="H25" i="65" s="1"/>
  <c r="J25" i="65" s="1"/>
  <c r="K25" i="65" s="1"/>
  <c r="L25" i="65" s="1"/>
  <c r="J26" i="65" s="1"/>
  <c r="K26" i="65" s="1"/>
  <c r="L26" i="65" s="1"/>
  <c r="J27" i="65" s="1"/>
  <c r="K27" i="65" s="1"/>
  <c r="L27" i="65" s="1"/>
  <c r="J28" i="65" s="1"/>
  <c r="K28" i="65" s="1"/>
  <c r="E28" i="65"/>
  <c r="H28" i="65" s="1"/>
  <c r="E26" i="65"/>
  <c r="H26" i="65" s="1"/>
  <c r="E27" i="65"/>
  <c r="H27" i="65" s="1"/>
  <c r="E32" i="65"/>
  <c r="H32" i="65" s="1"/>
  <c r="I131" i="1"/>
  <c r="A63" i="1"/>
  <c r="A64" i="1" l="1"/>
  <c r="A65" i="1" s="1"/>
  <c r="L28" i="65"/>
  <c r="J29" i="65" l="1"/>
  <c r="K29" i="65" s="1"/>
  <c r="L29" i="65" s="1"/>
  <c r="I85" i="1"/>
  <c r="A68" i="1"/>
  <c r="J30" i="65" l="1"/>
  <c r="K30" i="65" s="1"/>
  <c r="L30" i="65" s="1"/>
  <c r="J31" i="65" s="1"/>
  <c r="A69" i="1"/>
  <c r="A70" i="1" s="1"/>
  <c r="A73" i="1" l="1"/>
  <c r="I86" i="1"/>
  <c r="K31" i="65"/>
  <c r="L31" i="65" s="1"/>
  <c r="J32" i="65" s="1"/>
  <c r="K32" i="65" s="1"/>
  <c r="L32" i="65" l="1"/>
  <c r="J33" i="65" s="1"/>
  <c r="K33" i="65" s="1"/>
  <c r="A75" i="1"/>
  <c r="I75" i="1"/>
  <c r="A80" i="1" l="1"/>
  <c r="I81" i="1"/>
  <c r="I82" i="1"/>
  <c r="L33" i="65"/>
  <c r="A81" i="1" l="1"/>
  <c r="I90" i="1"/>
  <c r="J34" i="65"/>
  <c r="K34" i="65" s="1"/>
  <c r="A82" i="1" l="1"/>
  <c r="I80" i="1" s="1"/>
  <c r="I91" i="1"/>
  <c r="I83" i="1"/>
  <c r="L34" i="65"/>
  <c r="I15" i="12" l="1"/>
  <c r="A85" i="1"/>
  <c r="A86" i="1" s="1"/>
  <c r="A87" i="1" s="1"/>
  <c r="I92" i="1" s="1"/>
  <c r="F97" i="8"/>
  <c r="G93" i="12"/>
  <c r="J35" i="65"/>
  <c r="K35" i="65" s="1"/>
  <c r="A90" i="1" l="1"/>
  <c r="G100" i="12"/>
  <c r="L35" i="65"/>
  <c r="A91" i="1" l="1"/>
  <c r="E21" i="7"/>
  <c r="F95" i="8"/>
  <c r="J36" i="65"/>
  <c r="K36" i="65" s="1"/>
  <c r="F96" i="8" l="1"/>
  <c r="A92" i="1"/>
  <c r="I95" i="1" s="1"/>
  <c r="L36" i="65"/>
  <c r="E40" i="65" s="1"/>
  <c r="E42" i="65" s="1"/>
  <c r="A93" i="1" l="1"/>
  <c r="I93" i="1"/>
  <c r="E43" i="65"/>
  <c r="E44" i="65" s="1"/>
  <c r="K151" i="1" s="1"/>
  <c r="F26" i="71" l="1"/>
  <c r="A95" i="1"/>
  <c r="I97" i="1"/>
  <c r="C8" i="9"/>
  <c r="C10" i="9" s="1"/>
  <c r="K154" i="1"/>
  <c r="F33" i="71" l="1"/>
  <c r="E22" i="7"/>
  <c r="A97" i="1"/>
  <c r="I118" i="1"/>
  <c r="K157" i="1"/>
  <c r="D4" i="53"/>
  <c r="I133" i="1" l="1"/>
  <c r="A102" i="1"/>
  <c r="K159" i="1"/>
  <c r="B4" i="31" s="1"/>
  <c r="D18" i="31" s="1"/>
  <c r="F18" i="31" s="1"/>
  <c r="D19" i="53"/>
  <c r="D23" i="53"/>
  <c r="D15" i="53"/>
  <c r="D20" i="53"/>
  <c r="D12" i="53"/>
  <c r="D18" i="53"/>
  <c r="D21" i="53"/>
  <c r="D13" i="53"/>
  <c r="D22" i="53"/>
  <c r="D17" i="53"/>
  <c r="D16" i="53"/>
  <c r="D25" i="53"/>
  <c r="D26" i="53"/>
  <c r="D24" i="53"/>
  <c r="A103" i="1" l="1"/>
  <c r="A104" i="1" s="1"/>
  <c r="I104" i="1"/>
  <c r="D20" i="31"/>
  <c r="E18" i="31"/>
  <c r="E20" i="31" s="1"/>
  <c r="K13" i="53"/>
  <c r="M14" i="53" s="1"/>
  <c r="C36" i="53"/>
  <c r="E36" i="53" s="1"/>
  <c r="I54" i="53" s="1"/>
  <c r="L21" i="53"/>
  <c r="L24" i="53"/>
  <c r="H36" i="53"/>
  <c r="J36" i="53" s="1"/>
  <c r="L18" i="53"/>
  <c r="K26" i="53"/>
  <c r="D59" i="53"/>
  <c r="L25" i="53"/>
  <c r="L20" i="53"/>
  <c r="H38" i="53"/>
  <c r="J38" i="53" s="1"/>
  <c r="L16" i="53"/>
  <c r="K15" i="53"/>
  <c r="D48" i="53"/>
  <c r="L17" i="53"/>
  <c r="L23" i="53"/>
  <c r="C38" i="53"/>
  <c r="E38" i="53" s="1"/>
  <c r="I56" i="53" s="1"/>
  <c r="E56" i="53" s="1"/>
  <c r="D28" i="53"/>
  <c r="K12" i="53"/>
  <c r="D46" i="53"/>
  <c r="F20" i="31"/>
  <c r="L22" i="53"/>
  <c r="C37" i="53"/>
  <c r="E37" i="53" s="1"/>
  <c r="I55" i="53" s="1"/>
  <c r="E55" i="53" s="1"/>
  <c r="H37" i="53"/>
  <c r="J37" i="53" s="1"/>
  <c r="L19" i="53"/>
  <c r="I119" i="1" l="1"/>
  <c r="F34" i="71"/>
  <c r="I16" i="12"/>
  <c r="A107" i="1"/>
  <c r="E23" i="7"/>
  <c r="G56" i="44"/>
  <c r="H43" i="8"/>
  <c r="H55" i="53"/>
  <c r="D55" i="53"/>
  <c r="C55" i="53" s="1"/>
  <c r="D52" i="53"/>
  <c r="D51" i="53"/>
  <c r="D54" i="53"/>
  <c r="H54" i="53"/>
  <c r="D56" i="53"/>
  <c r="C56" i="53" s="1"/>
  <c r="D53" i="53"/>
  <c r="H56" i="53"/>
  <c r="G46" i="53"/>
  <c r="C46" i="53"/>
  <c r="I50" i="53"/>
  <c r="E50" i="53" s="1"/>
  <c r="D50" i="53" s="1"/>
  <c r="I57" i="53"/>
  <c r="I49" i="53"/>
  <c r="E49" i="53" s="1"/>
  <c r="D49" i="53" s="1"/>
  <c r="I58" i="53"/>
  <c r="E58" i="53" s="1"/>
  <c r="D58" i="53" s="1"/>
  <c r="E54" i="53"/>
  <c r="C48" i="53"/>
  <c r="G48" i="53"/>
  <c r="C59" i="53"/>
  <c r="G59" i="53"/>
  <c r="N14" i="53"/>
  <c r="L14" i="53" s="1"/>
  <c r="I47" i="53" s="1"/>
  <c r="E47" i="53" s="1"/>
  <c r="A108" i="1" l="1"/>
  <c r="A109" i="1" s="1"/>
  <c r="A110" i="1" s="1"/>
  <c r="C54" i="53"/>
  <c r="D47" i="53"/>
  <c r="H47" i="53"/>
  <c r="H53" i="53"/>
  <c r="C53" i="53"/>
  <c r="M53" i="53"/>
  <c r="M49" i="53"/>
  <c r="M50" i="53" s="1"/>
  <c r="C49" i="53"/>
  <c r="H49" i="53"/>
  <c r="E57" i="53"/>
  <c r="D57" i="53" s="1"/>
  <c r="K57" i="53"/>
  <c r="H51" i="53"/>
  <c r="M51" i="53"/>
  <c r="C51" i="53"/>
  <c r="C52" i="53"/>
  <c r="M52" i="53"/>
  <c r="H52" i="53"/>
  <c r="C50" i="53"/>
  <c r="H50" i="53"/>
  <c r="H58" i="53"/>
  <c r="C58" i="53"/>
  <c r="I110" i="1" l="1"/>
  <c r="A112" i="1"/>
  <c r="H44" i="8"/>
  <c r="I120" i="1"/>
  <c r="C57" i="53"/>
  <c r="H57" i="53"/>
  <c r="J57" i="53" s="1"/>
  <c r="M47" i="53"/>
  <c r="G47" i="53"/>
  <c r="C47" i="53"/>
  <c r="D61" i="53"/>
  <c r="E61" i="53"/>
  <c r="B8" i="31" s="1"/>
  <c r="A114" i="1" l="1"/>
  <c r="I134" i="1"/>
  <c r="C61" i="53"/>
  <c r="E24" i="31"/>
  <c r="E27" i="31" s="1"/>
  <c r="F24" i="31"/>
  <c r="F27" i="31" s="1"/>
  <c r="E12" i="32" s="1"/>
  <c r="E14" i="32" s="1"/>
  <c r="D24" i="31"/>
  <c r="D27" i="31" s="1"/>
  <c r="I112" i="1" l="1"/>
  <c r="H45" i="8"/>
  <c r="A126" i="1"/>
  <c r="E26" i="32"/>
  <c r="E28" i="32" s="1"/>
  <c r="E20" i="32"/>
  <c r="E22" i="32" s="1"/>
  <c r="I139" i="1" l="1"/>
  <c r="A127" i="1"/>
  <c r="H48" i="8"/>
  <c r="H49" i="8" l="1"/>
  <c r="A128" i="1"/>
  <c r="I17" i="1"/>
  <c r="E72" i="7"/>
  <c r="A129" i="1" l="1"/>
  <c r="H50" i="8"/>
  <c r="H51" i="8" l="1"/>
  <c r="A130" i="1"/>
  <c r="H52" i="8" l="1"/>
  <c r="A131" i="1"/>
  <c r="H53" i="8" l="1"/>
  <c r="A132" i="1"/>
  <c r="H54" i="8" l="1"/>
  <c r="A133" i="1"/>
  <c r="A134" i="1" s="1"/>
  <c r="A135" i="1" s="1"/>
  <c r="H57" i="8" l="1"/>
  <c r="A136" i="1"/>
  <c r="H58" i="8" l="1"/>
  <c r="A137" i="1"/>
  <c r="A139" i="1" s="1"/>
  <c r="A141" i="1" l="1"/>
  <c r="A142" i="1" s="1"/>
  <c r="I142" i="1"/>
  <c r="I141" i="1"/>
  <c r="E70" i="7"/>
  <c r="I144" i="1"/>
  <c r="G89" i="44" l="1"/>
  <c r="A144" i="1"/>
  <c r="I149" i="1" l="1"/>
  <c r="A149" i="1"/>
  <c r="A150" i="1" l="1"/>
  <c r="A151" i="1" s="1"/>
  <c r="A152" i="1" s="1"/>
  <c r="A154" i="1" s="1"/>
  <c r="I154" i="1" l="1"/>
  <c r="A157" i="1"/>
  <c r="I157" i="1"/>
  <c r="A158" i="1" l="1"/>
  <c r="A159" i="1" s="1"/>
  <c r="G4" i="31" s="1"/>
  <c r="I159" i="1"/>
</calcChain>
</file>

<file path=xl/sharedStrings.xml><?xml version="1.0" encoding="utf-8"?>
<sst xmlns="http://schemas.openxmlformats.org/spreadsheetml/2006/main" count="6744" uniqueCount="2944">
  <si>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</si>
  <si>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</si>
  <si>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</si>
  <si>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</si>
  <si>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</si>
  <si>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</si>
  <si>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</si>
  <si>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</si>
  <si>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</si>
  <si>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</si>
  <si>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</si>
  <si>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</si>
  <si>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</si>
  <si>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</si>
  <si>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</si>
  <si>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</si>
  <si>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</si>
  <si>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</si>
  <si>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</si>
  <si>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</si>
  <si>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</si>
  <si>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</si>
  <si>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</si>
  <si>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</si>
  <si>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</si>
  <si>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</si>
  <si>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</si>
  <si>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</si>
  <si>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</si>
  <si>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</si>
  <si>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</si>
  <si>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</si>
  <si>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</si>
  <si>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</si>
  <si>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</si>
  <si>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Factor</t>
  </si>
  <si>
    <t>1) Federal Income Tax rate</t>
  </si>
  <si>
    <t>Federal</t>
  </si>
  <si>
    <t>2) Composite State Income Tax Rate</t>
  </si>
  <si>
    <t>Fed Ins Cont Amt -- Current</t>
  </si>
  <si>
    <t>FICA/OASDI Emp Incntv.</t>
  </si>
  <si>
    <t>FICA/HIT Emp Incntv.</t>
  </si>
  <si>
    <t>Preferred Stock Amount -- Account 204</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</si>
  <si>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</si>
  <si>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</si>
  <si>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</si>
  <si>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</si>
  <si>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</si>
  <si>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</si>
  <si>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</si>
  <si>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</si>
  <si>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</si>
  <si>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</si>
  <si>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</si>
  <si>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</si>
  <si>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</si>
  <si>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</si>
  <si>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</si>
  <si>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</si>
  <si>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</si>
  <si>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</si>
  <si>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</si>
  <si>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</si>
  <si>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</si>
  <si>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</si>
  <si>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</si>
  <si>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</si>
  <si>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</si>
  <si>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</si>
  <si>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</si>
  <si>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</si>
  <si>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</si>
  <si>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</si>
  <si>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</si>
  <si>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</si>
  <si>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</si>
  <si>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</si>
  <si>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</si>
  <si>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</si>
  <si>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</si>
  <si>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</si>
  <si>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</si>
  <si>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</si>
  <si>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</si>
  <si>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</si>
  <si>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</si>
  <si>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</si>
  <si>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</si>
  <si>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</si>
  <si>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</si>
  <si>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</si>
  <si>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</si>
  <si>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</si>
  <si>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</si>
  <si>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</si>
  <si>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</si>
  <si>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</si>
  <si>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</si>
  <si>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</si>
  <si>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</si>
  <si>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</si>
  <si>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</si>
  <si>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</si>
  <si>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</si>
  <si>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</si>
  <si>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</si>
  <si>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</si>
  <si>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</si>
  <si>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</si>
  <si>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</si>
  <si>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</si>
  <si>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</si>
  <si>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</si>
  <si>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</si>
  <si>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</si>
  <si>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</si>
  <si>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</si>
  <si>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</si>
  <si>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</si>
  <si>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</si>
  <si>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</si>
  <si>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</si>
  <si>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</si>
  <si>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</si>
  <si>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</si>
  <si>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</si>
  <si>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</si>
  <si>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</si>
  <si>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</si>
  <si>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</si>
  <si>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</si>
  <si>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</si>
  <si>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</si>
  <si>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</si>
  <si>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</si>
  <si>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</si>
  <si>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</si>
  <si>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</si>
  <si>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</si>
  <si>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</si>
  <si>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</si>
  <si>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</si>
  <si>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Calculation of Low Voltage Access Charge:</t>
  </si>
  <si>
    <t>per kWh</t>
  </si>
  <si>
    <t>Calculation of High Voltage Utility Specific Rate:</t>
  </si>
  <si>
    <t>(used by ISO in billing of ISO TAC)</t>
  </si>
  <si>
    <t>SCE HV TRR =</t>
  </si>
  <si>
    <t>Calculation of High Voltage Existing Contracts Access Charge:</t>
  </si>
  <si>
    <t>MW</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</si>
  <si>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</si>
  <si>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</si>
  <si>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</si>
  <si>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</si>
  <si>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</si>
  <si>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</si>
  <si>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</si>
  <si>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</si>
  <si>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</si>
  <si>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</si>
  <si>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1) Calculation of Materials and Supplies</t>
  </si>
  <si>
    <t>FF1 111.57d</t>
  </si>
  <si>
    <t>FF1 111.57c</t>
  </si>
  <si>
    <t>Prepayments:</t>
  </si>
  <si>
    <t>Accumulated Depreciation Reserve</t>
  </si>
  <si>
    <t>Accumulated Deferred Income Taxes</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</si>
  <si>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</si>
  <si>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</si>
  <si>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</si>
  <si>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</si>
  <si>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</si>
  <si>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</si>
  <si>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</si>
  <si>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</si>
  <si>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</si>
  <si>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</si>
  <si>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</si>
  <si>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</si>
  <si>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</si>
  <si>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</si>
  <si>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</si>
  <si>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</si>
  <si>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</si>
  <si>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</si>
  <si>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</si>
  <si>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</si>
  <si>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</si>
  <si>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</si>
  <si>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</si>
  <si>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</si>
  <si>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</si>
  <si>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</si>
  <si>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</si>
  <si>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</si>
  <si>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</si>
  <si>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</si>
  <si>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</si>
  <si>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</si>
  <si>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</si>
  <si>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</si>
  <si>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</si>
  <si>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</si>
  <si>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</si>
  <si>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</si>
  <si>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</si>
  <si>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</si>
  <si>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</si>
  <si>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</si>
  <si>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</si>
  <si>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</si>
  <si>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</si>
  <si>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</si>
  <si>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</si>
  <si>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</si>
  <si>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</si>
  <si>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</si>
  <si>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</si>
  <si>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</si>
  <si>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</si>
  <si>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</si>
  <si>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</si>
  <si>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</si>
  <si>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Yes</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</si>
  <si>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</si>
  <si>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</si>
  <si>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</si>
  <si>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</si>
  <si>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</si>
  <si>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</si>
  <si>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</si>
  <si>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</si>
  <si>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</si>
  <si>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</si>
  <si>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</si>
  <si>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</si>
  <si>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</si>
  <si>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</si>
  <si>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</si>
  <si>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</si>
  <si>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</si>
  <si>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</si>
  <si>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</si>
  <si>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</si>
  <si>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</si>
  <si>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</si>
  <si>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</si>
  <si>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</si>
  <si>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</si>
  <si>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</si>
  <si>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</si>
  <si>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</si>
  <si>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</si>
  <si>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</si>
  <si>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</si>
  <si>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</si>
  <si>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</si>
  <si>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</si>
  <si>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</si>
  <si>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</si>
  <si>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</si>
  <si>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</si>
  <si>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</si>
  <si>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</si>
  <si>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</si>
  <si>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</si>
  <si>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</si>
  <si>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</si>
  <si>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</si>
  <si>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</si>
  <si>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</si>
  <si>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Common Stock Equity Amount</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</si>
  <si>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</si>
  <si>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</si>
  <si>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</si>
  <si>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</si>
  <si>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</si>
  <si>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</si>
  <si>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</si>
  <si>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</si>
  <si>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</si>
  <si>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</si>
  <si>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</si>
  <si>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See Note 3</t>
  </si>
  <si>
    <t>MWh</t>
  </si>
  <si>
    <t>FF1 354.28b</t>
  </si>
  <si>
    <t>FF1 354.27b</t>
  </si>
  <si>
    <t>Uncollectibles Expense</t>
  </si>
  <si>
    <t>Franchise Fees Expense</t>
  </si>
  <si>
    <t>Difference</t>
  </si>
  <si>
    <t>(1/(1-CTR))</t>
  </si>
  <si>
    <t>Composite Tax Rate ("CTR")</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</si>
  <si>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</si>
  <si>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</si>
  <si>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</si>
  <si>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</si>
  <si>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</si>
  <si>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</si>
  <si>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</si>
  <si>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</si>
  <si>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</si>
  <si>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</si>
  <si>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</si>
  <si>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</si>
  <si>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</si>
  <si>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</si>
  <si>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</si>
  <si>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</si>
  <si>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</si>
  <si>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</si>
  <si>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</si>
  <si>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</si>
  <si>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</si>
  <si>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</si>
  <si>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</si>
  <si>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</si>
  <si>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</si>
  <si>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</si>
  <si>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</si>
  <si>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</si>
  <si>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</si>
  <si>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</si>
  <si>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</si>
  <si>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</si>
  <si>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</si>
  <si>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</si>
  <si>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</si>
  <si>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</si>
  <si>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</si>
  <si>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</si>
  <si>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</si>
  <si>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</si>
  <si>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</si>
  <si>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</si>
  <si>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Transmission Plant - ISO</t>
  </si>
  <si>
    <t>Distribution Plant - ISO</t>
  </si>
  <si>
    <t>SCE Retail Sales at ISO Grid level:</t>
  </si>
  <si>
    <t>Pump Load forecast:</t>
  </si>
  <si>
    <t>1) Tehachapi</t>
  </si>
  <si>
    <t>2) Devers-Colorado River</t>
  </si>
  <si>
    <t>1) Forecast Plant Additions * AFCR</t>
  </si>
  <si>
    <t>2) Forecast Period Incremental CWIP * AFCR for CWIP</t>
  </si>
  <si>
    <t>Devers to</t>
  </si>
  <si>
    <t>Colorado River</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</si>
  <si>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</si>
  <si>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</si>
  <si>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</si>
  <si>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</si>
  <si>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</si>
  <si>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</si>
  <si>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</si>
  <si>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</si>
  <si>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</si>
  <si>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</si>
  <si>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</si>
  <si>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</si>
  <si>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</si>
  <si>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</si>
  <si>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</si>
  <si>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</si>
  <si>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</si>
  <si>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</si>
  <si>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</si>
  <si>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</si>
  <si>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</si>
  <si>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</si>
  <si>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</si>
  <si>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</si>
  <si>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</si>
  <si>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</si>
  <si>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</si>
  <si>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</si>
  <si>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</si>
  <si>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</si>
  <si>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</si>
  <si>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</si>
  <si>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</si>
  <si>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</si>
  <si>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</si>
  <si>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</si>
  <si>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</si>
  <si>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</si>
  <si>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</si>
  <si>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</si>
  <si>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</si>
  <si>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</si>
  <si>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</si>
  <si>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</si>
  <si>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</si>
  <si>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</si>
  <si>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</si>
  <si>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</si>
  <si>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</si>
  <si>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</si>
  <si>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</si>
  <si>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</si>
  <si>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</si>
  <si>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</si>
  <si>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</si>
  <si>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</si>
  <si>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</si>
  <si>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</si>
  <si>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</si>
  <si>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</si>
  <si>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Prior</t>
  </si>
  <si>
    <t>Income Tax</t>
  </si>
  <si>
    <t>Rate ("CSITR")</t>
  </si>
  <si>
    <t>Rate ("FITR")</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</si>
  <si>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</si>
  <si>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</si>
  <si>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</si>
  <si>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</si>
  <si>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</si>
  <si>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</si>
  <si>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</si>
  <si>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</si>
  <si>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</si>
  <si>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</si>
  <si>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</si>
  <si>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</si>
  <si>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</si>
  <si>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</si>
  <si>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</si>
  <si>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</si>
  <si>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</si>
  <si>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</si>
  <si>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</si>
  <si>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</si>
  <si>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</si>
  <si>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</si>
  <si>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</si>
  <si>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</si>
  <si>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</si>
  <si>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</si>
  <si>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</si>
  <si>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</si>
  <si>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</si>
  <si>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</si>
  <si>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</si>
  <si>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</si>
  <si>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</si>
  <si>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</si>
  <si>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</si>
  <si>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</si>
  <si>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</si>
  <si>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</si>
  <si>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</si>
  <si>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</si>
  <si>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</si>
  <si>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</si>
  <si>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</si>
  <si>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</si>
  <si>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</si>
  <si>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</si>
  <si>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</si>
  <si>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</si>
  <si>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</si>
  <si>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</si>
  <si>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</si>
  <si>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</si>
  <si>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</si>
  <si>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</si>
  <si>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</si>
  <si>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</si>
  <si>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</si>
  <si>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</si>
  <si>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</si>
  <si>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</si>
  <si>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</si>
  <si>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</si>
  <si>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</si>
  <si>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</si>
  <si>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</si>
  <si>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</si>
  <si>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</si>
  <si>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</si>
  <si>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</si>
  <si>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A) Total ISO Plant from Prior Year</t>
  </si>
  <si>
    <t>FERC Form 1</t>
  </si>
  <si>
    <t>Total Amount Excluded</t>
  </si>
  <si>
    <t>Shareholder</t>
  </si>
  <si>
    <t>Franchise</t>
  </si>
  <si>
    <t>Requirements</t>
  </si>
  <si>
    <t>PBOPs</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</si>
  <si>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</si>
  <si>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</si>
  <si>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</si>
  <si>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</si>
  <si>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</si>
  <si>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</si>
  <si>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</si>
  <si>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</si>
  <si>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</si>
  <si>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</si>
  <si>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</si>
  <si>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</si>
  <si>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</si>
  <si>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</si>
  <si>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3) FF and U Factors</t>
  </si>
  <si>
    <t>1) Approved Franchise Fee Factor(s)</t>
  </si>
  <si>
    <t>Sum of Column 2 below</t>
  </si>
  <si>
    <t>a) Fill in Description for issue in above table.</t>
  </si>
  <si>
    <t>b) Enter costs in columns 1-3 in above table for the applicable Prior Year.</t>
  </si>
  <si>
    <t>Actual</t>
  </si>
  <si>
    <t>First Project:</t>
  </si>
  <si>
    <t>Fill in Name</t>
  </si>
  <si>
    <t>…</t>
  </si>
  <si>
    <t>2nd Project:</t>
  </si>
  <si>
    <t>(BOY value is EOY value from previous year)</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</si>
  <si>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</si>
  <si>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</si>
  <si>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</si>
  <si>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</si>
  <si>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</si>
  <si>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</si>
  <si>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</si>
  <si>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</si>
  <si>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</si>
  <si>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</si>
  <si>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</si>
  <si>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</si>
  <si>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</si>
  <si>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</si>
  <si>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</si>
  <si>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</si>
  <si>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</si>
  <si>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</si>
  <si>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</si>
  <si>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</si>
  <si>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</si>
  <si>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</si>
  <si>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</si>
  <si>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</si>
  <si>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</si>
  <si>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</si>
  <si>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</si>
  <si>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</si>
  <si>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</si>
  <si>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</si>
  <si>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</si>
  <si>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</si>
  <si>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</si>
  <si>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</si>
  <si>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</si>
  <si>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</si>
  <si>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</si>
  <si>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</si>
  <si>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</si>
  <si>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</si>
  <si>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</si>
  <si>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</si>
  <si>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</si>
  <si>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</si>
  <si>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</si>
  <si>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</si>
  <si>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</si>
  <si>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</si>
  <si>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</si>
  <si>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</si>
  <si>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</si>
  <si>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</si>
  <si>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</si>
  <si>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</si>
  <si>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</si>
  <si>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</si>
  <si>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</si>
  <si>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</si>
  <si>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</si>
  <si>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</si>
  <si>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</si>
  <si>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</si>
  <si>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</si>
  <si>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</si>
  <si>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</si>
  <si>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</si>
  <si>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</si>
  <si>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</si>
  <si>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</si>
  <si>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</si>
  <si>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</si>
  <si>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</si>
  <si>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</si>
  <si>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</si>
  <si>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</si>
  <si>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</si>
  <si>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</si>
  <si>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</si>
  <si>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</si>
  <si>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</si>
  <si>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</si>
  <si>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</si>
  <si>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</si>
  <si>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</si>
  <si>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</si>
  <si>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</si>
  <si>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</si>
  <si>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</si>
  <si>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</si>
  <si>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</si>
  <si>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</si>
  <si>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</si>
  <si>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</si>
  <si>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</si>
  <si>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</si>
  <si>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</si>
  <si>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</si>
  <si>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</si>
  <si>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</si>
  <si>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</si>
  <si>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</si>
  <si>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</si>
  <si>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</si>
  <si>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</si>
  <si>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</si>
  <si>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</si>
  <si>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</si>
  <si>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</si>
  <si>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</si>
  <si>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</si>
  <si>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</si>
  <si>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</si>
  <si>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</si>
  <si>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</si>
  <si>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</si>
  <si>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</si>
  <si>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</si>
  <si>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</si>
  <si>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</si>
  <si>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10h</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</si>
  <si>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</si>
  <si>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</si>
  <si>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</si>
  <si>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</si>
  <si>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</si>
  <si>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</si>
  <si>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</si>
  <si>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</si>
  <si>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</si>
  <si>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</si>
  <si>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</si>
  <si>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</si>
  <si>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</si>
  <si>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</si>
  <si>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</si>
  <si>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</si>
  <si>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</si>
  <si>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</si>
  <si>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</si>
  <si>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</si>
  <si>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</si>
  <si>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</si>
  <si>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</si>
  <si>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Rent Billed to Non-Utility Affiliates</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</si>
  <si>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</si>
  <si>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</si>
  <si>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</si>
  <si>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</si>
  <si>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</si>
  <si>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</si>
  <si>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</si>
  <si>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</si>
  <si>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</si>
  <si>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</si>
  <si>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</si>
  <si>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</si>
  <si>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</si>
  <si>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</si>
  <si>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</si>
  <si>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</si>
  <si>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</si>
  <si>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</si>
  <si>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</si>
  <si>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</si>
  <si>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</si>
  <si>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</si>
  <si>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</si>
  <si>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</si>
  <si>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</si>
  <si>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</si>
  <si>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</si>
  <si>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</si>
  <si>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</si>
  <si>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</si>
  <si>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</si>
  <si>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</si>
  <si>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</si>
  <si>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</si>
  <si>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</si>
  <si>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</si>
  <si>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</si>
  <si>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</si>
  <si>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</si>
  <si>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</si>
  <si>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</si>
  <si>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</si>
  <si>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</si>
  <si>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</si>
  <si>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</si>
  <si>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</si>
  <si>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</si>
  <si>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</si>
  <si>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</si>
  <si>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</si>
  <si>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</si>
  <si>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</si>
  <si>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</si>
  <si>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</si>
  <si>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</si>
  <si>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</si>
  <si>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</si>
  <si>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</si>
  <si>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</si>
  <si>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</si>
  <si>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</si>
  <si>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</si>
  <si>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</si>
  <si>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</si>
  <si>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</si>
  <si>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</si>
  <si>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</si>
  <si>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</si>
  <si>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</si>
  <si>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</si>
  <si>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</si>
  <si>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</si>
  <si>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</si>
  <si>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</si>
  <si>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</si>
  <si>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</si>
  <si>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</si>
  <si>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</si>
  <si>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</si>
  <si>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</si>
  <si>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12u</t>
  </si>
  <si>
    <t>4186524</t>
  </si>
  <si>
    <t>Revenue From Scrap Paper - General Office</t>
  </si>
  <si>
    <t>12v</t>
  </si>
  <si>
    <t>4186528</t>
  </si>
  <si>
    <t>CTAC Revenues</t>
  </si>
  <si>
    <t>12w</t>
  </si>
  <si>
    <t>4186530</t>
  </si>
  <si>
    <t>AGTAC Revenues</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</si>
  <si>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</si>
  <si>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</si>
  <si>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</si>
  <si>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</si>
  <si>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</si>
  <si>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</si>
  <si>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</si>
  <si>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</si>
  <si>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</si>
  <si>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</si>
  <si>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</si>
  <si>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</si>
  <si>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</si>
  <si>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</si>
  <si>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</si>
  <si>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</si>
  <si>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</si>
  <si>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</si>
  <si>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</si>
  <si>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</si>
  <si>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</si>
  <si>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</si>
  <si>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</si>
  <si>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</si>
  <si>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</si>
  <si>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</si>
  <si>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</si>
  <si>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</si>
  <si>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</si>
  <si>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</si>
  <si>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</si>
  <si>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</si>
  <si>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</si>
  <si>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</si>
  <si>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</si>
  <si>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</si>
  <si>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</si>
  <si>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</si>
  <si>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</si>
  <si>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</si>
  <si>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</si>
  <si>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</si>
  <si>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12pp</t>
  </si>
  <si>
    <t>4196105</t>
  </si>
  <si>
    <t>DA Revenue</t>
  </si>
  <si>
    <t>12qq</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</si>
  <si>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</si>
  <si>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</si>
  <si>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</si>
  <si>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</si>
  <si>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</si>
  <si>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</si>
  <si>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</si>
  <si>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</si>
  <si>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</si>
  <si>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</si>
  <si>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</si>
  <si>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</si>
  <si>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</si>
  <si>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</si>
  <si>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</si>
  <si>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</si>
  <si>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</si>
  <si>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</si>
  <si>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</si>
  <si>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</si>
  <si>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</si>
  <si>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</si>
  <si>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</si>
  <si>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</si>
  <si>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</si>
  <si>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</si>
  <si>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</si>
  <si>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</si>
  <si>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</si>
  <si>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</si>
  <si>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</si>
  <si>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</si>
  <si>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</si>
  <si>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</si>
  <si>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</si>
  <si>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</si>
  <si>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</si>
  <si>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</si>
  <si>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</si>
  <si>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</si>
  <si>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</si>
  <si>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</si>
  <si>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</si>
  <si>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</si>
  <si>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</si>
  <si>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</si>
  <si>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</si>
  <si>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</si>
  <si>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</si>
  <si>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</si>
  <si>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</si>
  <si>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</si>
  <si>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</si>
  <si>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</si>
  <si>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</si>
  <si>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</si>
  <si>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</si>
  <si>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</si>
  <si>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</si>
  <si>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</si>
  <si>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</si>
  <si>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</si>
  <si>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</si>
  <si>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</si>
  <si>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</si>
  <si>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</si>
  <si>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</si>
  <si>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</si>
  <si>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</si>
  <si>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</si>
  <si>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</si>
  <si>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</si>
  <si>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</si>
  <si>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</si>
  <si>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</si>
  <si>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15r</t>
  </si>
  <si>
    <t>4198130</t>
  </si>
  <si>
    <t>Inland Empire CRT Tie-Line EX</t>
  </si>
  <si>
    <t>15s</t>
  </si>
  <si>
    <t>4198910</t>
  </si>
  <si>
    <t>Reliability Service Revenue - Non-PTO's</t>
  </si>
  <si>
    <t>456.1 Total</t>
  </si>
  <si>
    <t>457.1 Total</t>
  </si>
  <si>
    <t>457.2 Total</t>
  </si>
  <si>
    <t>Edison Carrier Solutions (ECS)</t>
  </si>
  <si>
    <t>24a</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</si>
  <si>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</si>
  <si>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</si>
  <si>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</si>
  <si>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</si>
  <si>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</si>
  <si>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</si>
  <si>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</si>
  <si>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</si>
  <si>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</si>
  <si>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</si>
  <si>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</si>
  <si>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</si>
  <si>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</si>
  <si>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</si>
  <si>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</si>
  <si>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</si>
  <si>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</si>
  <si>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</si>
  <si>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</si>
  <si>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</si>
  <si>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</si>
  <si>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</si>
  <si>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</si>
  <si>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</si>
  <si>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</si>
  <si>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</si>
  <si>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</si>
  <si>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</si>
  <si>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</si>
  <si>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</si>
  <si>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</si>
  <si>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</si>
  <si>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</si>
  <si>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</si>
  <si>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</si>
  <si>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</si>
  <si>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</si>
  <si>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</si>
  <si>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</si>
  <si>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</si>
  <si>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</si>
  <si>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</si>
  <si>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</si>
  <si>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</si>
  <si>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</si>
  <si>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</si>
  <si>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</si>
  <si>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</si>
  <si>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</si>
  <si>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</si>
  <si>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</si>
  <si>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</si>
  <si>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</si>
  <si>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</si>
  <si>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</si>
  <si>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</si>
  <si>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</si>
  <si>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</si>
  <si>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</si>
  <si>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</si>
  <si>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</si>
  <si>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</si>
  <si>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</si>
  <si>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</si>
  <si>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</si>
  <si>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</si>
  <si>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</si>
  <si>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</si>
  <si>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</si>
  <si>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</si>
  <si>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</si>
  <si>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</si>
  <si>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</si>
  <si>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</si>
  <si>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</si>
  <si>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</si>
  <si>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</si>
  <si>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</si>
  <si>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</si>
  <si>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</si>
  <si>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</si>
  <si>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</si>
  <si>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</si>
  <si>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TRR</t>
  </si>
  <si>
    <t>with Interest</t>
  </si>
  <si>
    <t>Balance</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</si>
  <si>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</si>
  <si>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</si>
  <si>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</si>
  <si>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</si>
  <si>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</si>
  <si>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</si>
  <si>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</si>
  <si>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</si>
  <si>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</si>
  <si>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</si>
  <si>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</si>
  <si>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</si>
  <si>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</si>
  <si>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</si>
  <si>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</si>
  <si>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</si>
  <si>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</si>
  <si>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</si>
  <si>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</si>
  <si>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</si>
  <si>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</si>
  <si>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</si>
  <si>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</si>
  <si>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</si>
  <si>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</si>
  <si>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</si>
  <si>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</si>
  <si>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</si>
  <si>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</si>
  <si>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</si>
  <si>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</si>
  <si>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</si>
  <si>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</si>
  <si>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</si>
  <si>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</si>
  <si>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</si>
  <si>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</si>
  <si>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</si>
  <si>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5) Red Bluff</t>
  </si>
  <si>
    <t>6) Whirlwind Substation Exp.</t>
  </si>
  <si>
    <t>7) Colorado River Sub. Exp.</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</si>
  <si>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</si>
  <si>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</si>
  <si>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</si>
  <si>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</si>
  <si>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</si>
  <si>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</si>
  <si>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</si>
  <si>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</si>
  <si>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</si>
  <si>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</si>
  <si>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</si>
  <si>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</si>
  <si>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</si>
  <si>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</si>
  <si>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</si>
  <si>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</si>
  <si>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</si>
  <si>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</si>
  <si>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</si>
  <si>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</si>
  <si>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</si>
  <si>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</si>
  <si>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</si>
  <si>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</si>
  <si>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</si>
  <si>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</si>
  <si>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</si>
  <si>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</si>
  <si>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</si>
  <si>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</si>
  <si>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</si>
  <si>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</si>
  <si>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</si>
  <si>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</si>
  <si>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</si>
  <si>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</si>
  <si>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</si>
  <si>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</si>
  <si>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</si>
  <si>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</si>
  <si>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</si>
  <si>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</si>
  <si>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</si>
  <si>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</si>
  <si>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</si>
  <si>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</si>
  <si>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</si>
  <si>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</si>
  <si>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</si>
  <si>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</si>
  <si>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</si>
  <si>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</si>
  <si>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wo Interest for</t>
  </si>
  <si>
    <t>for Current</t>
  </si>
  <si>
    <t>Current Month</t>
  </si>
  <si>
    <t>See Note 9</t>
  </si>
  <si>
    <t>See Note 10</t>
  </si>
  <si>
    <t>Shortfall or Excess Revenue in Prior Year:</t>
  </si>
  <si>
    <t>TRR AAF</t>
  </si>
  <si>
    <t>Actual Retail Base Transmission Revenues for any months not included in True Up Period.</t>
  </si>
  <si>
    <t>3) "Actual Retail Base Transmission Revenues" are SCE retail transmission revenues attributable to this formula transmission rate.</t>
  </si>
  <si>
    <t>7) Interest for Current Month is calculated on average of beginning and ending balances (Column 9 previous month and Column 7 current month).</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</si>
  <si>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</si>
  <si>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</si>
  <si>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</si>
  <si>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</si>
  <si>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</si>
  <si>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</si>
  <si>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</si>
  <si>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</si>
  <si>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FF1 113.56c</t>
  </si>
  <si>
    <t>Average Outstanding Network Upgrade Credits Beginning and End of Year</t>
  </si>
  <si>
    <t>Interest On Network Upgrade Credits Recorded in FERC Acct 242</t>
  </si>
  <si>
    <t>Acct 242 Other</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</si>
  <si>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</si>
  <si>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</si>
  <si>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</si>
  <si>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</si>
  <si>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</si>
  <si>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</si>
  <si>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</si>
  <si>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</si>
  <si>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</si>
  <si>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</si>
  <si>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</si>
  <si>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</si>
  <si>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</si>
  <si>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</si>
  <si>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</si>
  <si>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</si>
  <si>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</si>
  <si>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</si>
  <si>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</si>
  <si>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</si>
  <si>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</si>
  <si>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</si>
  <si>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</si>
  <si>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</si>
  <si>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</si>
  <si>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</si>
  <si>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</si>
  <si>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</si>
  <si>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Commission decision.</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</si>
  <si>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</si>
  <si>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</si>
  <si>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</si>
  <si>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</si>
  <si>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</si>
  <si>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</si>
  <si>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</si>
  <si>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</si>
  <si>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</si>
  <si>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</si>
  <si>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</si>
  <si>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</si>
  <si>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</si>
  <si>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</si>
  <si>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</si>
  <si>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</si>
  <si>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</si>
  <si>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</si>
  <si>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</si>
  <si>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</si>
  <si>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</si>
  <si>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</si>
  <si>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</si>
  <si>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</si>
  <si>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</si>
  <si>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</si>
  <si>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</si>
  <si>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</si>
  <si>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</si>
  <si>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</si>
  <si>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</si>
  <si>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</si>
  <si>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</si>
  <si>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</si>
  <si>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</si>
  <si>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</si>
  <si>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</si>
  <si>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</si>
  <si>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</si>
  <si>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</si>
  <si>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</si>
  <si>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</si>
  <si>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</si>
  <si>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</si>
  <si>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</si>
  <si>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</si>
  <si>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</si>
  <si>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</si>
  <si>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</si>
  <si>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</si>
  <si>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</si>
  <si>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</si>
  <si>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</si>
  <si>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</si>
  <si>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</si>
  <si>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</si>
  <si>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</si>
  <si>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</si>
  <si>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</si>
  <si>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</si>
  <si>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</si>
  <si>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</si>
  <si>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</si>
  <si>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</si>
  <si>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</si>
  <si>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</si>
  <si>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</si>
  <si>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</si>
  <si>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</si>
  <si>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Note 11</t>
  </si>
  <si>
    <t>Energy Charge - $/kWh</t>
  </si>
  <si>
    <t>Rate Schedules in each CPUC Rate Group:</t>
  </si>
  <si>
    <t>Rate Schedules included in Each Rate Group in the Rate Effective Period</t>
  </si>
  <si>
    <t>Recorded 12-CP Load Data by Rate Group (MW)</t>
  </si>
  <si>
    <t>Line losses</t>
  </si>
  <si>
    <t>28e</t>
  </si>
  <si>
    <t>Calculation of Plant Held for Future Use</t>
  </si>
  <si>
    <t>Plant In Service</t>
  </si>
  <si>
    <t>13-Mo. Avg:</t>
  </si>
  <si>
    <t>Sum C2 - C4</t>
  </si>
  <si>
    <t>Average:</t>
  </si>
  <si>
    <t>G&amp;I Plant</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</si>
  <si>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</si>
  <si>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</si>
  <si>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</si>
  <si>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</si>
  <si>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</si>
  <si>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</si>
  <si>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</si>
  <si>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</si>
  <si>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</si>
  <si>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</si>
  <si>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</si>
  <si>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</si>
  <si>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</si>
  <si>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</si>
  <si>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</si>
  <si>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</si>
  <si>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</si>
  <si>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</si>
  <si>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</si>
  <si>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</si>
  <si>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</si>
  <si>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</si>
  <si>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</si>
  <si>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</si>
  <si>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Reason</t>
  </si>
  <si>
    <t>FF1 277.19k</t>
  </si>
  <si>
    <t>Account 282</t>
  </si>
  <si>
    <t>Account 283</t>
  </si>
  <si>
    <t>Account 190</t>
  </si>
  <si>
    <t>FF1 234.18c</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</si>
  <si>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</si>
  <si>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</si>
  <si>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</si>
  <si>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</si>
  <si>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</si>
  <si>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</si>
  <si>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</si>
  <si>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</si>
  <si>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</si>
  <si>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</si>
  <si>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</si>
  <si>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</si>
  <si>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</si>
  <si>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</si>
  <si>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</si>
  <si>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</si>
  <si>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</si>
  <si>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</si>
  <si>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</si>
  <si>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</si>
  <si>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</si>
  <si>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</si>
  <si>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</si>
  <si>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</si>
  <si>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</si>
  <si>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</si>
  <si>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</si>
  <si>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</si>
  <si>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</si>
  <si>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</si>
  <si>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</si>
  <si>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</si>
  <si>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Red Bluff:</t>
  </si>
  <si>
    <t>Whirlwind Sub Expansion:</t>
  </si>
  <si>
    <t>Colorado River Sub Expansion:</t>
  </si>
  <si>
    <t>South of Kramer:</t>
  </si>
  <si>
    <t>West of Devers:</t>
  </si>
  <si>
    <t>PY Total Return, Taxes, Incentive:</t>
  </si>
  <si>
    <t>Total without FF&amp;U:</t>
  </si>
  <si>
    <t>Total Contribution of CWIP to Retail Base TRR:</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</si>
  <si>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</si>
  <si>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</si>
  <si>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</si>
  <si>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</si>
  <si>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</si>
  <si>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</si>
  <si>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</si>
  <si>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</si>
  <si>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</si>
  <si>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</si>
  <si>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</si>
  <si>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</si>
  <si>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</si>
  <si>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</si>
  <si>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Sylmar/Palo Verde</t>
  </si>
  <si>
    <t>561.400 Scheduling, System Control and Dispatch Services</t>
  </si>
  <si>
    <t>562 - MOGS Station Expense</t>
  </si>
  <si>
    <t>562 - Sylmar/Palo Verde</t>
  </si>
  <si>
    <t>564 - Underground Line Expense</t>
  </si>
  <si>
    <t>565 - Wheeling Costs</t>
  </si>
  <si>
    <t>565 - WAPA Transmission for Remote Service</t>
  </si>
  <si>
    <t>566 - ISO/RSBA/TSP Balancing Accounts</t>
  </si>
  <si>
    <t>566 - Sylmar/Palo Verde/Other General Functions</t>
  </si>
  <si>
    <t>567 - Eldorado</t>
  </si>
  <si>
    <t>567 - Sylmar/Palo Verde</t>
  </si>
  <si>
    <t>568 - Sylmar/Palo Verde</t>
  </si>
  <si>
    <t>569 - Sylmar/Palo Verde</t>
  </si>
  <si>
    <t>570 - Sylmar/Palo Verde</t>
  </si>
  <si>
    <t>571 - Sylmar/Palo Verde</t>
  </si>
  <si>
    <t>572 - Maintenance of Underground Transmission Lines</t>
  </si>
  <si>
    <t>572 - Sylmar/Palo Verde</t>
  </si>
  <si>
    <t>Total Transmission O&amp;M</t>
  </si>
  <si>
    <t>Distribution Accounts</t>
  </si>
  <si>
    <t>590 - Maintenance Supervision and Engineering</t>
  </si>
  <si>
    <t>591 - Maintenance of Structures</t>
  </si>
  <si>
    <t>Accounts with no ISO Distribution Costs</t>
  </si>
  <si>
    <t>Total Distribution O&amp;M</t>
  </si>
  <si>
    <t>Total Transmission and Distribution O&amp;M</t>
  </si>
  <si>
    <t>Total Transmission O&amp;M Expenses in FERC Form 1:</t>
  </si>
  <si>
    <t>FF1 321.112b</t>
  </si>
  <si>
    <t>Total Distribution O&amp;M Expenses in FERC Form 1:</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</si>
  <si>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</si>
  <si>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</si>
  <si>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</si>
  <si>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</si>
  <si>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</si>
  <si>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</si>
  <si>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</si>
  <si>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</si>
  <si>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</si>
  <si>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</si>
  <si>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</si>
  <si>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</si>
  <si>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</si>
  <si>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</si>
  <si>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</si>
  <si>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</si>
  <si>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</si>
  <si>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</si>
  <si>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</si>
  <si>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</si>
  <si>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</si>
  <si>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</si>
  <si>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</si>
  <si>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</si>
  <si>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</si>
  <si>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</si>
  <si>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</si>
  <si>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</si>
  <si>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</si>
  <si>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</si>
  <si>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</si>
  <si>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</si>
  <si>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</si>
  <si>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</si>
  <si>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</si>
  <si>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</si>
  <si>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</si>
  <si>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</si>
  <si>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</si>
  <si>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</si>
  <si>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</si>
  <si>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</si>
  <si>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</si>
  <si>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</si>
  <si>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</si>
  <si>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</si>
  <si>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</si>
  <si>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</si>
  <si>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</si>
  <si>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</si>
  <si>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</si>
  <si>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</si>
  <si>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</si>
  <si>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</si>
  <si>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</si>
  <si>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</si>
  <si>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</si>
  <si>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</si>
  <si>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</si>
  <si>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</si>
  <si>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</si>
  <si>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</si>
  <si>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</si>
  <si>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</si>
  <si>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</si>
  <si>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</si>
  <si>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</si>
  <si>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</si>
  <si>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</si>
  <si>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</si>
  <si>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Trans. And Dist. Business Unit</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</si>
  <si>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</si>
  <si>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</si>
  <si>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</si>
  <si>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</si>
  <si>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</si>
  <si>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</si>
  <si>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</si>
  <si>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</si>
  <si>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</si>
  <si>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</si>
  <si>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</si>
  <si>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</si>
  <si>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High Voltage Utility-Specific Rate =</t>
  </si>
  <si>
    <t>HV Wholesale TRR =</t>
  </si>
  <si>
    <t>Sum of Monthly Peak Demands:</t>
  </si>
  <si>
    <t>HV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</si>
  <si>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</si>
  <si>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</si>
  <si>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</si>
  <si>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</si>
  <si>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</si>
  <si>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</si>
  <si>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</si>
  <si>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</si>
  <si>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</si>
  <si>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</si>
  <si>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</si>
  <si>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</si>
  <si>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</si>
  <si>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</si>
  <si>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</si>
  <si>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</si>
  <si>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</si>
  <si>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</si>
  <si>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</si>
  <si>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</si>
  <si>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</si>
  <si>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</si>
  <si>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</si>
  <si>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</si>
  <si>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</si>
  <si>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</si>
  <si>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</si>
  <si>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</si>
  <si>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</si>
  <si>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</si>
  <si>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</si>
  <si>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</si>
  <si>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</si>
  <si>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</si>
  <si>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</si>
  <si>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</si>
  <si>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</si>
  <si>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</si>
  <si>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</si>
  <si>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</si>
  <si>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</si>
  <si>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</si>
  <si>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</si>
  <si>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</si>
  <si>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</si>
  <si>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</si>
  <si>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</si>
  <si>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</si>
  <si>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</si>
  <si>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</si>
  <si>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</si>
  <si>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</si>
  <si>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</si>
  <si>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</si>
  <si>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</si>
  <si>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</si>
  <si>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</si>
  <si>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</si>
  <si>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</si>
  <si>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</si>
  <si>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</si>
  <si>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</si>
  <si>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</si>
  <si>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</si>
  <si>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</si>
  <si>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</si>
  <si>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</si>
  <si>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</si>
  <si>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</si>
  <si>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</si>
  <si>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</si>
  <si>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Unamortized Issuance Costs</t>
  </si>
  <si>
    <t>Minus Net Gain (Loss) From Purchase and Tender Offers</t>
  </si>
  <si>
    <t>Less Unappropriated Undist. Sub. Earnings -- Acct. 216.1</t>
  </si>
  <si>
    <t>Less Accumulated Other Comprehensive Loss -- Account 219</t>
  </si>
  <si>
    <t>Calculation of Preferred Stock Amount</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</si>
  <si>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</si>
  <si>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</si>
  <si>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</si>
  <si>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</si>
  <si>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</si>
  <si>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</si>
  <si>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</si>
  <si>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</si>
  <si>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</si>
  <si>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</si>
  <si>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</si>
  <si>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</si>
  <si>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</si>
  <si>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</si>
  <si>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</si>
  <si>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</si>
  <si>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</si>
  <si>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</si>
  <si>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</si>
  <si>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</si>
  <si>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</si>
  <si>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</si>
  <si>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</si>
  <si>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</si>
  <si>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</si>
  <si>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</si>
  <si>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</si>
  <si>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</si>
  <si>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</si>
  <si>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</si>
  <si>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</si>
  <si>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</si>
  <si>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</si>
  <si>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</si>
  <si>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</si>
  <si>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</si>
  <si>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</si>
  <si>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</si>
  <si>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</si>
  <si>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</si>
  <si>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</si>
  <si>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</si>
  <si>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</si>
  <si>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</si>
  <si>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</si>
  <si>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</si>
  <si>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</si>
  <si>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</si>
  <si>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</si>
  <si>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</si>
  <si>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</si>
  <si>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</si>
  <si>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</si>
  <si>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</si>
  <si>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</si>
  <si>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</si>
  <si>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</si>
  <si>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</si>
  <si>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</si>
  <si>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</si>
  <si>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</si>
  <si>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</si>
  <si>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</si>
  <si>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</si>
  <si>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</si>
  <si>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</si>
  <si>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</si>
  <si>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Balances for Transmission Plant - ISO during the Prior Year, including December of previous year (See Note 1):</t>
  </si>
  <si>
    <t>Transmission Activity Used to Determine Monthly Transmission Plant - ISO Balances</t>
  </si>
  <si>
    <t>3) General and Intangible Depreciation Reserve</t>
  </si>
  <si>
    <t>Transmission Activity Used to Determine Monthly Transmission Depreciation Reserve - ISO Balances</t>
  </si>
  <si>
    <t>Balances for Transmission Depreciation Reserve - ISO during the Prior Year, including December of previous year (See Note 1):</t>
  </si>
  <si>
    <t>2) Distribution Depreciation Reserve - ISO (See Note 2)</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</si>
  <si>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</si>
  <si>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</si>
  <si>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</si>
  <si>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</si>
  <si>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</si>
  <si>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</si>
  <si>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</si>
  <si>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</si>
  <si>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</si>
  <si>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</si>
  <si>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</si>
  <si>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</si>
  <si>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</si>
  <si>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f) Red Bluff</t>
  </si>
  <si>
    <t>6) Summary of Incentive Projects and incentives granted</t>
  </si>
  <si>
    <t>for each month</t>
  </si>
  <si>
    <t>C1: Sum of below projects</t>
  </si>
  <si>
    <t>Related</t>
  </si>
  <si>
    <t>Total Accumulated Deferred Income Taxes</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</si>
  <si>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</si>
  <si>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</si>
  <si>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</si>
  <si>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</si>
  <si>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</si>
  <si>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</si>
  <si>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</si>
  <si>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</si>
  <si>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</si>
  <si>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</si>
  <si>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</si>
  <si>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</si>
  <si>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</si>
  <si>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</si>
  <si>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</si>
  <si>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</si>
  <si>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</si>
  <si>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</si>
  <si>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</si>
  <si>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</si>
  <si>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</si>
  <si>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</si>
  <si>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</si>
  <si>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</si>
  <si>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</si>
  <si>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</si>
  <si>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</si>
  <si>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</si>
  <si>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</si>
  <si>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</si>
  <si>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</si>
  <si>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</si>
  <si>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</si>
  <si>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</si>
  <si>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</si>
  <si>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</si>
  <si>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</si>
  <si>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</si>
  <si>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</si>
  <si>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</si>
  <si>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</si>
  <si>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</si>
  <si>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</si>
  <si>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</si>
  <si>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</si>
  <si>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</si>
  <si>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</si>
  <si>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</si>
  <si>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</si>
  <si>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</si>
  <si>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</si>
  <si>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</si>
  <si>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Low Voltage</t>
  </si>
  <si>
    <t>13-Month Averages:</t>
  </si>
  <si>
    <t>LV Allocation Factor)</t>
  </si>
  <si>
    <t>13-month avg.</t>
  </si>
  <si>
    <t>Total Account 282</t>
  </si>
  <si>
    <t>Allocation Factors (Plant and Wages)</t>
  </si>
  <si>
    <t>Total Account 190 ADIT</t>
  </si>
  <si>
    <t>Total Account 282 ADIT</t>
  </si>
  <si>
    <t>(Sum of amounts in Columns 4 to 6)</t>
  </si>
  <si>
    <t>Total Account 283 ADIT</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</si>
  <si>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</si>
  <si>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</si>
  <si>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</si>
  <si>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</si>
  <si>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</si>
  <si>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</si>
  <si>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</si>
  <si>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</si>
  <si>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</si>
  <si>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</si>
  <si>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</si>
  <si>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</si>
  <si>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</si>
  <si>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</si>
  <si>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</si>
  <si>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</si>
  <si>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 xml:space="preserve">1) Enter 13 months of balances for capital structure for Prior Year and December previous to Prior Year in Columns 2-14.  </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</si>
  <si>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</si>
  <si>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</si>
  <si>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</si>
  <si>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</si>
  <si>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</si>
  <si>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</si>
  <si>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</si>
  <si>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</si>
  <si>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</si>
  <si>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</si>
  <si>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</si>
  <si>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</si>
  <si>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</si>
  <si>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</si>
  <si>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</si>
  <si>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</si>
  <si>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</si>
  <si>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</si>
  <si>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</si>
  <si>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</si>
  <si>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</si>
  <si>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</si>
  <si>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</si>
  <si>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</si>
  <si>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</si>
  <si>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</si>
  <si>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</si>
  <si>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</si>
  <si>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</si>
  <si>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</si>
  <si>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</si>
  <si>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</si>
  <si>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</si>
  <si>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</si>
  <si>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Supplies Balances</t>
  </si>
  <si>
    <t>Total Materials and</t>
  </si>
  <si>
    <t>Calculation of True Up TRR</t>
  </si>
  <si>
    <t>Calculation of True Up Adjustment Component of TRR</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</si>
  <si>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</si>
  <si>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</si>
  <si>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</si>
  <si>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</si>
  <si>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</si>
  <si>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</si>
  <si>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</si>
  <si>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</si>
  <si>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</si>
  <si>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</si>
  <si>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</si>
  <si>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</si>
  <si>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</si>
  <si>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</si>
  <si>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Instruction 1</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</si>
  <si>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</si>
  <si>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</si>
  <si>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</si>
  <si>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</si>
  <si>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</si>
  <si>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</si>
  <si>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</si>
  <si>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</si>
  <si>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</si>
  <si>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</si>
  <si>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</si>
  <si>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</si>
  <si>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</si>
  <si>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</si>
  <si>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</si>
  <si>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</si>
  <si>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</si>
  <si>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</si>
  <si>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</si>
  <si>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</si>
  <si>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</si>
  <si>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</si>
  <si>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</si>
  <si>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</si>
  <si>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</si>
  <si>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</si>
  <si>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</si>
  <si>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</si>
  <si>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</si>
  <si>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</si>
  <si>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</si>
  <si>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</si>
  <si>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</si>
  <si>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</si>
  <si>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</si>
  <si>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</si>
  <si>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</si>
  <si>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r>
      <rPr>
        <b/>
        <sz val="10"/>
        <rFont val="Arial"/>
        <family val="2"/>
      </rPr>
      <t>Notes:</t>
    </r>
    <r>
      <rPr>
        <sz val="10"/>
        <rFont val="Arial"/>
        <family val="2"/>
      </rPr>
      <t xml:space="preserve"> 1) Depreciation rates may only be revised as approved by the Commission pursuant</t>
    </r>
  </si>
  <si>
    <t>Resulting Percentage is:</t>
  </si>
  <si>
    <t>Percent ISO</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</si>
  <si>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</si>
  <si>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</si>
  <si>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</si>
  <si>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</si>
  <si>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</si>
  <si>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</si>
  <si>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</si>
  <si>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</si>
  <si>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</si>
  <si>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</si>
  <si>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</si>
  <si>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</si>
  <si>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</si>
  <si>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</si>
  <si>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</si>
  <si>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</si>
  <si>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</si>
  <si>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</si>
  <si>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</si>
  <si>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</si>
  <si>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</si>
  <si>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</si>
  <si>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</si>
  <si>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</si>
  <si>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</si>
  <si>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</si>
  <si>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</si>
  <si>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</si>
  <si>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</si>
  <si>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on the Transmission Wages and Salaries Allocation Factor.</t>
  </si>
  <si>
    <t>17-</t>
  </si>
  <si>
    <t xml:space="preserve">2) In the event that depreciation rates stated on Schedule 18 to be applied to Distribution Plant - ISO are revised mid-year, calculate Depreciation Expense for </t>
  </si>
  <si>
    <t>See Instructions 2b, 3, and Note 2</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</si>
  <si>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</si>
  <si>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</si>
  <si>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</si>
  <si>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</si>
  <si>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</si>
  <si>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</si>
  <si>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</si>
  <si>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</si>
  <si>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</si>
  <si>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</si>
  <si>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</si>
  <si>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</si>
  <si>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</si>
  <si>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</si>
  <si>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</si>
  <si>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</si>
  <si>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</si>
  <si>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</si>
  <si>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</si>
  <si>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Gen. and Int.</t>
  </si>
  <si>
    <t>=C4+C5</t>
  </si>
  <si>
    <t>FF1 219.28c and 200.21c for previous year</t>
  </si>
  <si>
    <t>FF1 219.28c and 200.21c</t>
  </si>
  <si>
    <t>Values</t>
  </si>
  <si>
    <t>Applied to Accounts</t>
  </si>
  <si>
    <t>ISO Line Miles</t>
  </si>
  <si>
    <t>Non-ISO Line Miles</t>
  </si>
  <si>
    <t>Total Line Miles</t>
  </si>
  <si>
    <t>ISO Underground Line Miles</t>
  </si>
  <si>
    <t>Non-ISO Underground Line Miles</t>
  </si>
  <si>
    <t>Total Undergound Line Miles</t>
  </si>
  <si>
    <t>ISO Circuit Breakers</t>
  </si>
  <si>
    <t>Non-ISO Breakers</t>
  </si>
  <si>
    <t>Total Circuit Breakers</t>
  </si>
  <si>
    <t>Circuit Breakers Percent ISO</t>
  </si>
  <si>
    <t>Non-ISO Distribution Circuit Breakers</t>
  </si>
  <si>
    <t>Total Distribution Circuit Breakers</t>
  </si>
  <si>
    <t>ISO Distribution Circuit Breakers</t>
  </si>
  <si>
    <t>Distribution Circuit Breakers Percent ISO</t>
  </si>
  <si>
    <t>For the following Prior Years:</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</si>
  <si>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</si>
  <si>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</si>
  <si>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</si>
  <si>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</si>
  <si>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</si>
  <si>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Order approving revised ROE:</t>
  </si>
  <si>
    <t>In the event that the Return on Common Equity is revised from the initial value, enter cite to Commission Order approving the revised ROE on following line.</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</si>
  <si>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</si>
  <si>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</si>
  <si>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</si>
  <si>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</si>
  <si>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Investment Tax Credit Flowed Through</t>
  </si>
  <si>
    <t>South Georgia Income Tax Adjustment</t>
  </si>
  <si>
    <t>compared to the Retail Base TRR.  This difference is attributable to differences in the following six items,</t>
  </si>
  <si>
    <t>These six items may affect the Base TRR by affecting Rate Base, or affecting an annual expense (amortization).</t>
  </si>
  <si>
    <t>d) Total Expense Difference</t>
  </si>
  <si>
    <t>Partial Year True Up Allocation Factors calculated based on three years (2008-2010) of monthly SCE retail base transmission revenues.</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</si>
  <si>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</si>
  <si>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</si>
  <si>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</si>
  <si>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Long Term Debt Advances from Associated Companies -- Account 223</t>
  </si>
  <si>
    <t>75% of O&amp;M and A&amp;G in Prior Year TRR:</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</si>
  <si>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</si>
  <si>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</si>
  <si>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</si>
  <si>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</si>
  <si>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</si>
  <si>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</si>
  <si>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</si>
  <si>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</si>
  <si>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</si>
  <si>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</si>
  <si>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</si>
  <si>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</si>
  <si>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</si>
  <si>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</si>
  <si>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</si>
  <si>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</si>
  <si>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</si>
  <si>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</si>
  <si>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</si>
  <si>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</si>
  <si>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 xml:space="preserve">1) Any amount of "Provision for Doubtful Accounts" costs. </t>
  </si>
  <si>
    <t>2) Any amount of "Accounting Suspense" costs.</t>
  </si>
  <si>
    <t>g) Exclude the following costs included in any account 920-935:</t>
  </si>
  <si>
    <t>4) Any amount of costs recovered 100% through California Public Utilities Commission ("CPUC") rates.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</si>
  <si>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</si>
  <si>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</si>
  <si>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</si>
  <si>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</si>
  <si>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</si>
  <si>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 xml:space="preserve">c) The previous month balance of the Transmission Plant - ISO amounts on Lines 1-13.  </t>
  </si>
  <si>
    <t xml:space="preserve">For instance, the amount for May of the Prior Year (on Line 6) for Account 353 (Column 5) is the sum of the following values: </t>
  </si>
  <si>
    <t>The amounts for each month on the remaining lines are calculated by summing the following values:</t>
  </si>
  <si>
    <t>c) Balances for Transmission Depreciation Reserve (on Lines 1 to 13) for the previous month.</t>
  </si>
  <si>
    <t>For instance, the amount for May of the Prior Year (on Line 6) for Account 353 (Column 5) is the sum of the following values:</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</si>
  <si>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</si>
  <si>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</si>
  <si>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</si>
  <si>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</si>
  <si>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</si>
  <si>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</si>
  <si>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</si>
  <si>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</si>
  <si>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</si>
  <si>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</si>
  <si>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</si>
  <si>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</si>
  <si>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</si>
  <si>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</si>
  <si>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 xml:space="preserve"> Attachment 2 to Appendix IX</t>
  </si>
  <si>
    <t>Formula Rate Spreadsheet</t>
  </si>
  <si>
    <t>Amounts on Line 1 must match corresponding account Schedule 7, Column 2 for previous year.</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</si>
  <si>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</si>
  <si>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</si>
  <si>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</si>
  <si>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</si>
  <si>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</si>
  <si>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</si>
  <si>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</si>
  <si>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</si>
  <si>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</si>
  <si>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</si>
  <si>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</si>
  <si>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</si>
  <si>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</si>
  <si>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</si>
  <si>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</si>
  <si>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</si>
  <si>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</si>
  <si>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</si>
  <si>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</si>
  <si>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</si>
  <si>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</si>
  <si>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</si>
  <si>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</si>
  <si>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</si>
  <si>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</si>
  <si>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</si>
  <si>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</si>
  <si>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</si>
  <si>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</si>
  <si>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</si>
  <si>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</si>
  <si>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</si>
  <si>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</si>
  <si>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</si>
  <si>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</si>
  <si>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</si>
  <si>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</si>
  <si>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</si>
  <si>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</si>
  <si>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</si>
  <si>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</si>
  <si>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</si>
  <si>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</si>
  <si>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</si>
  <si>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</si>
  <si>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</si>
  <si>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</si>
  <si>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</si>
  <si>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</si>
  <si>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</si>
  <si>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</si>
  <si>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</si>
  <si>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</si>
  <si>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</si>
  <si>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</si>
  <si>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</si>
  <si>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</si>
  <si>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</si>
  <si>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</si>
  <si>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</si>
  <si>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</si>
  <si>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</si>
  <si>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</si>
  <si>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3c) Project:</t>
  </si>
  <si>
    <t>3d) Project:</t>
  </si>
  <si>
    <t>3e) Project:</t>
  </si>
  <si>
    <t>3f) Project:</t>
  </si>
  <si>
    <t>Unload</t>
  </si>
  <si>
    <t>3g) Project:</t>
  </si>
  <si>
    <t>3h) Project:</t>
  </si>
  <si>
    <t>3i) Project:</t>
  </si>
  <si>
    <t>3j) Project:</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</si>
  <si>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</si>
  <si>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</si>
  <si>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</si>
  <si>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</si>
  <si>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</si>
  <si>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</si>
  <si>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</si>
  <si>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</si>
  <si>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</si>
  <si>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3) Non-Incentive Plant Forecast (See Note 1)</t>
  </si>
  <si>
    <t>= Prior Month C2
+C2+C5+C6</t>
  </si>
  <si>
    <t>December Prior Year plant balances and accrual rates are as shown on Schedule 17 Depreciation</t>
  </si>
  <si>
    <t>Current Authorized PBOPs Expense Amount:</t>
  </si>
  <si>
    <t>Unfunded Reserves</t>
  </si>
  <si>
    <t>Determination of 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</si>
  <si>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</si>
  <si>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</si>
  <si>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</si>
  <si>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</si>
  <si>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</si>
  <si>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</si>
  <si>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</si>
  <si>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</si>
  <si>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</si>
  <si>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</si>
  <si>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</si>
  <si>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</si>
  <si>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</si>
  <si>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</si>
  <si>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</si>
  <si>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</si>
  <si>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</si>
  <si>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</si>
  <si>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</si>
  <si>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</si>
  <si>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</si>
  <si>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</si>
  <si>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</si>
  <si>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</si>
  <si>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</si>
  <si>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</si>
  <si>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</si>
  <si>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Remaining A&amp;G after exclusions &amp; NOIC Adjustment:</t>
  </si>
  <si>
    <t>NOIC</t>
  </si>
  <si>
    <t xml:space="preserve">Note 2: Non-Officer Incentive Compensation ("NOIC") Adjustment </t>
  </si>
  <si>
    <t xml:space="preserve">Adjust NOIC by excluding accrued NOIC Amount and replacing with the </t>
  </si>
  <si>
    <t>Accrued NOIC Amount:</t>
  </si>
  <si>
    <t>Actual A&amp;G NOIC payout:</t>
  </si>
  <si>
    <t>2) Fill out "Itemization of Exclusions" table for all input cells. NOIC amount in</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</si>
  <si>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</si>
  <si>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</si>
  <si>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</si>
  <si>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</si>
  <si>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</si>
  <si>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</si>
  <si>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</si>
  <si>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</si>
  <si>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</si>
  <si>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</si>
  <si>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</si>
  <si>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</si>
  <si>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</si>
  <si>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</si>
  <si>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Less A&amp;G NOIC</t>
  </si>
  <si>
    <t>NOIC wo A&amp;G NOIC</t>
  </si>
  <si>
    <t>Total non-A&amp;G W&amp;S with NOIC</t>
  </si>
  <si>
    <t>3) Total TDBU NOIC is allocated to Transmission and Distribution in proportion to labor in the respective functions.  Transmission NOIC ("Non-Officer Incentive Compensation") equals Total TDBU NOIC times</t>
  </si>
  <si>
    <t>Total NOIC (Non-Officer Incentive Compensation)</t>
  </si>
  <si>
    <t>dividing adopted Uncollectibles expense by Total Operating revenues less Uncollectibles Expense.  Resulting FF &amp; U</t>
  </si>
  <si>
    <t>3) Enter ISO portion of plant in Column 2, "Transmission Plant - ISO, or "Distribution Plant - ISO".</t>
  </si>
  <si>
    <t>17a</t>
  </si>
  <si>
    <t>17b</t>
  </si>
  <si>
    <t>17c</t>
  </si>
  <si>
    <t>17d</t>
  </si>
  <si>
    <t>17e</t>
  </si>
  <si>
    <t>17f</t>
  </si>
  <si>
    <t>17g</t>
  </si>
  <si>
    <t>17h</t>
  </si>
  <si>
    <t>17i</t>
  </si>
  <si>
    <t>17j</t>
  </si>
  <si>
    <t>17k</t>
  </si>
  <si>
    <t>17l</t>
  </si>
  <si>
    <t>17m</t>
  </si>
  <si>
    <t>c) Reliability Services Revenue.</t>
  </si>
  <si>
    <t>b) Transmission Access Charge Balancing Account Adjustment.</t>
  </si>
  <si>
    <t xml:space="preserve">a) Transmission Revenue Balancing Account Adjustment revenue. </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</si>
  <si>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</si>
  <si>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</si>
  <si>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Sum of Column D, Line 43 and Column G, Line 32</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</si>
  <si>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</si>
  <si>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</si>
  <si>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</si>
  <si>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</si>
  <si>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</si>
  <si>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</si>
  <si>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</si>
  <si>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</si>
  <si>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</si>
  <si>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</si>
  <si>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</si>
  <si>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</si>
  <si>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</si>
  <si>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</si>
  <si>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</si>
  <si>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</si>
  <si>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</si>
  <si>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</si>
  <si>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</si>
  <si>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</si>
  <si>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</si>
  <si>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</si>
  <si>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</si>
  <si>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</si>
  <si>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</si>
  <si>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</si>
  <si>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</si>
  <si>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</si>
  <si>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</si>
  <si>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</si>
  <si>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</si>
  <si>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 xml:space="preserve">1) Forecast Period is the calendar year two years after the Prior Year (i.e., PY+2).   </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</si>
  <si>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</si>
  <si>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</si>
  <si>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</si>
  <si>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</si>
  <si>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</si>
  <si>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</si>
  <si>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</si>
  <si>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</si>
  <si>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</si>
  <si>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</si>
  <si>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</si>
  <si>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</si>
  <si>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</si>
  <si>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</si>
  <si>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</si>
  <si>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</si>
  <si>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</si>
  <si>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</si>
  <si>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</si>
  <si>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</si>
  <si>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</si>
  <si>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</si>
  <si>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</si>
  <si>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</si>
  <si>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</si>
  <si>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</si>
  <si>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</si>
  <si>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</si>
  <si>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</si>
  <si>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</si>
  <si>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</si>
  <si>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</si>
  <si>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</si>
  <si>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</si>
  <si>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</si>
  <si>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</si>
  <si>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</si>
  <si>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</si>
  <si>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</si>
  <si>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</si>
  <si>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</si>
  <si>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</si>
  <si>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</si>
  <si>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</si>
  <si>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</si>
  <si>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</si>
  <si>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</si>
  <si>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</si>
  <si>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</si>
  <si>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</si>
  <si>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</si>
  <si>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</si>
  <si>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</si>
  <si>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</si>
  <si>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</si>
  <si>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</si>
  <si>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</si>
  <si>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</si>
  <si>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</si>
  <si>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</si>
  <si>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</si>
  <si>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</si>
  <si>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</si>
  <si>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</si>
  <si>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</si>
  <si>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</si>
  <si>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</si>
  <si>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</si>
  <si>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</si>
  <si>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</si>
  <si>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</si>
  <si>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</si>
  <si>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</si>
  <si>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</si>
  <si>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</si>
  <si>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</si>
  <si>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</si>
  <si>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</si>
  <si>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</si>
  <si>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</si>
  <si>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</si>
  <si>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</si>
  <si>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</si>
  <si>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</si>
  <si>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</si>
  <si>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</si>
  <si>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</si>
  <si>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</si>
  <si>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</si>
  <si>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</si>
  <si>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</si>
  <si>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</si>
  <si>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</si>
  <si>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</si>
  <si>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Straddle Subs (Cross 200 kV boundary):</t>
  </si>
  <si>
    <t>Gross Plant that can directly be determined to be HV or LV:</t>
  </si>
  <si>
    <t>B) Return on Capital</t>
  </si>
  <si>
    <t>C) Income Taxes</t>
  </si>
  <si>
    <t>D) True Up TRR Calculation</t>
  </si>
  <si>
    <t>E) Calculation of final True Up TRR with Franchise Fees and Uncollectibles Expenses</t>
  </si>
  <si>
    <t>AFCRCWIP = CLTD  + (COS * (1/(1 - CTR)))</t>
  </si>
  <si>
    <t xml:space="preserve">Year </t>
  </si>
  <si>
    <t>= Sum (Cols. 2-14)/13</t>
  </si>
  <si>
    <t>Reacquired Bonds -- Account 222 (Note 2): enter - of FF1</t>
  </si>
  <si>
    <t>4o</t>
  </si>
  <si>
    <t>Conn-Charge - Residential</t>
  </si>
  <si>
    <t>4p</t>
  </si>
  <si>
    <t>Conn-Charge - Non-Residential</t>
  </si>
  <si>
    <t>4q</t>
  </si>
  <si>
    <t>Conn-Charge - At Pole</t>
  </si>
  <si>
    <t>6-PlantInService Line 15.</t>
  </si>
  <si>
    <t>6-PlantInService Line 16.</t>
  </si>
  <si>
    <t xml:space="preserve"> and the American Reinvestment Recovery Act for the Tehachapi Wind Energy Storage Project.</t>
  </si>
  <si>
    <t>LV Substations (Less Than 200kV)</t>
  </si>
  <si>
    <t>(Line 24)</t>
  </si>
  <si>
    <t>(Line 29)</t>
  </si>
  <si>
    <t>(Line 36)</t>
  </si>
  <si>
    <t>(Line 22 x Line 23)</t>
  </si>
  <si>
    <t>(Line 27 x Line 28)</t>
  </si>
  <si>
    <t>(Line 32 x Line 33)</t>
  </si>
  <si>
    <t>(Line 34 x Line 35)</t>
  </si>
  <si>
    <t>Data Network Systems</t>
  </si>
  <si>
    <t>Telecom Power Systems</t>
  </si>
  <si>
    <t>NEM Adjustment</t>
  </si>
  <si>
    <t>NEM GWh</t>
  </si>
  <si>
    <t>Billing Determinants with NEM Adjustment</t>
  </si>
  <si>
    <t>Note 12</t>
  </si>
  <si>
    <t>Note 13</t>
  </si>
  <si>
    <t>2) Sales forecast in total Giga-watt hours usage, represents the customers' total annual GWh usage.  Based on same forecast as Gross Load forecast in Schedule 32, Line 1, but at customer meter level.</t>
  </si>
  <si>
    <t>Note 8</t>
  </si>
  <si>
    <t>Sales Forecast (Not Including Backup)</t>
  </si>
  <si>
    <t>Sales Forecast (Backup)</t>
  </si>
  <si>
    <t>= (Line1:Col3 + Line1:Col4) - Line1:Col5</t>
  </si>
  <si>
    <t>= Line1:Col2 / (Line1:Col8*10^6)</t>
  </si>
  <si>
    <t>= Line1:Col2 / ((Line1:Col6 + Line1:Col7)*10^3)</t>
  </si>
  <si>
    <t xml:space="preserve"> GWh</t>
  </si>
  <si>
    <t>Backup GWh</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</si>
  <si>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</si>
  <si>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</si>
  <si>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</si>
  <si>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</si>
  <si>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</si>
  <si>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</si>
  <si>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</si>
  <si>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</si>
  <si>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</si>
  <si>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</si>
  <si>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</si>
  <si>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</si>
  <si>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</si>
  <si>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</si>
  <si>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</si>
  <si>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</si>
  <si>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</si>
  <si>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14</t>
  </si>
  <si>
    <t>Total Revenues</t>
  </si>
  <si>
    <t>Note 15</t>
  </si>
  <si>
    <t>Note 16</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</si>
  <si>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</si>
  <si>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</si>
  <si>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</si>
  <si>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</si>
  <si>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</si>
  <si>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</si>
  <si>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</si>
  <si>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</si>
  <si>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</si>
  <si>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</si>
  <si>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</si>
  <si>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</si>
  <si>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t>15)  Applicable to time-of-use schedules within the GS-1 rate group</t>
  </si>
  <si>
    <t>from Line1:Col4</t>
  </si>
  <si>
    <t>= Col 7 + Col 8</t>
  </si>
  <si>
    <t>= Line35:(Col4*Col5/Col6*Col9)</t>
  </si>
  <si>
    <t>= Line35:(Col10 / total of Col10)</t>
  </si>
  <si>
    <t>Note 17</t>
  </si>
  <si>
    <t>Standby Adjusted Sales Forecast - GWh</t>
  </si>
  <si>
    <t>Total Sales Forecast - GWh</t>
  </si>
  <si>
    <t xml:space="preserve">a) Attribute True Up TRR to months in the Prior Year (see Note #1) to determine "Monthly True Up TRR" for each month (see Note #2).  </t>
  </si>
  <si>
    <t>Including previous Annual Update Cumulative Excess or Shortfall in Revenue.</t>
  </si>
  <si>
    <t>One-Time</t>
  </si>
  <si>
    <t>Adjustments and</t>
  </si>
  <si>
    <t>Shortfall/Excess</t>
  </si>
  <si>
    <t>Revenue In</t>
  </si>
  <si>
    <t>Annual Update</t>
  </si>
  <si>
    <t>Previous Annual Update TU Adjustment:</t>
  </si>
  <si>
    <t>TU Adjustment without Projected Interest</t>
  </si>
  <si>
    <t>Projected Interest to Rate Year Mid-Point:</t>
  </si>
  <si>
    <t>Transmission Revenues: (Note 8)</t>
  </si>
  <si>
    <t>Enter with the same sign as in previous Annual Update.  If there is no Previous Annual Update True Up Adjustment, then enter $0.</t>
  </si>
  <si>
    <t xml:space="preserve">4) Enter any One Time Adjustments on Column 4, Line 12 (or other appropriate).  If SCE is owed enter as positive, if SCE is to return to customers enter as negative.  </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</si>
  <si>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</si>
  <si>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</si>
  <si>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</si>
  <si>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</si>
  <si>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 xml:space="preserve">7) If true up period is less than entire calendar year, then adjust calculation accordingly by including $0 Monthly True Up TRR and $0 </t>
  </si>
  <si>
    <t>6) "Cumulative Excess (-) or Shortfall (+) in Revenue wo Interest for Current Month" is, beginning for the January month,</t>
  </si>
  <si>
    <t>the amount in Column 9 for previous month plus the current month amount in Column 5.  For the first December, it is the amount in Column 5.</t>
  </si>
  <si>
    <t>No interest is applied for the first December.</t>
  </si>
  <si>
    <t>8) Only provide if formula was in effect during Prior Year.</t>
  </si>
  <si>
    <t>9) Only include Base Transmission Revenue attributable to this formula transmission rate.</t>
  </si>
  <si>
    <t>10) Other Transmission Revenue includes the following:</t>
  </si>
  <si>
    <t>a) Depreciation Expense for May of the Prior Year (on Line 44, Column 5);</t>
  </si>
  <si>
    <t>c) The balances for Transmission Depreciation Reserve for April of the Prior Year (on Line 5, column 5).</t>
  </si>
  <si>
    <t>E: Exclude amount of costs transfered to account from A&amp;G Account 920 pursuant to Order 668.</t>
  </si>
  <si>
    <t>F: Excludes shareholder funded costs.</t>
  </si>
  <si>
    <t>FF1 263 or 263.x (see note to left)</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</si>
  <si>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</si>
  <si>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</si>
  <si>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</si>
  <si>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4) Cost Adjustment may be included as provided in the Tariff protocols.</t>
  </si>
  <si>
    <t>Line 3 - Line 1</t>
  </si>
  <si>
    <t>Line 6 - Line 4</t>
  </si>
  <si>
    <t>Line 10 - Line 8</t>
  </si>
  <si>
    <t>2) High Voltage Utility-Specific Rate</t>
  </si>
  <si>
    <t>3) HV Existing Contracts Access Charge</t>
  </si>
  <si>
    <t xml:space="preserve">1) Amounts on Line 13 based on current year Plant Study.  Amounts on Line 1 shall be based on previous year Plant Study, and </t>
  </si>
  <si>
    <t>f) EPRI and EEI Dues</t>
  </si>
  <si>
    <t>c) Calculation of EPRI and EEI Dues Exclusion</t>
  </si>
  <si>
    <t>EPRI Dues</t>
  </si>
  <si>
    <t>EEI Dues</t>
  </si>
  <si>
    <t>Sum of EPRI and EEI Dues</t>
  </si>
  <si>
    <t>EPRI and EEI Dues Exclusion</t>
  </si>
  <si>
    <t>5) EPRI and EEI Dues Exclusion</t>
  </si>
  <si>
    <t>6) Additional Expense Difference</t>
  </si>
  <si>
    <t>and the "Equity Rate of Return Including Preferred Stock" on Line 23 in the event that the ROE is revised during the Prior Year.  In this event,</t>
  </si>
  <si>
    <t>The difference between Retail and Wholesale Rate Base is attributable to the following four items,</t>
  </si>
  <si>
    <t>3) Add additional years past 2025 if necessary.</t>
  </si>
  <si>
    <t>HV Abandoned Plant (BOY):</t>
  </si>
  <si>
    <t>Abandoned Plant (BOY)</t>
  </si>
  <si>
    <t>Total: 12-Abandoned Plant Line 2, HV: 12-Abandoned Plant Line 5, LV = Total - HV</t>
  </si>
  <si>
    <t>B) Gross Plant Percentage for the Rate Year:</t>
  </si>
  <si>
    <t>In Service Additions in Rate Year:</t>
  </si>
  <si>
    <t>CWIP in Rate Year</t>
  </si>
  <si>
    <t>Total HV and LV Gross Plant for Rate Year</t>
  </si>
  <si>
    <t>See Note 1, c</t>
  </si>
  <si>
    <t>See Note 1, f</t>
  </si>
  <si>
    <t>Note 1, c</t>
  </si>
  <si>
    <t>Note 1, f</t>
  </si>
  <si>
    <t xml:space="preserve">1) </t>
  </si>
  <si>
    <t>Beginning of Year Amount</t>
  </si>
  <si>
    <t>FERC Form 1 Acct. 165 Recorded Amount:</t>
  </si>
  <si>
    <t>Prior Period Adjustment:</t>
  </si>
  <si>
    <t>BOY Prepayments Amount:</t>
  </si>
  <si>
    <t>End of Year Amount</t>
  </si>
  <si>
    <t>EOY Prepayments Amount:</t>
  </si>
  <si>
    <r>
      <t>563 -</t>
    </r>
    <r>
      <rPr>
        <strike/>
        <sz val="10"/>
        <rFont val="Arial"/>
        <family val="2"/>
      </rPr>
      <t xml:space="preserve"> </t>
    </r>
    <r>
      <rPr>
        <sz val="10"/>
        <rFont val="Arial"/>
        <family val="2"/>
      </rPr>
      <t>Overhead Line Expenses - Allocated</t>
    </r>
  </si>
  <si>
    <t>567 - Line Rents - Allocated</t>
  </si>
  <si>
    <t>571 - Maintenance of Overhead Lines - Allocated</t>
  </si>
  <si>
    <t>All Other Non 0% or 100% Transmission O&amp;M Accounts</t>
  </si>
  <si>
    <r>
      <t xml:space="preserve">582 - Station Expenses </t>
    </r>
    <r>
      <rPr>
        <strike/>
        <sz val="10"/>
        <color rgb="FFFF0000"/>
        <rFont val="Arial"/>
        <family val="2"/>
      </rPr>
      <t/>
    </r>
  </si>
  <si>
    <t xml:space="preserve">592 - Maintenance of Station Equipment </t>
  </si>
  <si>
    <t>560 - Operations Supervision and Engineering - Allocated</t>
  </si>
  <si>
    <t>561 Load Dispatch - Allocated</t>
  </si>
  <si>
    <t>561.500 Reliability Planning and Standards Development</t>
  </si>
  <si>
    <t>562 - Station Expenses - Allocated</t>
  </si>
  <si>
    <t>563 - Overhead Line Expenses - Allocated</t>
  </si>
  <si>
    <t>564 - Underground Line Expenses - Allocated</t>
  </si>
  <si>
    <t>565 - Transmission of Electricity by Others</t>
  </si>
  <si>
    <t>566 - Miscellaneous Transmission Expenses - Allocated</t>
  </si>
  <si>
    <t>568 - Maintenance Supervision and Engineering - Allocated</t>
  </si>
  <si>
    <t>569 - Maintenance of Structures - Allocated</t>
  </si>
  <si>
    <t xml:space="preserve">570 - Maintenance of Station Equipment - Allocated </t>
  </si>
  <si>
    <t xml:space="preserve">571 - Maintenance of Overhead Lines - Allocated </t>
  </si>
  <si>
    <t>572 - Maintenance of Underground Lines - Allocated</t>
  </si>
  <si>
    <t xml:space="preserve">573 - Maintenance of Miscellaneous Trans. Plant - Allocated </t>
  </si>
  <si>
    <t>27-Allocators Line 42</t>
  </si>
  <si>
    <t>27-Allocators Line 30</t>
  </si>
  <si>
    <t>27-Allocators Line 36</t>
  </si>
  <si>
    <t>27-Allocators Line 48</t>
  </si>
  <si>
    <t>3) South of Kramer</t>
  </si>
  <si>
    <t>4) West of Devers</t>
  </si>
  <si>
    <t>d) South of Kramer</t>
  </si>
  <si>
    <t>e) West of Devers</t>
  </si>
  <si>
    <t>Capitalization Rate (Note 3)</t>
  </si>
  <si>
    <t>1) Federal Source Statute:</t>
  </si>
  <si>
    <t>3) Capitalization Rate approved in:</t>
  </si>
  <si>
    <t>2) California State Source Statue:</t>
  </si>
  <si>
    <t>Income Tax Rates</t>
  </si>
  <si>
    <t>3) Any penalties or fines.</t>
  </si>
  <si>
    <t>Total Acct 242 - Miscellaneous Current and Accrued Liabilities</t>
  </si>
  <si>
    <t>Total Acct 252 - Customer Advances for Construction</t>
  </si>
  <si>
    <t>Line Miles Percent ISO</t>
  </si>
  <si>
    <t>Underground Line Miles Percent ISO</t>
  </si>
  <si>
    <t>((L1 FF Factor * L1 Days) + (L2 FF Factor * L2 Days))/(L1+L2 Days)</t>
  </si>
  <si>
    <t>((L3 U Factor * L3 Days) + (L4 U Factor * L4 Days))/(L3+L4 Days)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</si>
  <si>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</si>
  <si>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</si>
  <si>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</si>
  <si>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</si>
  <si>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</si>
  <si>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</si>
  <si>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A) Change in ISO Plant Balance December to December (See Note 9)</t>
  </si>
  <si>
    <t>B) Change in Incentive ISO Plant (See Note 10)</t>
  </si>
  <si>
    <t>C) Change in Non-Incentive ISO Plant (See Note 11)</t>
  </si>
  <si>
    <t>a) Other ISO Transmission Activity without Incentive Plant Activity on Lines 108-119 for the same month;</t>
  </si>
  <si>
    <t>b) ISO Incentive Plant Activity on Lines 67 to 78 for the same month; and</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</si>
  <si>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</si>
  <si>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</si>
  <si>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</si>
  <si>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5) Includes balances for SCE Incentive Projects.</t>
  </si>
  <si>
    <t>7) Amount in matrix on lines 41 to 52 minus amount in matrix on lines 67 to 78</t>
  </si>
  <si>
    <t>8) Amount in "Total Transmission Activity Not Including Incentive Plant Activity" matrix divided by Total on Line 92 for each account/month.</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</si>
  <si>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</si>
  <si>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</si>
  <si>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</si>
  <si>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</si>
  <si>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</si>
  <si>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</si>
  <si>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</si>
  <si>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b) Other Transmission Activity (on Lines 55 to 66) for the same month; and </t>
  </si>
  <si>
    <t xml:space="preserve">b) Other Transmission Activity for May of the Prior Year (on Line 59, Column 5); and </t>
  </si>
  <si>
    <t>4) From 6-PlantInService, Lines 93 to 104.</t>
  </si>
  <si>
    <t>8) Multiply the montly "Total Transmission Allocation Factors" ratios found in Lines 40-51 by the</t>
  </si>
  <si>
    <t>"Other Activity" on Line 54.</t>
  </si>
  <si>
    <t>Electric Miscellaneous Intangible Plant - ISO</t>
  </si>
  <si>
    <t>General Plant - ISO</t>
  </si>
  <si>
    <t>Rent Rev NU-NonBRRBA</t>
  </si>
  <si>
    <t>Fac Cost N/U-BRRBA</t>
  </si>
  <si>
    <t>Intercon One Time</t>
  </si>
  <si>
    <t>EV Charging Revenue</t>
  </si>
  <si>
    <t>Energy Reltd Srv-TSP</t>
  </si>
  <si>
    <t>N/U Labor Mrkp-BRRBA</t>
  </si>
  <si>
    <t>4188720</t>
  </si>
  <si>
    <t>LCFS CR 411.8</t>
  </si>
  <si>
    <t>Miscellaneous Revenues - ISO</t>
  </si>
  <si>
    <t>15t</t>
  </si>
  <si>
    <t>4198132</t>
  </si>
  <si>
    <t>Radial Line Agreement-Base-Mojave Solr</t>
  </si>
  <si>
    <t>4198134</t>
  </si>
  <si>
    <t>Radial Line Agreement-O&amp;M-Mojave Solr</t>
  </si>
  <si>
    <t>4188716</t>
  </si>
  <si>
    <t>ISO Non-Refundable Interconnection Deposit</t>
  </si>
  <si>
    <t>ECS - Instrastate End User Revenue</t>
  </si>
  <si>
    <t>ECS - Intrastate End User Fees</t>
  </si>
  <si>
    <t>a) Line Miles</t>
  </si>
  <si>
    <t>b) Underground Line Miles</t>
  </si>
  <si>
    <t>c) Circuit Breakers</t>
  </si>
  <si>
    <t>d) Distribution Circuit Breakers</t>
  </si>
  <si>
    <t>4) Enter "Shortfall or Excess Revenue in Previous Annual Update" on Line 11, or other appropriate (from Previous Annual Update, Line 23, Column 9).</t>
  </si>
  <si>
    <t>1) Use weighted average (by time) of the Return on Equity in effect during the Prior Year in determining the "Cost of Capital Rate" on Line 19</t>
  </si>
  <si>
    <t>See Line f below</t>
  </si>
  <si>
    <t>Prior Year Authorized PBOPs Expense Amount:</t>
  </si>
  <si>
    <t>Authorized PBOPs Expense Amount during Prior Year</t>
  </si>
  <si>
    <t>in accordance with the tariff protocols.  Accordingly, any amount different than the authorized PBOPs expense</t>
  </si>
  <si>
    <t>during the Prior Year is excluded from account 926 (see note 3). Docket or Decision approving authorized PBOPs amount:</t>
  </si>
  <si>
    <t xml:space="preserve">to a Section 205 or 206 filing.  </t>
  </si>
  <si>
    <t>100%</t>
  </si>
  <si>
    <t>0%</t>
  </si>
  <si>
    <t>6)  See Column 9 for references to source of each  Percent ISO.</t>
  </si>
  <si>
    <t xml:space="preserve">a filing at the Commission.  Investment Tax Credit Flowed Through amount shall be negative $520,000 through the Prior Year of 2018, </t>
  </si>
  <si>
    <t>negative $183,000 for the Prior Year of 2019, and $0 thereafter.</t>
  </si>
  <si>
    <t>= Prior Month C9
 - C4 + C8</t>
  </si>
  <si>
    <t>Previous Annual Update:</t>
  </si>
  <si>
    <t>Instruction 3: Classify any ADIT line items relating to refunding and retirement of debt as Plant related (Column 5).</t>
  </si>
  <si>
    <t>a) Depreciation Expense (on Lines 27 to 38) for the same month;</t>
  </si>
  <si>
    <t>1/8 (O&amp;M + A&amp;G)</t>
  </si>
  <si>
    <t>Mesa</t>
  </si>
  <si>
    <t>Alberhill</t>
  </si>
  <si>
    <t>8) Mesa</t>
  </si>
  <si>
    <t>9) Alberhill</t>
  </si>
  <si>
    <t>10) ELM Series Caps</t>
  </si>
  <si>
    <t>3k) Project:</t>
  </si>
  <si>
    <t>FF1 322.156b</t>
  </si>
  <si>
    <t>Mesa:</t>
  </si>
  <si>
    <t>Alberhill:</t>
  </si>
  <si>
    <t>ELM Series Caps:</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</si>
  <si>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</si>
  <si>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</si>
  <si>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</si>
  <si>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</si>
  <si>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</si>
  <si>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</si>
  <si>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</si>
  <si>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</si>
  <si>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</si>
  <si>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 xml:space="preserve">                                                                                                                                                                                                                                                                                                                </t>
  </si>
  <si>
    <t>12eee</t>
  </si>
  <si>
    <t>Power Quality C&amp;I Customer Program</t>
  </si>
  <si>
    <t xml:space="preserve">calculated by this formula shall be entered as a One Time Adjustment on Schedule 3, ensuring that </t>
  </si>
  <si>
    <r>
      <t>3) No change in the South Georgia Income Tax Adjustment "Credits and Other" term</t>
    </r>
    <r>
      <rPr>
        <sz val="10"/>
        <rFont val="Arial"/>
        <family val="2"/>
      </rPr>
      <t xml:space="preserve"> will be made absent </t>
    </r>
  </si>
  <si>
    <t>Note 1, Note 4</t>
  </si>
  <si>
    <t>Transportation Electrification (TE) Energy Charge - $/kWh</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</si>
  <si>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</si>
  <si>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</si>
  <si>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17)  Applicable to the optional schedules that contain horse power charge such as PA-1</t>
  </si>
  <si>
    <t>18) GWh for TOU-8-Standby-SEC, TOU-8-Standby-PRI, TOU-8-Standby-SUB Rate Groups are placed in TOU-8-SEC, TOU-8-PRI, TOU-8-SUB Rate Groups respectively.</t>
  </si>
  <si>
    <t>Note 18</t>
  </si>
  <si>
    <t>Pump Load True-Up:</t>
  </si>
  <si>
    <t>4) The Pump Load True-Up value is equal to actual recorded less forecast Pump Load for the Prior Year.</t>
  </si>
  <si>
    <t>Line 1 + Line 2 + Line 3</t>
  </si>
  <si>
    <t>FF1 117.64c</t>
  </si>
  <si>
    <t>the Formula Rate Spreadsheet in effect during the Prior Year.</t>
  </si>
  <si>
    <t>Depreciation Rates (Percent per year)  See Instruction 1.</t>
  </si>
  <si>
    <t>1) Depreciation rates on lines 17a-17m are input based on the stated values of ISO Transmission Plant depreciation rates from Schedule 18 of</t>
  </si>
  <si>
    <t xml:space="preserve">ISO Transmission Wages and Salaries </t>
  </si>
  <si>
    <t xml:space="preserve">1) Includes any Unfunded Reserves relating to accrued expenses included in Account 925 “Injuries and Damages”, </t>
  </si>
  <si>
    <t>reduced for any expected offsetting payments.</t>
  </si>
  <si>
    <t>Total all Substations (L7 + L8 + L9)</t>
  </si>
  <si>
    <t>Total Transmission Lines (L2 + L3):</t>
  </si>
  <si>
    <r>
      <t>13) For optional time-of-use schedules within the GS-1 rate group (Line16b:Col6), = (Line1b</t>
    </r>
    <r>
      <rPr>
        <vertAlign val="subscript"/>
        <sz val="10"/>
        <rFont val="Arial"/>
        <family val="2"/>
      </rPr>
      <t>2</t>
    </r>
    <r>
      <rPr>
        <sz val="10"/>
        <rFont val="Arial"/>
        <family val="2"/>
      </rPr>
      <t>:Col11 - Line16:Col3) / Line1b:Col12 / 10^3</t>
    </r>
  </si>
  <si>
    <t>State</t>
  </si>
  <si>
    <t>14) For the non TOU-8-Standby rate group, it is the minimum of Line16i:Col7, or the total demand rate in Line1:Col10</t>
  </si>
  <si>
    <t>g) Whirlwind Substation Expansion</t>
  </si>
  <si>
    <t>k) ELM Series Caps</t>
  </si>
  <si>
    <t>FF1 263.1, Row 13, Column i</t>
  </si>
  <si>
    <t>FF1 263, Row 6, Column i</t>
  </si>
  <si>
    <t>FF1 263, Row 7, Column i</t>
  </si>
  <si>
    <t>FF1 263, Row 8, Column i</t>
  </si>
  <si>
    <t>FF1 263, Row 24, Column i</t>
  </si>
  <si>
    <t>FF1 263, Row 9, Column i</t>
  </si>
  <si>
    <t>FF1 263, Row 29, Column i</t>
  </si>
  <si>
    <t>FF1 263, Row 28, Column i</t>
  </si>
  <si>
    <t>NEM 2.0</t>
  </si>
  <si>
    <t>10aa</t>
  </si>
  <si>
    <t xml:space="preserve">Minimum Common Stock Capital Percentage (Docket No. ER19-1553) </t>
  </si>
  <si>
    <t>Prior Year Incentive Adder Reversal</t>
  </si>
  <si>
    <t>39a</t>
  </si>
  <si>
    <t>True Up Incentive Adder Reversal</t>
  </si>
  <si>
    <t>Negative of Line 39, Note 1</t>
  </si>
  <si>
    <t>1) True Up TRR Incentive Adder Reversal backs out the revenue requirement associated with any project-specific Incentive Adders</t>
  </si>
  <si>
    <t>(Line 39) for True Up Years during the term of the settlement of ER19-1553.</t>
  </si>
  <si>
    <t>5) Prior Year Incentive Adder Reversal backs out the revenue requirement associated with any project-specific Incentive Adders</t>
  </si>
  <si>
    <t>Calculation of Cost of Long-Term Debt</t>
  </si>
  <si>
    <t>Interest on Long-Term Debt -- Account 427</t>
  </si>
  <si>
    <t>FF1 117.62c</t>
  </si>
  <si>
    <t>Amortization of Debt Discount and Expense -- Account 428</t>
  </si>
  <si>
    <t>FF1 117.63c</t>
  </si>
  <si>
    <t>Amortization of Loss on Reacquired Debt -- Account 428.1</t>
  </si>
  <si>
    <t>Less Amortization of Premium on Debt -- Account 429</t>
  </si>
  <si>
    <t>Enter negative</t>
  </si>
  <si>
    <t>FF1 117.65c</t>
  </si>
  <si>
    <t>Less Amort. of Gain on Reacquired Debt -- Account 429.1</t>
  </si>
  <si>
    <t>FF1 117.66c</t>
  </si>
  <si>
    <t>Interest on Debt to Associated Companies -- Account 430</t>
  </si>
  <si>
    <t>FF1 117.67c</t>
  </si>
  <si>
    <t>Long-Term Debt Cost Percentage</t>
  </si>
  <si>
    <t>Calculation of Cost of Preferred Stock</t>
  </si>
  <si>
    <t>Cost of Preferred Stock -- Account 437</t>
  </si>
  <si>
    <t xml:space="preserve">Enter positive </t>
  </si>
  <si>
    <t>FF1 118.29c</t>
  </si>
  <si>
    <t>Amortization of Net Gain (Loss)  From Purchases and Tender Offers</t>
  </si>
  <si>
    <t>Amortization Issuance Costs</t>
  </si>
  <si>
    <t xml:space="preserve"> Long Term Debt Advances from Associated Companies (Note 2a):</t>
  </si>
  <si>
    <t>Other Long Term Debt -- Account 224 (Note 3):</t>
  </si>
  <si>
    <t xml:space="preserve">2a) Amount in Column 2 from FF1 112.20d, amount in Column 14 from FF1 112.20c, amounts in columns 3-13 from SCE internal records. </t>
  </si>
  <si>
    <t xml:space="preserve">3) Amount in Column 2 from FF1 112.21d, amount in Column 14 from FF1 112.21c, amounts in columns 3-13 from SCE internal records. </t>
  </si>
  <si>
    <t>List associated securities, Face Amount, Issuance Date, Issuance Costs, Amortization Period, and Annual Amortization:</t>
  </si>
  <si>
    <t>Amortization</t>
  </si>
  <si>
    <t>Face</t>
  </si>
  <si>
    <t>Issuance</t>
  </si>
  <si>
    <t>Issue</t>
  </si>
  <si>
    <t>Date</t>
  </si>
  <si>
    <t>Costs</t>
  </si>
  <si>
    <t>(Years)</t>
  </si>
  <si>
    <t>Total Annual Amortization (sum of "Issues" listed above)</t>
  </si>
  <si>
    <t>List associated securities and event, Event Date, Amortization Amount, Amortization Period, and Annual Amortization:</t>
  </si>
  <si>
    <t>Event</t>
  </si>
  <si>
    <t>Issue/Event</t>
  </si>
  <si>
    <t>Total Annual Amortization (sum of "Issues/Events" listed above)</t>
  </si>
  <si>
    <t>DDSMS - Five Year</t>
  </si>
  <si>
    <t>Average of Line 5 and Line 10</t>
  </si>
  <si>
    <t>Account 254</t>
  </si>
  <si>
    <t>278.x Reference</t>
  </si>
  <si>
    <t>Account 182.3</t>
  </si>
  <si>
    <t>232.x Reference</t>
  </si>
  <si>
    <t>Enter FF1 Page 214 Line reference here when Line 4 is a non-zero amount:</t>
  </si>
  <si>
    <t>77a</t>
  </si>
  <si>
    <t>Negative of Line 77</t>
  </si>
  <si>
    <t>44a</t>
  </si>
  <si>
    <t>Workpaper:</t>
  </si>
  <si>
    <t>Workpaper for Line 23:</t>
  </si>
  <si>
    <t>Workpaper for Line 12:</t>
  </si>
  <si>
    <t>Workpapers for additional information:</t>
  </si>
  <si>
    <t xml:space="preserve">5) Only exclude if not already excluded in Schedule 20.  </t>
  </si>
  <si>
    <t>6) If appropriate, additional expenses may be excluded from the Wholesale Base TRR</t>
  </si>
  <si>
    <t>6) Any A&amp;G costs associated with wildfires other than the 2017/18 Wildfire/Mudslide Events shall be reflected in A&amp;G accounts on a cash basis during the</t>
  </si>
  <si>
    <t xml:space="preserve">year in which associated cash payments are made.  In the event an initial cost accrual is made in a year to one or more A&amp;G accounts 920-935, </t>
  </si>
  <si>
    <t>See Instruction 6</t>
  </si>
  <si>
    <t>2) No Unfunded Reserve shall be included in Schedule 34 associated with any wildfire other than the 2017/18 Wildfire/Mudslide Events.</t>
  </si>
  <si>
    <t>SCE shall exclude from A&amp;G cost recovery any amount not paid in cash during that year through an entry to Column 1, Lines 24-37 of the</t>
  </si>
  <si>
    <t>"Itemization of Exclusions" matrix to the account in which the initial expense accrual was made.  As cash payments related to the initial expense accrual are</t>
  </si>
  <si>
    <t xml:space="preserve">made in future years, SCE shall also include those expenses in A&amp;G cost recovery on a cash basis through an entry to the Itemization of Exclusions matrix. </t>
  </si>
  <si>
    <t>Associated costs for other wildfire events are reflected in Schedule 20 "A&amp;G" and recovered on a cash basis (see Instruction 6 of Schedule 20).</t>
  </si>
  <si>
    <t xml:space="preserve">4) Includes recorded Transmission Plant-In-Service additions, retirements, transfers and adjustments.  Monthly differences from previous matrix. </t>
  </si>
  <si>
    <t xml:space="preserve">6) Monthly differences from previous matrix.  </t>
  </si>
  <si>
    <t>3) Reconciles to BOY and EOY FERC Form 1 (FF1 207, Lines 48-56 , Column g).  Workpaper:</t>
  </si>
  <si>
    <t>Amort of Debt Issuance Cost</t>
  </si>
  <si>
    <t>Executive Incentive Comp</t>
  </si>
  <si>
    <t>Bond Discount Amort</t>
  </si>
  <si>
    <t>Ins - Inj/Damages Prov</t>
  </si>
  <si>
    <t>Accrued Vacation</t>
  </si>
  <si>
    <t>Amortization of Debt Expense</t>
  </si>
  <si>
    <t>Pension &amp; PBOP</t>
  </si>
  <si>
    <t>EMS</t>
  </si>
  <si>
    <t>Refunding &amp; Retirement of Debt</t>
  </si>
  <si>
    <t>Health Care - IBNR</t>
  </si>
  <si>
    <t>Injuries and Damages - See Note 1 and Note 2</t>
  </si>
  <si>
    <t>i) Mesa</t>
  </si>
  <si>
    <t>j) Alberhill</t>
  </si>
  <si>
    <t>(Col 1)</t>
  </si>
  <si>
    <t>(Col 2)</t>
  </si>
  <si>
    <t>(Col 3)</t>
  </si>
  <si>
    <t>(Col 4)</t>
  </si>
  <si>
    <t>(Col 5)</t>
  </si>
  <si>
    <t>(Col 6)</t>
  </si>
  <si>
    <t>(Col 7)</t>
  </si>
  <si>
    <t>(Col 8)</t>
  </si>
  <si>
    <t>(Col 9)</t>
  </si>
  <si>
    <t>(Col 10)</t>
  </si>
  <si>
    <t>(Col 11)</t>
  </si>
  <si>
    <t xml:space="preserve"> = (C2) thru (C7)</t>
  </si>
  <si>
    <t>9-ADIT-3  (C8)</t>
  </si>
  <si>
    <t>= (C8) + (C9)</t>
  </si>
  <si>
    <t>`</t>
  </si>
  <si>
    <t>Beginning Deficient Def. Taxes - FERC Acct 182.3</t>
  </si>
  <si>
    <t>Beginning (Excess) Def. Taxes - FERC Acct 254</t>
  </si>
  <si>
    <t>Other Deficient ADIT Adjustments to FERC Acct 182.3</t>
  </si>
  <si>
    <t>Other Excess ADIT Adjustments to FERC Acct 254</t>
  </si>
  <si>
    <t>EDIT Amortization to FERC Acct 410.1</t>
  </si>
  <si>
    <t>EDIT Amortization to FERC Acct 411.1</t>
  </si>
  <si>
    <t>Net (Excess) Deficient Def. Taxes at Current Tax Rate</t>
  </si>
  <si>
    <t>Adjustment for New Tax Rate to FERC Acct 254/182.3</t>
  </si>
  <si>
    <t>Ending Deficient Def. Taxes - FERC Acct 182.3</t>
  </si>
  <si>
    <t>Ending (Excess) Def. Taxes - FERC Acct 254</t>
  </si>
  <si>
    <t>Protected - Property Related - (Note 1)</t>
  </si>
  <si>
    <t>Method/Life</t>
  </si>
  <si>
    <t>CPI</t>
  </si>
  <si>
    <t>FERC S Georgia - Norm</t>
  </si>
  <si>
    <t>Federal NOL</t>
  </si>
  <si>
    <t>50</t>
  </si>
  <si>
    <t>Total Protected - Property Related:</t>
  </si>
  <si>
    <t>Unprotected - Property Related - (Note 2)</t>
  </si>
  <si>
    <t>Mixed Service Costs</t>
  </si>
  <si>
    <t>AFUDC Debt</t>
  </si>
  <si>
    <t>Tax Repair Deduction</t>
  </si>
  <si>
    <t>Capitalized Software Deduction</t>
  </si>
  <si>
    <t xml:space="preserve">Other Historical Basis Differences </t>
  </si>
  <si>
    <t>Federal Benefit of State Taxes</t>
  </si>
  <si>
    <t>150</t>
  </si>
  <si>
    <t>Total Unprotected - Property Related:</t>
  </si>
  <si>
    <t>200</t>
  </si>
  <si>
    <t>Cost of Removal - Book Accrual - (Note 3)</t>
  </si>
  <si>
    <t>250</t>
  </si>
  <si>
    <t>Total Property Related  (= L50+L150+L200)</t>
  </si>
  <si>
    <t>300</t>
  </si>
  <si>
    <t>Unprotected - Non-Property Related - (Note 4)</t>
  </si>
  <si>
    <t>Executive Incentive Plan ST</t>
  </si>
  <si>
    <t>Executive Incentive Plan LT</t>
  </si>
  <si>
    <t>PBOP 401H Amortization</t>
  </si>
  <si>
    <t>Ad Valorem Lien Date Adj</t>
  </si>
  <si>
    <t>350</t>
  </si>
  <si>
    <t>Total Non-Property Related</t>
  </si>
  <si>
    <t>Grand Total   (= L 250 + L 350)</t>
  </si>
  <si>
    <t>Total Net Amounts</t>
  </si>
  <si>
    <t>1) Method/Life and Federal NOL are amortized into rates under average rate assumption method over remaining book life, and SGA is amortized over remaining book life under straight-line method.</t>
  </si>
  <si>
    <t>2) Amortized into rates as follows (number of years of amortization, and beginning year of amortization).</t>
  </si>
  <si>
    <t>Amortization Period:</t>
  </si>
  <si>
    <t>Beginning Year:</t>
  </si>
  <si>
    <t>3) Amortization subject to pending SCE private letter ruling request and/or IRS guidance developed from IRS Notice 2019-33.</t>
  </si>
  <si>
    <t>4) Amortized into rates as follows (number of years of amortization, and beginning year of amortization).</t>
  </si>
  <si>
    <t>5) Add additional lines if necessary to support amounts (at Lines 6, 107, and 315, or more if necessary).</t>
  </si>
  <si>
    <t>(Excess)/Deficient Deferred Income Taxes - FERC Order 864 Worksheet -- Tax Rate Change</t>
  </si>
  <si>
    <t>New Tax Rate?</t>
  </si>
  <si>
    <t>New Rate:</t>
  </si>
  <si>
    <t>New Tax Rate Adjustment Calculation - Note 5</t>
  </si>
  <si>
    <t>(C3)xNew Rate</t>
  </si>
  <si>
    <t>= (C4) - (C5)</t>
  </si>
  <si>
    <t>9-ADIT-2  (C8)</t>
  </si>
  <si>
    <t>= (C6) - (C7)</t>
  </si>
  <si>
    <t>FERC Acct</t>
  </si>
  <si>
    <t>Accumulated Book-to-Tax Adjustments</t>
  </si>
  <si>
    <t>Accumulated DIT &amp; EDIT Balances</t>
  </si>
  <si>
    <t>Accumulated DIT Balance at New Tax Rate</t>
  </si>
  <si>
    <t>(Excess) Deficient Def. Taxes at New Tax Rate</t>
  </si>
  <si>
    <t>NET (Excess) Deficient Def. Taxes at Prior Tax Rate</t>
  </si>
  <si>
    <t>Adjustment for New Tax Rate</t>
  </si>
  <si>
    <t>Unprotected - Property Related</t>
  </si>
  <si>
    <t xml:space="preserve">Cost of Removal - Book Accrual </t>
  </si>
  <si>
    <t>Total Property Related  (= L50 + L150 + L200)</t>
  </si>
  <si>
    <t xml:space="preserve">Unprotected - Non-Property Related </t>
  </si>
  <si>
    <t xml:space="preserve">Total Non-Property Related </t>
  </si>
  <si>
    <r>
      <rPr>
        <b/>
        <sz val="10"/>
        <color theme="1"/>
        <rFont val="Arial"/>
        <family val="2"/>
      </rPr>
      <t xml:space="preserve">1) Populate this Schedule with inputs </t>
    </r>
    <r>
      <rPr>
        <b/>
        <u val="singleAccounting"/>
        <sz val="10"/>
        <color theme="1"/>
        <rFont val="Arial"/>
        <family val="2"/>
      </rPr>
      <t>only</t>
    </r>
    <r>
      <rPr>
        <b/>
        <sz val="10"/>
        <color theme="1"/>
        <rFont val="Arial"/>
        <family val="2"/>
      </rPr>
      <t xml:space="preserve"> in the event of a change in the Tax Rate from the previous year</t>
    </r>
    <r>
      <rPr>
        <sz val="10"/>
        <color theme="1"/>
        <rFont val="Arial"/>
        <family val="2"/>
      </rPr>
      <t>.</t>
    </r>
  </si>
  <si>
    <t>2) If no change in Tax Rate, enter "No" at top of Schedule (New Tax Rate Yes/No)</t>
  </si>
  <si>
    <t xml:space="preserve">Protected - Property Related </t>
  </si>
  <si>
    <t>(Excess)/Deficient Deferred Income Taxes - FERC Order 864 Worksheet</t>
  </si>
  <si>
    <t>Accumulated Deferred Income Taxes and Net (Excess)/Deficient Deferred Taxes</t>
  </si>
  <si>
    <t>1) Summary of Accumulated Deferred Income Taxes and Net (Excess)/Deficient Deferred Taxes</t>
  </si>
  <si>
    <t>a) End of Year Accumulated Deferred Income Taxes and Net (Excess)/Deficient Deferred Taxes</t>
  </si>
  <si>
    <t>c) Average of Beginning and End of Year Accumulated Deferred Income Taxes and Net (Excess)/Deficient Deferred Taxes</t>
  </si>
  <si>
    <t>b) Beginning of Year Accumulated Deferred Income Taxes and Net (Excess)/Deficient Deferred Taxes</t>
  </si>
  <si>
    <t>and Net (Excess)/Deficient Deferred Taxes</t>
  </si>
  <si>
    <t>BOY/EOY Average Balance:</t>
  </si>
  <si>
    <t>Net (Excess)/Deficient Deferred Tax Liability/Asset</t>
  </si>
  <si>
    <t>Amortization of Net (Excess)/Deficient Deferred Tax Liability Asset</t>
  </si>
  <si>
    <t>Accum Net ADIT (Liab)/Asset and Net (Excess)/Deficient ADIT Amounts</t>
  </si>
  <si>
    <t>Any other Base Transmission Revenue or refunds is included in "Other".</t>
  </si>
  <si>
    <t>10bb</t>
  </si>
  <si>
    <t>10cc</t>
  </si>
  <si>
    <t>Joint Pole - Tarriffed - PA Inspect</t>
  </si>
  <si>
    <t>Joint Pole - Non-Tarriff PA Inspect</t>
  </si>
  <si>
    <t>Gas Sales - ERRA</t>
  </si>
  <si>
    <t>Miscellaneous Electric Revenue - ERRA</t>
  </si>
  <si>
    <t>12fff</t>
  </si>
  <si>
    <t>12ggg</t>
  </si>
  <si>
    <t>15u</t>
  </si>
  <si>
    <t>RSR - Non-PTO's - RSBA</t>
  </si>
  <si>
    <t>15v</t>
  </si>
  <si>
    <t>Transmission Sales - ERRA</t>
  </si>
  <si>
    <t>4171022</t>
  </si>
  <si>
    <t>24p</t>
  </si>
  <si>
    <t>ECS - Interstate End User Tax Exempt</t>
  </si>
  <si>
    <t>24q</t>
  </si>
  <si>
    <t>ECS- EU USAC E-Rate</t>
  </si>
  <si>
    <t>3) True Up Adjustment</t>
  </si>
  <si>
    <t>4) Final True Up Adjustment</t>
  </si>
  <si>
    <t>7) Calculation of change in Non-Incentive ISO Plant:</t>
  </si>
  <si>
    <t>8) Other ISO Transmission Activity without Incentive Plant Activity (See Note 12):</t>
  </si>
  <si>
    <t>ELM</t>
  </si>
  <si>
    <t>Series Caps</t>
  </si>
  <si>
    <t>add additional projects below this line (See Instruction 3)</t>
  </si>
  <si>
    <t>2) Enter forecast project specific values on lines 55-79, 81-105, 107-131, 133-157, 159-183, 185-209, 211-235, 237-261, 263-287, 289-313, 315-339 ...</t>
  </si>
  <si>
    <t>4r</t>
  </si>
  <si>
    <t>4s</t>
  </si>
  <si>
    <t>4184515</t>
  </si>
  <si>
    <t>4186927</t>
  </si>
  <si>
    <t>AR Service Guarantee</t>
  </si>
  <si>
    <t>Preferred Stock Amount -- Account 204 (Note 4):</t>
  </si>
  <si>
    <t xml:space="preserve">Unamortized Issuance Costs (Note 5): enter negative </t>
  </si>
  <si>
    <t>Net Gain (Loss) From Purchase and Tender Offers Note 6):</t>
  </si>
  <si>
    <t>Total Proprietary Capital (Note 7):</t>
  </si>
  <si>
    <t>Unappropriated Undist. Sub. Earnings -- Acct. 216.1 (Note 8): enter - of FF1</t>
  </si>
  <si>
    <t>Accumulated Other Comprehensive Loss -- Account 219 (Note 9): enter - of FF1</t>
  </si>
  <si>
    <t xml:space="preserve">4) Amount in Column 2 from FF1 112.3d, amount in Column 14 from FF1 112.3c, amounts in columns 3-13 from SCE internal records. </t>
  </si>
  <si>
    <t>5) Amounts in columns 2-14 are from SCE internal records.</t>
  </si>
  <si>
    <t>6) Amounts in columns 2-14 are from SCE internal records.</t>
  </si>
  <si>
    <t xml:space="preserve">7) Amount in Column 2 from FF1 112.16d, amount in Column 14 from FF1 112.16c, amounts in columns 3-13 from SCE internal records. </t>
  </si>
  <si>
    <t xml:space="preserve">8) Amount in Column 2 from FF1 112.12d (opposite sign), amount in Column 14 from FF1 112.12c (opposite sign), amounts in columns 3-13 from SCE internal records. </t>
  </si>
  <si>
    <t>9) Amount in Column 2 from FF1 112.15d (opposite sign), amount in Column 14 from FF1 112.15c (opposite sign), amounts in columns 3-13 from SCE internal records.</t>
  </si>
  <si>
    <t>2) Update Notes 5 and 6 as necessary.</t>
  </si>
  <si>
    <t>1) Total annual amortization associated with events listed in Note 6 on 5-ROR-2.</t>
  </si>
  <si>
    <t>2) Total annual amortization associated with preferred equity issues listed in Note 5 on 5-ROR-2.</t>
  </si>
  <si>
    <t>Recorded GWh (Average)</t>
  </si>
  <si>
    <t>Negative of 9-ADIT-2, Line 500, Column 7</t>
  </si>
  <si>
    <t>Does not include any project-specific ROE adders.  See Schedule 15 at Lines 31-39.</t>
  </si>
  <si>
    <t>(Line 77).  Applicable pursuant to settlement under ER19-1553.</t>
  </si>
  <si>
    <t>3l) Project:</t>
  </si>
  <si>
    <t>2) Sum of project specific values from lines 55-79, 81-105, 107-131, 133-157, 159-183, 185-209, 211-235, 237-261, 263-287, 289-313, 315-339, …</t>
  </si>
  <si>
    <t>WP Schedule 3 One Time Adjustment - Prior Period</t>
  </si>
  <si>
    <t>WP Schedule 6&amp;8</t>
  </si>
  <si>
    <t>WP Schedule 6 Prior Year Corp OH Exp</t>
  </si>
  <si>
    <t>Dec 2019</t>
  </si>
  <si>
    <t>Jan 2020</t>
  </si>
  <si>
    <t>Feb 2020</t>
  </si>
  <si>
    <t>Mar 2020</t>
  </si>
  <si>
    <t>Apr 2020</t>
  </si>
  <si>
    <t>May 2020</t>
  </si>
  <si>
    <t>Jun 2020</t>
  </si>
  <si>
    <t>Jul 2020</t>
  </si>
  <si>
    <t>Aug 2020</t>
  </si>
  <si>
    <t>Sep 2020</t>
  </si>
  <si>
    <t>Oct 2020</t>
  </si>
  <si>
    <t>Nov 2020</t>
  </si>
  <si>
    <t>Dec 2020</t>
  </si>
  <si>
    <t>WP Schedule 7</t>
  </si>
  <si>
    <t>WP Schedule 10</t>
  </si>
  <si>
    <t>Riverside</t>
  </si>
  <si>
    <t>WP Schedules 10 &amp; 16</t>
  </si>
  <si>
    <t>Devers to Colorado River</t>
  </si>
  <si>
    <t>South of Kramer</t>
  </si>
  <si>
    <t>West of Devers</t>
  </si>
  <si>
    <t>Whirlwind Substation Expansion</t>
  </si>
  <si>
    <t>Colorado River Substation Expansion</t>
  </si>
  <si>
    <t>ELM Series Caps</t>
  </si>
  <si>
    <t>WP Schedule 14 Incentive Plant</t>
  </si>
  <si>
    <t>11) Riverside</t>
  </si>
  <si>
    <t>l) Riverside</t>
  </si>
  <si>
    <t>m)</t>
  </si>
  <si>
    <t>A) Rancho Vista Incentives Received:</t>
  </si>
  <si>
    <t>Cite:</t>
  </si>
  <si>
    <t>CWIP:</t>
  </si>
  <si>
    <t>121 FERC ¶ 61,168 at P 57</t>
  </si>
  <si>
    <t>ROE adder:</t>
  </si>
  <si>
    <t>121 FERC ¶ 61,168 at P 129</t>
  </si>
  <si>
    <t>100% Abandoned Plant:</t>
  </si>
  <si>
    <t>-------</t>
  </si>
  <si>
    <t>B) Tehachapi Incentives Received:</t>
  </si>
  <si>
    <t>121 FERC ¶ 61,168 at P 71</t>
  </si>
  <si>
    <t>C) Devers to  Colorado River Incentives Received:</t>
  </si>
  <si>
    <t>121 FERC ¶ 61,168 at 129; modified by ER10-160 Settlement, see</t>
  </si>
  <si>
    <t xml:space="preserve"> P 7 and P 11</t>
  </si>
  <si>
    <t>D) Devers to  Palo Verde 2 Incentives Received:</t>
  </si>
  <si>
    <t>121 FERC ¶ 61,168 at P 57; modified by ER10-160 Settlement, see</t>
  </si>
  <si>
    <t>P2 and P3</t>
  </si>
  <si>
    <t xml:space="preserve">121 FERC ¶ 61,168 at P 129; modified by ER10-160 Settlement, see </t>
  </si>
  <si>
    <t>P 3 and P 7</t>
  </si>
  <si>
    <t>E) South of Kramer Incentives Received:</t>
  </si>
  <si>
    <t>134 FERC ¶ 61,181 at P 79</t>
  </si>
  <si>
    <t>F) West of Devers Incentives Received:</t>
  </si>
  <si>
    <t>G) Red Bluff Incentives Received:</t>
  </si>
  <si>
    <t>133 FERC ¶ 61,107 at P 76</t>
  </si>
  <si>
    <t>133 FERC ¶ 61,107 at P 102</t>
  </si>
  <si>
    <t>133 FERC ¶ 61,107 at P 88</t>
  </si>
  <si>
    <t>H) Whirlwind Substation Expansion Incentives Received:</t>
  </si>
  <si>
    <t>I) Colorado River Substation Expansion Incentives Received:</t>
  </si>
  <si>
    <t>J) Mesa</t>
  </si>
  <si>
    <t>161 FERC ¶ 61,107 at P35</t>
  </si>
  <si>
    <t>K) Alberhill</t>
  </si>
  <si>
    <t>161 FERC ¶ 61,107 at P 21</t>
  </si>
  <si>
    <t>L) ELM Series Caps</t>
  </si>
  <si>
    <t>M) Riverside</t>
  </si>
  <si>
    <t>172 FERC ¶ 61,241 at P 31</t>
  </si>
  <si>
    <t>172 FERC ¶ 61,241 at P 26</t>
  </si>
  <si>
    <t>N) Future Incentive Projects:</t>
  </si>
  <si>
    <t>WP Schedule 19 O&amp;M Cost Detail</t>
  </si>
  <si>
    <t>4t</t>
  </si>
  <si>
    <t>4184533</t>
  </si>
  <si>
    <t>Rule 21 Fast Track Application Fee</t>
  </si>
  <si>
    <t>12hhh</t>
  </si>
  <si>
    <t>4186119</t>
  </si>
  <si>
    <t>PUCRF Rate Adjustment - Electric</t>
  </si>
  <si>
    <t>12iii</t>
  </si>
  <si>
    <t>4186188</t>
  </si>
  <si>
    <t>Utility Earnings - Mono Power Co</t>
  </si>
  <si>
    <t>15w</t>
  </si>
  <si>
    <t>4171032</t>
  </si>
  <si>
    <t>Transmission Sales - PABA</t>
  </si>
  <si>
    <t>24r</t>
  </si>
  <si>
    <t>ECS - DF EU Interstate</t>
  </si>
  <si>
    <t>24s</t>
  </si>
  <si>
    <t>ECS - DF EU Intrastate</t>
  </si>
  <si>
    <t>24t</t>
  </si>
  <si>
    <t>ECS - DF EU Interstate USAC E-Rate</t>
  </si>
  <si>
    <t>24u</t>
  </si>
  <si>
    <t>ECS - DF EU Interstate CTF</t>
  </si>
  <si>
    <t>24v</t>
  </si>
  <si>
    <t>ECS-Fin Chrg</t>
  </si>
  <si>
    <t>24w</t>
  </si>
  <si>
    <t>ECS - Pass Pole Attachments</t>
  </si>
  <si>
    <t>24x</t>
  </si>
  <si>
    <t>ECS - LIT EU Interstate CTF</t>
  </si>
  <si>
    <t>24y</t>
  </si>
  <si>
    <t>ECS - LIT EU Interstate USAC E-Rate</t>
  </si>
  <si>
    <t>24z</t>
  </si>
  <si>
    <t xml:space="preserve">WP Schedule 22 </t>
  </si>
  <si>
    <t>Riverside:</t>
  </si>
  <si>
    <t>WP Schedule 25 Wholesale Difference</t>
  </si>
  <si>
    <t>Internal Revenue Code § 11.b</t>
  </si>
  <si>
    <t>California Rev. &amp; Tax. Cd. § 23151</t>
  </si>
  <si>
    <t>WP Schedule 27 ISO Allocators</t>
  </si>
  <si>
    <t>Present</t>
  </si>
  <si>
    <t>CPUC D. 19-05-20</t>
  </si>
  <si>
    <t>2018 – 2020</t>
  </si>
  <si>
    <t>TO2021, Docket No. ER19-1553</t>
  </si>
  <si>
    <t>Settlement of TO2019A (ER19-1553)</t>
  </si>
  <si>
    <t>169 FERC ¶ 61,177</t>
  </si>
  <si>
    <t>FF 278.6, Line 8f</t>
  </si>
  <si>
    <t>FF 232.11, Line 3f</t>
  </si>
  <si>
    <t>WP Schedule 13 Working Capital</t>
  </si>
  <si>
    <t>FF1 278.x and 232.x, see reference to right and Note 1</t>
  </si>
  <si>
    <t xml:space="preserve">1) The net excess/deficiency is derived from the net difference arising in the asset Account 182.3 offset by the balance in liability Account 254.          </t>
  </si>
  <si>
    <t>Docket No. ER21-1521</t>
  </si>
  <si>
    <t>Line 17, column 3</t>
  </si>
  <si>
    <t xml:space="preserve">Alberhill </t>
  </si>
  <si>
    <t>Sub</t>
  </si>
  <si>
    <t xml:space="preserve"> SCE records</t>
  </si>
  <si>
    <t>Docket No. ER19-1553</t>
  </si>
  <si>
    <t>Executive Incentive Plan</t>
  </si>
  <si>
    <t>Wildfire Reserve - Pre-2019</t>
  </si>
  <si>
    <t>Wildfire Reserve - Post 2018</t>
  </si>
  <si>
    <t>Decommissioning</t>
  </si>
  <si>
    <t>Balancing Accounts</t>
  </si>
  <si>
    <t>Property/Non-ISO</t>
  </si>
  <si>
    <t>Regulatory Assets/Liab</t>
  </si>
  <si>
    <t>Temp - Other/Non-ISO</t>
  </si>
  <si>
    <t>Net Operating Losses DTA</t>
  </si>
  <si>
    <t>C: Relates primarily to Regulated Electric Property</t>
  </si>
  <si>
    <t>C: Relates to employees in all functions</t>
  </si>
  <si>
    <t>Follows tax treatment</t>
  </si>
  <si>
    <t>Relates to Nuclear Decommissioning Costs</t>
  </si>
  <si>
    <t>Relates Entirely to CPUC Balancing Account Recovery</t>
  </si>
  <si>
    <t>Non-Rate Base Property</t>
  </si>
  <si>
    <t xml:space="preserve">Relates to Nonrecovery Balancing Account  </t>
  </si>
  <si>
    <t>Not Component of Rate Base</t>
  </si>
  <si>
    <t xml:space="preserve">NOL/DTA </t>
  </si>
  <si>
    <t>Temp - Other/Non-ISO - Gas</t>
  </si>
  <si>
    <t>Other Non-ISO Related Costs</t>
  </si>
  <si>
    <t>Temp - Other/Non-ISO - Other</t>
  </si>
  <si>
    <t>Property/Non-ISO - Gas</t>
  </si>
  <si>
    <t>Property/Non-ISO - Other</t>
  </si>
  <si>
    <t xml:space="preserve">Fully Normalized Deferred Tax </t>
  </si>
  <si>
    <t>Property-Related FERC Costs</t>
  </si>
  <si>
    <t>Property-Related CPUC Costs</t>
  </si>
  <si>
    <t>Capitalized software</t>
  </si>
  <si>
    <t>Property-Related CPUC Costs - Cap Software</t>
  </si>
  <si>
    <t>Audit Rollforward</t>
  </si>
  <si>
    <t xml:space="preserve">Property-Related CPUC Costs - Audit </t>
  </si>
  <si>
    <t>Gas Related Costs</t>
  </si>
  <si>
    <t>Ad Valorem Lien Date Adj-Electric</t>
  </si>
  <si>
    <t>Relates Entirely to CPUC Regulated Property</t>
  </si>
  <si>
    <t>Relates Entirely to FERC Regulated Electric Property</t>
  </si>
  <si>
    <t>C: Relates to Regulated Electric Property</t>
  </si>
  <si>
    <t xml:space="preserve"> -   </t>
  </si>
  <si>
    <t>WP Schedule 9-EDIT and Amortization</t>
  </si>
  <si>
    <t>WP Schedule 34 Unfunded Reserve and Wildfire</t>
  </si>
  <si>
    <t>Schedule 28 - Workpaper Line 10</t>
  </si>
  <si>
    <t>Schedule 28 - Workpaper Line 11</t>
  </si>
  <si>
    <t>Series E 6.250%</t>
  </si>
  <si>
    <t>Series G 5.1%</t>
  </si>
  <si>
    <t>Series H 5.75%</t>
  </si>
  <si>
    <t>Series J 5.375%</t>
  </si>
  <si>
    <t>Series K 5.45%</t>
  </si>
  <si>
    <t>Series L 5.00%</t>
  </si>
  <si>
    <t>12.000% Preferred, redemption</t>
  </si>
  <si>
    <t>Series B</t>
  </si>
  <si>
    <t>Series C</t>
  </si>
  <si>
    <t>Series D</t>
  </si>
  <si>
    <t>Series F</t>
  </si>
  <si>
    <t>4.08%, 4.24%, 4.32%, and 4.78% Preferred Stock Series</t>
  </si>
  <si>
    <t>Redeemed by Series G</t>
  </si>
  <si>
    <t>Redeemed by Series K</t>
  </si>
  <si>
    <t>WP Schedule 5 ROR-2</t>
  </si>
  <si>
    <t>4u</t>
  </si>
  <si>
    <t>WDAT Pre Application Fee</t>
  </si>
  <si>
    <t>4v</t>
  </si>
  <si>
    <t>Rule 21 Pre Application Fee</t>
  </si>
  <si>
    <t>4w</t>
  </si>
  <si>
    <t>WDAT Fast Track Application Fee</t>
  </si>
  <si>
    <t>4x</t>
  </si>
  <si>
    <t>Rule 21 Supplemental Rewview Fee</t>
  </si>
  <si>
    <t>APS Palo Verde Water Sales</t>
  </si>
  <si>
    <t>Sales of Water &amp; Water Power - San Joaquin</t>
  </si>
  <si>
    <t>10dd</t>
  </si>
  <si>
    <t>Non-606 Def Operating Land &amp; Fac Rent Rev-Pass</t>
  </si>
  <si>
    <t>10ee</t>
  </si>
  <si>
    <t>Nonoperating Land &amp; Facilities Rent Expense</t>
  </si>
  <si>
    <t>CPUC D. 19-05-020</t>
  </si>
  <si>
    <t>12jjj</t>
  </si>
  <si>
    <t>Energy Reltd Srvcs-Tehachapi Storage Project (TSP)</t>
  </si>
  <si>
    <t>7a</t>
  </si>
  <si>
    <t>7b</t>
  </si>
  <si>
    <t>WP Schedule 20</t>
  </si>
  <si>
    <t>Domestic</t>
  </si>
  <si>
    <t>TOU-GS-1</t>
  </si>
  <si>
    <t xml:space="preserve">  TOU-GS-1 continued</t>
  </si>
  <si>
    <t>TC-1</t>
  </si>
  <si>
    <t>TOU-GS-2</t>
  </si>
  <si>
    <t>TOU-GS-3</t>
  </si>
  <si>
    <t>TOU-8-SEC</t>
  </si>
  <si>
    <t>TOU-8-PRI</t>
  </si>
  <si>
    <t>TOU-8-SUB</t>
  </si>
  <si>
    <t>TOU-8-Standby-SEC</t>
  </si>
  <si>
    <t>TOU-8-Standby-PRI</t>
  </si>
  <si>
    <t>TOU-8-Standby-SUB</t>
  </si>
  <si>
    <t>TOU-PA-2</t>
  </si>
  <si>
    <t>TOU-PA-3</t>
  </si>
  <si>
    <t>Street Lighting</t>
  </si>
  <si>
    <t>Includes Schedules D, D-CARE, D-FERA,TOU-D-T, TOU-EV-1, TOU-D-TEV, DE, D-SDP, D-SDP-O, DM, DMS-1, DMS-2, DMS-3, and DS.</t>
  </si>
  <si>
    <t>Domestic (con't)</t>
  </si>
  <si>
    <t>D (Option CPP), D-CARE (Option CPP), TOU-D-Option A, TOU-D-Option B, TOU-D-3, TOU-D-T-CPP, TOU-D (Options 4-9 PM, 5-8 PM, PRIME, and CPP)</t>
  </si>
  <si>
    <t>Includes Schedules GS-1, TOU-EV-3, TOU-EV-7 (Options D and E), and TOU-GS-1 (Options E, ES, D, LG, C, A, B, RTP, CPP, Standby, GS-APS, GS-APS-E, and ME).</t>
  </si>
  <si>
    <t>Includes Schedules TC-1, Wi-Fi-1, and WTR.</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</si>
  <si>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</si>
  <si>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</si>
  <si>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</si>
  <si>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</si>
  <si>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</si>
  <si>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</si>
  <si>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</si>
  <si>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</si>
  <si>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Redemption of 4.08%, 4.24%, 4.32%  and 4.78% in the amount of $120,000,000 in August 2020</t>
  </si>
  <si>
    <t>Series G - Pro Rata Issuance Costs</t>
  </si>
  <si>
    <t>Partial redemption of $180,000,000 in September 2020</t>
  </si>
  <si>
    <t xml:space="preserve">Pro rata portion of unamortized issuance costs associated with redeemed portion to be amortized </t>
  </si>
  <si>
    <t>as part of Net Gain (Loss) From Purchase and Tender Offers.</t>
  </si>
  <si>
    <t>Updated 4/11/18 from 120 mos to 360 mos because this is a fixed security.</t>
  </si>
  <si>
    <t>WP Schedule 28 FFU</t>
  </si>
  <si>
    <t>WP Schedule 1</t>
  </si>
  <si>
    <t>WP Schedule 32 Load &amp; Pump Load</t>
  </si>
  <si>
    <t xml:space="preserve">TO2022 Annual Update </t>
  </si>
  <si>
    <t xml:space="preserve">2022 TRBAA </t>
  </si>
  <si>
    <t xml:space="preserve"> ER22-308</t>
  </si>
  <si>
    <t xml:space="preserve">WP Schedule 3 FERC Audit Refund AFUDC_F3R12 and F3R13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</si>
</sst>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mm\ d\,\ yyyy"/>
    <numFmt numFmtId="208" formatCode="m/d/yy;@"/>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b/>
      <sz val="11"/>
      <name val="Calibri"/>
      <family val="2"/>
      <scheme val="minor"/>
    </font>
    <font>
      <sz val="10"/>
      <color theme="1"/>
      <name val="Calibri"/>
      <family val="2"/>
      <scheme val="minor"/>
    </font>
    <font>
      <b/>
      <i/>
      <sz val="10"/>
      <name val="Arial"/>
      <family val="2"/>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sz val="18"/>
      <name val="Arial"/>
      <family val="2"/>
    </font>
    <font>
      <b/>
      <sz val="22"/>
      <name val="Arial"/>
      <family val="2"/>
    </font>
    <font>
      <b/>
      <u/>
      <sz val="10"/>
      <color rgb="FFFF0000"/>
      <name val="Arial"/>
      <family val="2"/>
    </font>
    <font>
      <u/>
      <sz val="10"/>
      <color rgb="FFFF0000"/>
      <name val="Calibri"/>
      <family val="2"/>
      <scheme val="minor"/>
    </font>
    <font>
      <u/>
      <sz val="10"/>
      <color theme="1"/>
      <name val="Calibri"/>
      <family val="2"/>
      <scheme val="minor"/>
    </font>
    <font>
      <b/>
      <sz val="10"/>
      <name val="Calibri"/>
      <family val="2"/>
      <scheme val="minor"/>
    </font>
    <font>
      <b/>
      <u/>
      <sz val="10"/>
      <name val="Calibri"/>
      <family val="2"/>
      <scheme val="minor"/>
    </font>
    <font>
      <sz val="10"/>
      <name val="Arial"/>
      <family val="2"/>
    </font>
    <font>
      <b/>
      <u val="singleAccounting"/>
      <sz val="10"/>
      <color theme="1"/>
      <name val="Arial"/>
      <family val="2"/>
    </font>
    <font>
      <b/>
      <i/>
      <u/>
      <sz val="10"/>
      <color theme="1"/>
      <name val="Arial"/>
      <family val="2"/>
    </font>
    <font>
      <b/>
      <i/>
      <sz val="10"/>
      <color theme="1"/>
      <name val="Arial"/>
      <family val="2"/>
    </font>
    <font>
      <i/>
      <sz val="10"/>
      <color theme="1"/>
      <name val="Arial"/>
      <family val="2"/>
    </font>
    <font>
      <sz val="10"/>
      <color indexed="23"/>
      <name val="Times New Roman"/>
      <family val="1"/>
    </font>
    <font>
      <u/>
      <sz val="11"/>
      <color theme="1"/>
      <name val="Calibri"/>
      <family val="2"/>
      <scheme val="minor"/>
    </font>
  </fonts>
  <fills count="113">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s>
  <borders count="69">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53897">
    <xf numFmtId="0" fontId="0" fillId="0" borderId="0"/>
    <xf numFmtId="0" fontId="38" fillId="8" borderId="0" applyNumberFormat="0" applyBorder="0" applyAlignment="0" applyProtection="0"/>
    <xf numFmtId="0" fontId="38" fillId="9" borderId="0" applyNumberFormat="0" applyBorder="0" applyAlignment="0" applyProtection="0"/>
    <xf numFmtId="0" fontId="39" fillId="10"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9" fillId="1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9" fillId="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9" fillId="21"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24" fillId="0" borderId="0" applyFont="0" applyFill="0" applyBorder="0" applyAlignment="0" applyProtection="0"/>
    <xf numFmtId="44" fontId="21" fillId="0" borderId="0" applyFont="0" applyFill="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31" fillId="0" borderId="0"/>
    <xf numFmtId="9" fontId="21" fillId="0" borderId="0" applyFont="0" applyFill="0" applyBorder="0" applyAlignment="0" applyProtection="0"/>
    <xf numFmtId="9" fontId="44" fillId="0" borderId="0" applyFont="0" applyFill="0" applyBorder="0" applyAlignment="0" applyProtection="0"/>
    <xf numFmtId="9" fontId="24" fillId="0" borderId="0" applyFont="0" applyFill="0" applyBorder="0" applyAlignment="0" applyProtection="0"/>
    <xf numFmtId="4" fontId="43" fillId="25" borderId="1" applyNumberFormat="0" applyProtection="0">
      <alignment vertical="center"/>
    </xf>
    <xf numFmtId="4" fontId="45" fillId="25" borderId="1" applyNumberFormat="0" applyProtection="0">
      <alignment vertical="center"/>
    </xf>
    <xf numFmtId="4" fontId="43" fillId="25" borderId="1" applyNumberFormat="0" applyProtection="0">
      <alignment horizontal="left" vertical="center" indent="1"/>
    </xf>
    <xf numFmtId="0" fontId="43" fillId="25" borderId="1" applyNumberFormat="0" applyProtection="0">
      <alignment horizontal="left" vertical="top" indent="1"/>
    </xf>
    <xf numFmtId="4" fontId="43" fillId="27" borderId="0" applyNumberFormat="0" applyProtection="0">
      <alignment horizontal="left" vertical="center" indent="1"/>
    </xf>
    <xf numFmtId="4" fontId="41" fillId="2" borderId="1" applyNumberFormat="0" applyProtection="0">
      <alignment horizontal="right" vertical="center"/>
    </xf>
    <xf numFmtId="4" fontId="41" fillId="4" borderId="1" applyNumberFormat="0" applyProtection="0">
      <alignment horizontal="right" vertical="center"/>
    </xf>
    <xf numFmtId="4" fontId="41" fillId="11" borderId="1" applyNumberFormat="0" applyProtection="0">
      <alignment horizontal="right" vertical="center"/>
    </xf>
    <xf numFmtId="4" fontId="41" fillId="6" borderId="1" applyNumberFormat="0" applyProtection="0">
      <alignment horizontal="right" vertical="center"/>
    </xf>
    <xf numFmtId="4" fontId="41" fillId="7" borderId="1" applyNumberFormat="0" applyProtection="0">
      <alignment horizontal="right" vertical="center"/>
    </xf>
    <xf numFmtId="4" fontId="41" fillId="19" borderId="1" applyNumberFormat="0" applyProtection="0">
      <alignment horizontal="right" vertical="center"/>
    </xf>
    <xf numFmtId="4" fontId="41" fillId="15" borderId="1" applyNumberFormat="0" applyProtection="0">
      <alignment horizontal="right" vertical="center"/>
    </xf>
    <xf numFmtId="4" fontId="41" fillId="28" borderId="1" applyNumberFormat="0" applyProtection="0">
      <alignment horizontal="right" vertical="center"/>
    </xf>
    <xf numFmtId="4" fontId="41" fillId="5" borderId="1" applyNumberFormat="0" applyProtection="0">
      <alignment horizontal="right" vertical="center"/>
    </xf>
    <xf numFmtId="4" fontId="43" fillId="29" borderId="2" applyNumberFormat="0" applyProtection="0">
      <alignment horizontal="left" vertical="center" indent="1"/>
    </xf>
    <xf numFmtId="4" fontId="41" fillId="30" borderId="0" applyNumberFormat="0" applyProtection="0">
      <alignment horizontal="left" vertical="center" indent="1"/>
    </xf>
    <xf numFmtId="4" fontId="46" fillId="31" borderId="0" applyNumberFormat="0" applyProtection="0">
      <alignment horizontal="left" vertical="center" indent="1"/>
    </xf>
    <xf numFmtId="4" fontId="41" fillId="27" borderId="1" applyNumberFormat="0" applyProtection="0">
      <alignment horizontal="right" vertical="center"/>
    </xf>
    <xf numFmtId="4" fontId="41" fillId="30" borderId="0" applyNumberFormat="0" applyProtection="0">
      <alignment horizontal="left" vertical="center" indent="1"/>
    </xf>
    <xf numFmtId="4" fontId="41" fillId="27" borderId="0" applyNumberFormat="0" applyProtection="0">
      <alignment horizontal="left" vertical="center" indent="1"/>
    </xf>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4" fontId="41" fillId="26" borderId="1" applyNumberFormat="0" applyProtection="0">
      <alignment vertical="center"/>
    </xf>
    <xf numFmtId="4" fontId="47" fillId="26" borderId="1" applyNumberFormat="0" applyProtection="0">
      <alignment vertical="center"/>
    </xf>
    <xf numFmtId="4" fontId="41" fillId="26" borderId="1" applyNumberFormat="0" applyProtection="0">
      <alignment horizontal="left" vertical="center" indent="1"/>
    </xf>
    <xf numFmtId="0" fontId="41" fillId="26" borderId="1" applyNumberFormat="0" applyProtection="0">
      <alignment horizontal="left" vertical="top" indent="1"/>
    </xf>
    <xf numFmtId="4" fontId="41" fillId="30" borderId="1" applyNumberFormat="0" applyProtection="0">
      <alignment horizontal="right" vertical="center"/>
    </xf>
    <xf numFmtId="4" fontId="47" fillId="30" borderId="1" applyNumberFormat="0" applyProtection="0">
      <alignment horizontal="right" vertical="center"/>
    </xf>
    <xf numFmtId="4" fontId="41" fillId="27" borderId="1" applyNumberFormat="0" applyProtection="0">
      <alignment horizontal="left" vertical="center" indent="1"/>
    </xf>
    <xf numFmtId="0" fontId="41" fillId="27" borderId="1" applyNumberFormat="0" applyProtection="0">
      <alignment horizontal="left" vertical="top" indent="1"/>
    </xf>
    <xf numFmtId="4" fontId="48" fillId="33" borderId="0" applyNumberFormat="0" applyProtection="0">
      <alignment horizontal="left" vertical="center" indent="1"/>
    </xf>
    <xf numFmtId="4" fontId="42" fillId="30" borderId="1" applyNumberFormat="0" applyProtection="0">
      <alignment horizontal="right" vertical="center"/>
    </xf>
    <xf numFmtId="0" fontId="49" fillId="0" borderId="0" applyNumberFormat="0" applyFill="0" applyBorder="0" applyAlignment="0" applyProtection="0"/>
    <xf numFmtId="0" fontId="21" fillId="0" borderId="0"/>
    <xf numFmtId="0" fontId="20" fillId="0" borderId="0"/>
    <xf numFmtId="0" fontId="20" fillId="0" borderId="0"/>
    <xf numFmtId="176" fontId="21" fillId="0" borderId="0" applyFont="0" applyFill="0" applyBorder="0" applyAlignment="0" applyProtection="0"/>
    <xf numFmtId="0" fontId="21" fillId="31" borderId="1" applyNumberFormat="0" applyProtection="0">
      <alignment horizontal="left" vertical="center" indent="1"/>
    </xf>
    <xf numFmtId="0" fontId="21" fillId="31" borderId="1" applyNumberFormat="0" applyProtection="0">
      <alignment horizontal="left" vertical="top" indent="1"/>
    </xf>
    <xf numFmtId="0" fontId="21" fillId="27" borderId="1" applyNumberFormat="0" applyProtection="0">
      <alignment horizontal="left" vertical="center" indent="1"/>
    </xf>
    <xf numFmtId="0" fontId="21" fillId="27" borderId="1" applyNumberFormat="0" applyProtection="0">
      <alignment horizontal="left" vertical="top" indent="1"/>
    </xf>
    <xf numFmtId="0" fontId="21" fillId="3" borderId="1" applyNumberFormat="0" applyProtection="0">
      <alignment horizontal="left" vertical="center" indent="1"/>
    </xf>
    <xf numFmtId="0" fontId="21" fillId="3" borderId="1" applyNumberFormat="0" applyProtection="0">
      <alignment horizontal="left" vertical="top" indent="1"/>
    </xf>
    <xf numFmtId="0" fontId="21" fillId="30" borderId="1" applyNumberFormat="0" applyProtection="0">
      <alignment horizontal="left" vertical="center" indent="1"/>
    </xf>
    <xf numFmtId="0" fontId="21" fillId="30" borderId="1" applyNumberFormat="0" applyProtection="0">
      <alignment horizontal="left" vertical="top" indent="1"/>
    </xf>
    <xf numFmtId="0" fontId="21" fillId="32" borderId="3" applyNumberFormat="0">
      <protection locked="0"/>
    </xf>
    <xf numFmtId="0" fontId="6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44" fillId="0" borderId="0"/>
    <xf numFmtId="0" fontId="44" fillId="0" borderId="0"/>
    <xf numFmtId="0" fontId="44" fillId="0" borderId="0"/>
    <xf numFmtId="0" fontId="44" fillId="0" borderId="0"/>
    <xf numFmtId="0" fontId="44" fillId="0" borderId="0"/>
    <xf numFmtId="43" fontId="54" fillId="0" borderId="0" applyFont="0" applyFill="0" applyBorder="0" applyAlignment="0" applyProtection="0"/>
    <xf numFmtId="9" fontId="21" fillId="0" borderId="0" applyFont="0" applyFill="0" applyBorder="0" applyAlignment="0" applyProtection="0"/>
    <xf numFmtId="0" fontId="21" fillId="0" borderId="0"/>
    <xf numFmtId="0" fontId="14" fillId="0" borderId="0"/>
    <xf numFmtId="0" fontId="14" fillId="0" borderId="0"/>
    <xf numFmtId="0" fontId="14"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72" fillId="0" borderId="0"/>
    <xf numFmtId="0" fontId="73" fillId="0" borderId="0"/>
    <xf numFmtId="0" fontId="21" fillId="0" borderId="0"/>
    <xf numFmtId="0" fontId="21" fillId="0" borderId="0"/>
    <xf numFmtId="0" fontId="9"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182" fontId="5" fillId="0" borderId="0"/>
    <xf numFmtId="43" fontId="38" fillId="0" borderId="0" applyFont="0" applyFill="0" applyBorder="0" applyAlignment="0" applyProtection="0"/>
    <xf numFmtId="0" fontId="89" fillId="0" borderId="0"/>
    <xf numFmtId="183" fontId="89" fillId="0" borderId="0"/>
    <xf numFmtId="184" fontId="89" fillId="0" borderId="0"/>
    <xf numFmtId="185" fontId="89" fillId="0" borderId="0"/>
    <xf numFmtId="183" fontId="89" fillId="0" borderId="0"/>
    <xf numFmtId="184" fontId="89" fillId="0" borderId="0"/>
    <xf numFmtId="184" fontId="89" fillId="0" borderId="0"/>
    <xf numFmtId="184" fontId="89" fillId="0" borderId="0"/>
    <xf numFmtId="0" fontId="89" fillId="0" borderId="0"/>
    <xf numFmtId="183" fontId="89" fillId="0" borderId="0"/>
    <xf numFmtId="184" fontId="89" fillId="0" borderId="0"/>
    <xf numFmtId="185" fontId="89" fillId="0" borderId="0"/>
    <xf numFmtId="183" fontId="89" fillId="0" borderId="0"/>
    <xf numFmtId="184" fontId="89" fillId="0" borderId="0"/>
    <xf numFmtId="184" fontId="89" fillId="0" borderId="0"/>
    <xf numFmtId="184" fontId="89" fillId="0" borderId="0"/>
    <xf numFmtId="183" fontId="90" fillId="0" borderId="0" applyNumberFormat="0" applyFill="0" applyBorder="0" applyAlignment="0" applyProtection="0">
      <alignment vertical="top"/>
    </xf>
    <xf numFmtId="184" fontId="90" fillId="0" borderId="0" applyNumberFormat="0" applyFill="0" applyBorder="0" applyAlignment="0" applyProtection="0">
      <alignment vertical="top"/>
    </xf>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21" fillId="0" borderId="0" applyNumberFormat="0" applyFill="0" applyBorder="0" applyAlignment="0" applyProtection="0"/>
    <xf numFmtId="183" fontId="21" fillId="0" borderId="0" applyNumberFormat="0" applyFill="0" applyBorder="0" applyAlignment="0" applyProtection="0"/>
    <xf numFmtId="184" fontId="21" fillId="0" borderId="0" applyNumberFormat="0" applyFill="0" applyBorder="0" applyAlignment="0" applyProtection="0"/>
    <xf numFmtId="184" fontId="21" fillId="0" borderId="0" applyNumberFormat="0" applyFill="0" applyBorder="0" applyAlignment="0" applyProtection="0"/>
    <xf numFmtId="183" fontId="92" fillId="0" borderId="0" applyNumberFormat="0" applyFill="0" applyBorder="0" applyAlignment="0" applyProtection="0">
      <alignment vertical="top"/>
    </xf>
    <xf numFmtId="184" fontId="92" fillId="0" borderId="0" applyNumberFormat="0" applyFill="0" applyBorder="0" applyAlignment="0" applyProtection="0">
      <alignment vertical="top"/>
    </xf>
    <xf numFmtId="183" fontId="93" fillId="0" borderId="29" applyBorder="0">
      <alignment horizontal="left"/>
    </xf>
    <xf numFmtId="184" fontId="93" fillId="0" borderId="29" applyBorder="0">
      <alignment horizontal="left"/>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0" fontId="38" fillId="70" borderId="0" applyNumberFormat="0" applyBorder="0" applyAlignment="0" applyProtection="0"/>
    <xf numFmtId="187" fontId="41" fillId="27" borderId="0" applyNumberFormat="0" applyBorder="0" applyAlignment="0" applyProtection="0"/>
    <xf numFmtId="184" fontId="41" fillId="27"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0"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8" fillId="70"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4" fontId="5" fillId="46" borderId="0" applyNumberFormat="0" applyBorder="0" applyAlignment="0" applyProtection="0"/>
    <xf numFmtId="182" fontId="5" fillId="46" borderId="0" applyNumberFormat="0" applyBorder="0" applyAlignment="0" applyProtection="0"/>
    <xf numFmtId="0" fontId="38" fillId="2" borderId="0" applyNumberFormat="0" applyBorder="0" applyAlignment="0" applyProtection="0"/>
    <xf numFmtId="187" fontId="41" fillId="4" borderId="0" applyNumberFormat="0" applyBorder="0" applyAlignment="0" applyProtection="0"/>
    <xf numFmtId="184" fontId="41" fillId="4"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0"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8" fillId="2"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5" fillId="50" borderId="0" applyNumberFormat="0" applyBorder="0" applyAlignment="0" applyProtection="0"/>
    <xf numFmtId="182" fontId="5" fillId="50" borderId="0" applyNumberFormat="0" applyBorder="0" applyAlignment="0" applyProtection="0"/>
    <xf numFmtId="0" fontId="38" fillId="71" borderId="0" applyNumberFormat="0" applyBorder="0" applyAlignment="0" applyProtection="0"/>
    <xf numFmtId="187" fontId="41" fillId="26" borderId="0" applyNumberFormat="0" applyBorder="0" applyAlignment="0" applyProtection="0"/>
    <xf numFmtId="184" fontId="41" fillId="26"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0"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8" fillId="71"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4" fontId="5" fillId="54" borderId="0" applyNumberFormat="0" applyBorder="0" applyAlignment="0" applyProtection="0"/>
    <xf numFmtId="182" fontId="5" fillId="54" borderId="0" applyNumberFormat="0" applyBorder="0" applyAlignment="0" applyProtection="0"/>
    <xf numFmtId="0" fontId="38" fillId="72" borderId="0" applyNumberFormat="0" applyBorder="0" applyAlignment="0" applyProtection="0"/>
    <xf numFmtId="187" fontId="41" fillId="32" borderId="0" applyNumberFormat="0" applyBorder="0" applyAlignment="0" applyProtection="0"/>
    <xf numFmtId="184" fontId="41" fillId="3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0"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8" fillId="7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4" fontId="5" fillId="58" borderId="0" applyNumberFormat="0" applyBorder="0" applyAlignment="0" applyProtection="0"/>
    <xf numFmtId="182" fontId="5" fillId="58" borderId="0" applyNumberFormat="0" applyBorder="0" applyAlignment="0" applyProtection="0"/>
    <xf numFmtId="0" fontId="38" fillId="73" borderId="0" applyNumberFormat="0" applyBorder="0" applyAlignment="0" applyProtection="0"/>
    <xf numFmtId="187" fontId="41" fillId="3" borderId="0" applyNumberFormat="0" applyBorder="0" applyAlignment="0" applyProtection="0"/>
    <xf numFmtId="184" fontId="41" fillId="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0"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8" fillId="7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4" fontId="5" fillId="62" borderId="0" applyNumberFormat="0" applyBorder="0" applyAlignment="0" applyProtection="0"/>
    <xf numFmtId="182" fontId="5" fillId="62" borderId="0" applyNumberFormat="0" applyBorder="0" applyAlignment="0" applyProtection="0"/>
    <xf numFmtId="0" fontId="38" fillId="74" borderId="0" applyNumberFormat="0" applyBorder="0" applyAlignment="0" applyProtection="0"/>
    <xf numFmtId="187" fontId="41" fillId="2" borderId="0" applyNumberFormat="0" applyBorder="0" applyAlignment="0" applyProtection="0"/>
    <xf numFmtId="184" fontId="41" fillId="2"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0"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8" fillId="74"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4" fontId="5" fillId="66" borderId="0" applyNumberFormat="0" applyBorder="0" applyAlignment="0" applyProtection="0"/>
    <xf numFmtId="182" fontId="5" fillId="66" borderId="0" applyNumberFormat="0" applyBorder="0" applyAlignment="0" applyProtection="0"/>
    <xf numFmtId="0" fontId="38" fillId="3" borderId="0" applyNumberFormat="0" applyBorder="0" applyAlignment="0" applyProtection="0"/>
    <xf numFmtId="187" fontId="41" fillId="31" borderId="0" applyNumberFormat="0" applyBorder="0" applyAlignment="0" applyProtection="0"/>
    <xf numFmtId="184" fontId="41" fillId="31"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0"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8" fillId="3"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4" fontId="5" fillId="47" borderId="0" applyNumberFormat="0" applyBorder="0" applyAlignment="0" applyProtection="0"/>
    <xf numFmtId="182" fontId="5" fillId="47" borderId="0" applyNumberFormat="0" applyBorder="0" applyAlignment="0" applyProtection="0"/>
    <xf numFmtId="0" fontId="38" fillId="4" borderId="0" applyNumberFormat="0" applyBorder="0" applyAlignment="0" applyProtection="0"/>
    <xf numFmtId="187" fontId="41" fillId="4" borderId="0" applyNumberFormat="0" applyBorder="0" applyAlignment="0" applyProtection="0"/>
    <xf numFmtId="184" fontId="41"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0"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8"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5" fillId="51" borderId="0" applyNumberFormat="0" applyBorder="0" applyAlignment="0" applyProtection="0"/>
    <xf numFmtId="182" fontId="5" fillId="51" borderId="0" applyNumberFormat="0" applyBorder="0" applyAlignment="0" applyProtection="0"/>
    <xf numFmtId="0" fontId="38" fillId="5" borderId="0" applyNumberFormat="0" applyBorder="0" applyAlignment="0" applyProtection="0"/>
    <xf numFmtId="187" fontId="41" fillId="15" borderId="0" applyNumberFormat="0" applyBorder="0" applyAlignment="0" applyProtection="0"/>
    <xf numFmtId="184" fontId="41" fillId="1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0"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8" fillId="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5" fillId="55" borderId="0" applyNumberFormat="0" applyBorder="0" applyAlignment="0" applyProtection="0"/>
    <xf numFmtId="182" fontId="5" fillId="55" borderId="0" applyNumberFormat="0" applyBorder="0" applyAlignment="0" applyProtection="0"/>
    <xf numFmtId="0" fontId="38" fillId="72" borderId="0" applyNumberFormat="0" applyBorder="0" applyAlignment="0" applyProtection="0"/>
    <xf numFmtId="187" fontId="41" fillId="75" borderId="0" applyNumberFormat="0" applyBorder="0" applyAlignment="0" applyProtection="0"/>
    <xf numFmtId="184" fontId="41" fillId="75"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0"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8" fillId="72"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4" fontId="5" fillId="59" borderId="0" applyNumberFormat="0" applyBorder="0" applyAlignment="0" applyProtection="0"/>
    <xf numFmtId="182" fontId="5" fillId="59" borderId="0" applyNumberFormat="0" applyBorder="0" applyAlignment="0" applyProtection="0"/>
    <xf numFmtId="0" fontId="38" fillId="3" borderId="0" applyNumberFormat="0" applyBorder="0" applyAlignment="0" applyProtection="0"/>
    <xf numFmtId="187" fontId="41" fillId="31" borderId="0" applyNumberFormat="0" applyBorder="0" applyAlignment="0" applyProtection="0"/>
    <xf numFmtId="184" fontId="41" fillId="31"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0"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8" fillId="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4" fontId="5" fillId="63" borderId="0" applyNumberFormat="0" applyBorder="0" applyAlignment="0" applyProtection="0"/>
    <xf numFmtId="182" fontId="5" fillId="63" borderId="0" applyNumberFormat="0" applyBorder="0" applyAlignment="0" applyProtection="0"/>
    <xf numFmtId="0" fontId="38" fillId="6" borderId="0" applyNumberFormat="0" applyBorder="0" applyAlignment="0" applyProtection="0"/>
    <xf numFmtId="187" fontId="41" fillId="74" borderId="0" applyNumberFormat="0" applyBorder="0" applyAlignment="0" applyProtection="0"/>
    <xf numFmtId="184" fontId="41" fillId="74"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0"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8" fillId="6"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4" fontId="5" fillId="67" borderId="0" applyNumberFormat="0" applyBorder="0" applyAlignment="0" applyProtection="0"/>
    <xf numFmtId="182" fontId="5" fillId="67" borderId="0" applyNumberFormat="0" applyBorder="0" applyAlignment="0" applyProtection="0"/>
    <xf numFmtId="0" fontId="39" fillId="76" borderId="0" applyNumberFormat="0" applyBorder="0" applyAlignment="0" applyProtection="0"/>
    <xf numFmtId="184" fontId="39" fillId="76" borderId="0" applyNumberFormat="0" applyBorder="0" applyAlignment="0" applyProtection="0"/>
    <xf numFmtId="0"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5"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7" fontId="94" fillId="31" borderId="0" applyNumberFormat="0" applyBorder="0" applyAlignment="0" applyProtection="0"/>
    <xf numFmtId="0" fontId="39" fillId="76" borderId="0" applyNumberFormat="0" applyBorder="0" applyAlignment="0" applyProtection="0"/>
    <xf numFmtId="184" fontId="39" fillId="76" borderId="0" applyNumberFormat="0" applyBorder="0" applyAlignment="0" applyProtection="0"/>
    <xf numFmtId="184" fontId="94" fillId="31" borderId="0" applyNumberFormat="0" applyBorder="0" applyAlignment="0" applyProtection="0"/>
    <xf numFmtId="0" fontId="39" fillId="76"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39" fillId="76"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5"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88" fillId="48" borderId="0" applyNumberFormat="0" applyBorder="0" applyAlignment="0" applyProtection="0"/>
    <xf numFmtId="182" fontId="88" fillId="48"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0"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0"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7" fontId="94" fillId="4"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184" fontId="94" fillId="4" borderId="0" applyNumberFormat="0" applyBorder="0" applyAlignment="0" applyProtection="0"/>
    <xf numFmtId="0" fontId="39"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39" fillId="4"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88" fillId="52" borderId="0" applyNumberFormat="0" applyBorder="0" applyAlignment="0" applyProtection="0"/>
    <xf numFmtId="182" fontId="88" fillId="52" borderId="0" applyNumberFormat="0" applyBorder="0" applyAlignment="0" applyProtection="0"/>
    <xf numFmtId="0" fontId="39" fillId="5" borderId="0" applyNumberFormat="0" applyBorder="0" applyAlignment="0" applyProtection="0"/>
    <xf numFmtId="184" fontId="39" fillId="5" borderId="0" applyNumberFormat="0" applyBorder="0" applyAlignment="0" applyProtection="0"/>
    <xf numFmtId="0"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0"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5"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7" fontId="94" fillId="15" borderId="0" applyNumberFormat="0" applyBorder="0" applyAlignment="0" applyProtection="0"/>
    <xf numFmtId="0" fontId="39" fillId="5" borderId="0" applyNumberFormat="0" applyBorder="0" applyAlignment="0" applyProtection="0"/>
    <xf numFmtId="184" fontId="39" fillId="5" borderId="0" applyNumberFormat="0" applyBorder="0" applyAlignment="0" applyProtection="0"/>
    <xf numFmtId="184" fontId="94" fillId="15" borderId="0" applyNumberFormat="0" applyBorder="0" applyAlignment="0" applyProtection="0"/>
    <xf numFmtId="0" fontId="39" fillId="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39" fillId="5"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5"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88" fillId="56" borderId="0" applyNumberFormat="0" applyBorder="0" applyAlignment="0" applyProtection="0"/>
    <xf numFmtId="182" fontId="88" fillId="56"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0"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0"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7" fontId="94" fillId="75"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94" fillId="75" borderId="0" applyNumberFormat="0" applyBorder="0" applyAlignment="0" applyProtection="0"/>
    <xf numFmtId="0" fontId="39" fillId="77"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39" fillId="77"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88" fillId="60" borderId="0" applyNumberFormat="0" applyBorder="0" applyAlignment="0" applyProtection="0"/>
    <xf numFmtId="182" fontId="88" fillId="60"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0"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7" fontId="94" fillId="3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94" fillId="31" borderId="0" applyNumberFormat="0" applyBorder="0" applyAlignment="0" applyProtection="0"/>
    <xf numFmtId="0" fontId="39" fillId="78"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39" fillId="78"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88" fillId="64" borderId="0" applyNumberFormat="0" applyBorder="0" applyAlignment="0" applyProtection="0"/>
    <xf numFmtId="182" fontId="88" fillId="64" borderId="0" applyNumberFormat="0" applyBorder="0" applyAlignment="0" applyProtection="0"/>
    <xf numFmtId="0" fontId="39" fillId="7" borderId="0" applyNumberFormat="0" applyBorder="0" applyAlignment="0" applyProtection="0"/>
    <xf numFmtId="184" fontId="39" fillId="7" borderId="0" applyNumberFormat="0" applyBorder="0" applyAlignment="0" applyProtection="0"/>
    <xf numFmtId="0"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0"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5"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7" fontId="94" fillId="74" borderId="0" applyNumberFormat="0" applyBorder="0" applyAlignment="0" applyProtection="0"/>
    <xf numFmtId="0" fontId="39" fillId="7" borderId="0" applyNumberFormat="0" applyBorder="0" applyAlignment="0" applyProtection="0"/>
    <xf numFmtId="184" fontId="39" fillId="7" borderId="0" applyNumberFormat="0" applyBorder="0" applyAlignment="0" applyProtection="0"/>
    <xf numFmtId="184" fontId="94" fillId="74" borderId="0" applyNumberFormat="0" applyBorder="0" applyAlignment="0" applyProtection="0"/>
    <xf numFmtId="0" fontId="39" fillId="7"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39" fillId="7"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5"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88" fillId="68" borderId="0" applyNumberFormat="0" applyBorder="0" applyAlignment="0" applyProtection="0"/>
    <xf numFmtId="182" fontId="88" fillId="68" borderId="0" applyNumberFormat="0" applyBorder="0" applyAlignment="0" applyProtection="0"/>
    <xf numFmtId="184" fontId="38" fillId="8" borderId="0" applyNumberFormat="0" applyBorder="0" applyAlignment="0" applyProtection="0"/>
    <xf numFmtId="182" fontId="38" fillId="79" borderId="0" applyNumberFormat="0" applyBorder="0" applyAlignment="0" applyProtection="0"/>
    <xf numFmtId="0"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79" borderId="0" applyNumberFormat="0" applyBorder="0" applyAlignment="0" applyProtection="0"/>
    <xf numFmtId="183" fontId="38" fillId="79" borderId="0" applyNumberFormat="0" applyBorder="0" applyAlignment="0" applyProtection="0"/>
    <xf numFmtId="183" fontId="38" fillId="79" borderId="0" applyNumberFormat="0" applyBorder="0" applyAlignment="0" applyProtection="0"/>
    <xf numFmtId="184" fontId="38" fillId="79" borderId="0" applyNumberFormat="0" applyBorder="0" applyAlignment="0" applyProtection="0"/>
    <xf numFmtId="184" fontId="38" fillId="79" borderId="0" applyNumberFormat="0" applyBorder="0" applyAlignment="0" applyProtection="0"/>
    <xf numFmtId="0" fontId="38" fillId="79" borderId="0" applyNumberFormat="0" applyBorder="0" applyAlignment="0" applyProtection="0"/>
    <xf numFmtId="184" fontId="38" fillId="79" borderId="0" applyNumberFormat="0" applyBorder="0" applyAlignment="0" applyProtection="0"/>
    <xf numFmtId="184" fontId="38" fillId="79"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9" borderId="0" applyNumberFormat="0" applyBorder="0" applyAlignment="0" applyProtection="0"/>
    <xf numFmtId="182" fontId="38" fillId="18"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2" fontId="39" fillId="80" borderId="0" applyNumberFormat="0" applyBorder="0" applyAlignment="0" applyProtection="0"/>
    <xf numFmtId="0"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5"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10" borderId="0" applyNumberFormat="0" applyBorder="0" applyAlignment="0" applyProtection="0"/>
    <xf numFmtId="185"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7"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184"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2" fontId="39" fillId="81"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7" fontId="39" fillId="81"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7" fontId="39" fillId="81"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7"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2"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8" fillId="12" borderId="0" applyNumberFormat="0" applyBorder="0" applyAlignment="0" applyProtection="0"/>
    <xf numFmtId="182" fontId="38" fillId="83" borderId="0" applyNumberFormat="0" applyBorder="0" applyAlignment="0" applyProtection="0"/>
    <xf numFmtId="0"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83" borderId="0" applyNumberFormat="0" applyBorder="0" applyAlignment="0" applyProtection="0"/>
    <xf numFmtId="183" fontId="38" fillId="83" borderId="0" applyNumberFormat="0" applyBorder="0" applyAlignment="0" applyProtection="0"/>
    <xf numFmtId="183"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7"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7"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4" fontId="38" fillId="13" borderId="0" applyNumberFormat="0" applyBorder="0" applyAlignment="0" applyProtection="0"/>
    <xf numFmtId="182" fontId="38" fillId="17"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2" fontId="39" fillId="1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3" borderId="0" applyNumberFormat="0" applyBorder="0" applyAlignment="0" applyProtection="0"/>
    <xf numFmtId="183" fontId="39" fillId="13" borderId="0" applyNumberFormat="0" applyBorder="0" applyAlignment="0" applyProtection="0"/>
    <xf numFmtId="184" fontId="39" fillId="13" borderId="0" applyNumberFormat="0" applyBorder="0" applyAlignment="0" applyProtection="0"/>
    <xf numFmtId="184" fontId="39" fillId="13"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184"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2" fontId="39" fillId="84"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7" fontId="39" fillId="84"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7" fontId="39" fillId="84"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7"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2"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8" fillId="16" borderId="0" applyNumberFormat="0" applyBorder="0" applyAlignment="0" applyProtection="0"/>
    <xf numFmtId="182" fontId="38" fillId="85" borderId="0" applyNumberFormat="0" applyBorder="0" applyAlignment="0" applyProtection="0"/>
    <xf numFmtId="0"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85" borderId="0" applyNumberFormat="0" applyBorder="0" applyAlignment="0" applyProtection="0"/>
    <xf numFmtId="183" fontId="38" fillId="85" borderId="0" applyNumberFormat="0" applyBorder="0" applyAlignment="0" applyProtection="0"/>
    <xf numFmtId="183" fontId="38" fillId="85" borderId="0" applyNumberFormat="0" applyBorder="0" applyAlignment="0" applyProtection="0"/>
    <xf numFmtId="184" fontId="38" fillId="85" borderId="0" applyNumberFormat="0" applyBorder="0" applyAlignment="0" applyProtection="0"/>
    <xf numFmtId="184" fontId="38" fillId="85" borderId="0" applyNumberFormat="0" applyBorder="0" applyAlignment="0" applyProtection="0"/>
    <xf numFmtId="0" fontId="38" fillId="85" borderId="0" applyNumberFormat="0" applyBorder="0" applyAlignment="0" applyProtection="0"/>
    <xf numFmtId="184" fontId="38" fillId="85" borderId="0" applyNumberFormat="0" applyBorder="0" applyAlignment="0" applyProtection="0"/>
    <xf numFmtId="184" fontId="38" fillId="85"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7"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7"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7" borderId="0" applyNumberFormat="0" applyBorder="0" applyAlignment="0" applyProtection="0"/>
    <xf numFmtId="182" fontId="38" fillId="86"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86" borderId="0" applyNumberFormat="0" applyBorder="0" applyAlignment="0" applyProtection="0"/>
    <xf numFmtId="183" fontId="38" fillId="86" borderId="0" applyNumberFormat="0" applyBorder="0" applyAlignment="0" applyProtection="0"/>
    <xf numFmtId="183"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2" fontId="39" fillId="87" borderId="0" applyNumberFormat="0" applyBorder="0" applyAlignment="0" applyProtection="0"/>
    <xf numFmtId="0"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87" borderId="0" applyNumberFormat="0" applyBorder="0" applyAlignment="0" applyProtection="0"/>
    <xf numFmtId="183" fontId="39" fillId="87" borderId="0" applyNumberFormat="0" applyBorder="0" applyAlignment="0" applyProtection="0"/>
    <xf numFmtId="184" fontId="39" fillId="87" borderId="0" applyNumberFormat="0" applyBorder="0" applyAlignment="0" applyProtection="0"/>
    <xf numFmtId="184" fontId="39" fillId="87"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7"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88" fillId="53" borderId="0" applyNumberFormat="0" applyBorder="0" applyAlignment="0" applyProtection="0"/>
    <xf numFmtId="184" fontId="88" fillId="53"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184"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2" fontId="39" fillId="88"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7"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7"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2" fontId="39" fillId="88"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8" fillId="17" borderId="0" applyNumberFormat="0" applyBorder="0" applyAlignment="0" applyProtection="0"/>
    <xf numFmtId="182" fontId="38" fillId="83"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83" borderId="0" applyNumberFormat="0" applyBorder="0" applyAlignment="0" applyProtection="0"/>
    <xf numFmtId="183" fontId="38" fillId="83" borderId="0" applyNumberFormat="0" applyBorder="0" applyAlignment="0" applyProtection="0"/>
    <xf numFmtId="183"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2" fontId="38" fillId="14"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2" fontId="39" fillId="17" borderId="0" applyNumberFormat="0" applyBorder="0" applyAlignment="0" applyProtection="0"/>
    <xf numFmtId="0"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7" borderId="0" applyNumberFormat="0" applyBorder="0" applyAlignment="0" applyProtection="0"/>
    <xf numFmtId="183" fontId="39" fillId="17" borderId="0" applyNumberFormat="0" applyBorder="0" applyAlignment="0" applyProtection="0"/>
    <xf numFmtId="184" fontId="39" fillId="17" borderId="0" applyNumberFormat="0" applyBorder="0" applyAlignment="0" applyProtection="0"/>
    <xf numFmtId="184" fontId="39" fillId="17"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7"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88" fillId="57" borderId="0" applyNumberFormat="0" applyBorder="0" applyAlignment="0" applyProtection="0"/>
    <xf numFmtId="184" fontId="88" fillId="57"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184"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2" fontId="39" fillId="90"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7"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7"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7" fontId="39" fillId="89" borderId="0" applyNumberFormat="0" applyBorder="0" applyAlignment="0" applyProtection="0"/>
    <xf numFmtId="0"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2" fontId="39" fillId="90"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8" fillId="8" borderId="0" applyNumberFormat="0" applyBorder="0" applyAlignment="0" applyProtection="0"/>
    <xf numFmtId="182" fontId="38" fillId="16" borderId="0" applyNumberFormat="0" applyBorder="0" applyAlignment="0" applyProtection="0"/>
    <xf numFmtId="0"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2" fontId="38" fillId="9" borderId="0" applyNumberFormat="0" applyBorder="0" applyAlignment="0" applyProtection="0"/>
    <xf numFmtId="182" fontId="39" fillId="80" borderId="0" applyNumberFormat="0" applyBorder="0" applyAlignment="0" applyProtection="0"/>
    <xf numFmtId="0"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5"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 borderId="0" applyNumberFormat="0" applyBorder="0" applyAlignment="0" applyProtection="0"/>
    <xf numFmtId="185"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7"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88" fillId="61" borderId="0" applyNumberFormat="0" applyBorder="0" applyAlignment="0" applyProtection="0"/>
    <xf numFmtId="184" fontId="88" fillId="61"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184"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2" fontId="39" fillId="80"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7" fontId="39" fillId="91" borderId="0" applyNumberFormat="0" applyBorder="0" applyAlignment="0" applyProtection="0"/>
    <xf numFmtId="184" fontId="39" fillId="91" borderId="0" applyNumberFormat="0" applyBorder="0" applyAlignment="0" applyProtection="0"/>
    <xf numFmtId="184" fontId="88"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7"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7"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7" fontId="39" fillId="91" borderId="0" applyNumberFormat="0" applyBorder="0" applyAlignment="0" applyProtection="0"/>
    <xf numFmtId="0"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2" fontId="39" fillId="80"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0" fontId="38" fillId="20" borderId="0" applyNumberFormat="0" applyBorder="0" applyAlignment="0" applyProtection="0"/>
    <xf numFmtId="184" fontId="38" fillId="20" borderId="0" applyNumberFormat="0" applyBorder="0" applyAlignment="0" applyProtection="0"/>
    <xf numFmtId="187"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0" fontId="38" fillId="20" borderId="0" applyNumberFormat="0" applyBorder="0" applyAlignment="0" applyProtection="0"/>
    <xf numFmtId="184" fontId="38" fillId="20" borderId="0" applyNumberFormat="0" applyBorder="0" applyAlignment="0" applyProtection="0"/>
    <xf numFmtId="187"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2" fontId="38" fillId="20" borderId="0" applyNumberFormat="0" applyBorder="0" applyAlignment="0" applyProtection="0"/>
    <xf numFmtId="184" fontId="38" fillId="13" borderId="0" applyNumberFormat="0" applyBorder="0" applyAlignment="0" applyProtection="0"/>
    <xf numFmtId="182" fontId="38" fillId="21"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2" fontId="39" fillId="92" borderId="0" applyNumberFormat="0" applyBorder="0" applyAlignment="0" applyProtection="0"/>
    <xf numFmtId="0"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5"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0" fontId="39" fillId="92" borderId="0" applyNumberFormat="0" applyBorder="0" applyAlignment="0" applyProtection="0"/>
    <xf numFmtId="183" fontId="39" fillId="92" borderId="0" applyNumberFormat="0" applyBorder="0" applyAlignment="0" applyProtection="0"/>
    <xf numFmtId="184" fontId="39" fillId="92" borderId="0" applyNumberFormat="0" applyBorder="0" applyAlignment="0" applyProtection="0"/>
    <xf numFmtId="184" fontId="39" fillId="92" borderId="0" applyNumberFormat="0" applyBorder="0" applyAlignment="0" applyProtection="0"/>
    <xf numFmtId="184" fontId="39" fillId="21" borderId="0" applyNumberFormat="0" applyBorder="0" applyAlignment="0" applyProtection="0"/>
    <xf numFmtId="185"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7"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88" fillId="65" borderId="0" applyNumberFormat="0" applyBorder="0" applyAlignment="0" applyProtection="0"/>
    <xf numFmtId="184" fontId="88" fillId="65"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184"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2" fontId="39" fillId="94"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7"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7"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7" fontId="39" fillId="93" borderId="0" applyNumberFormat="0" applyBorder="0" applyAlignment="0" applyProtection="0"/>
    <xf numFmtId="0"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2" fontId="39" fillId="94"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23" fillId="0" borderId="0" applyNumberFormat="0" applyAlignment="0"/>
    <xf numFmtId="0" fontId="23" fillId="0" borderId="0" applyNumberFormat="0" applyAlignment="0"/>
    <xf numFmtId="183"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3" fontId="23" fillId="0" borderId="0" applyNumberFormat="0" applyAlignment="0"/>
    <xf numFmtId="184" fontId="23" fillId="0" borderId="0" applyNumberFormat="0" applyAlignment="0"/>
    <xf numFmtId="187" fontId="23" fillId="0" borderId="0" applyNumberFormat="0" applyAlignment="0"/>
    <xf numFmtId="184" fontId="23" fillId="0" borderId="0" applyNumberFormat="0" applyAlignment="0"/>
    <xf numFmtId="184" fontId="23" fillId="0" borderId="0" applyNumberFormat="0" applyAlignment="0"/>
    <xf numFmtId="188" fontId="22" fillId="95" borderId="30">
      <alignment horizontal="center" vertical="center"/>
    </xf>
    <xf numFmtId="189" fontId="89" fillId="95" borderId="30">
      <alignment horizontal="center" vertical="center"/>
    </xf>
    <xf numFmtId="188" fontId="22" fillId="95" borderId="30">
      <alignment horizontal="center" vertical="center"/>
    </xf>
    <xf numFmtId="0" fontId="31" fillId="0" borderId="0">
      <alignment horizontal="center" wrapText="1"/>
      <protection locked="0"/>
    </xf>
    <xf numFmtId="0"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7"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0" fontId="95" fillId="2" borderId="0" applyNumberFormat="0" applyBorder="0" applyAlignment="0" applyProtection="0"/>
    <xf numFmtId="0"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2" fontId="96" fillId="20" borderId="0" applyNumberFormat="0" applyBorder="0" applyAlignment="0" applyProtection="0"/>
    <xf numFmtId="0"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7" fontId="97" fillId="13" borderId="0" applyNumberFormat="0" applyBorder="0" applyAlignment="0" applyProtection="0"/>
    <xf numFmtId="184" fontId="97" fillId="13" borderId="0" applyNumberFormat="0" applyBorder="0" applyAlignment="0" applyProtection="0"/>
    <xf numFmtId="184" fontId="79" fillId="39" borderId="0" applyNumberFormat="0" applyBorder="0" applyAlignment="0" applyProtection="0"/>
    <xf numFmtId="0"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96" fillId="20"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3" fontId="96" fillId="20" borderId="0" applyNumberFormat="0" applyBorder="0" applyAlignment="0" applyProtection="0"/>
    <xf numFmtId="184" fontId="96" fillId="20" borderId="0" applyNumberFormat="0" applyBorder="0" applyAlignment="0" applyProtection="0"/>
    <xf numFmtId="184" fontId="96" fillId="20"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7" fontId="97" fillId="13" borderId="0" applyNumberFormat="0" applyBorder="0" applyAlignment="0" applyProtection="0"/>
    <xf numFmtId="0" fontId="95" fillId="2" borderId="0" applyNumberFormat="0" applyBorder="0" applyAlignment="0" applyProtection="0"/>
    <xf numFmtId="184" fontId="95" fillId="2" borderId="0" applyNumberFormat="0" applyBorder="0" applyAlignment="0" applyProtection="0"/>
    <xf numFmtId="184" fontId="97" fillId="13" borderId="0" applyNumberFormat="0" applyBorder="0" applyAlignment="0" applyProtection="0"/>
    <xf numFmtId="0" fontId="95" fillId="2"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0" fontId="95" fillId="2"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0" fontId="95" fillId="2" borderId="0" applyNumberFormat="0" applyBorder="0" applyAlignment="0" applyProtection="0"/>
    <xf numFmtId="0" fontId="97" fillId="13" borderId="0" applyNumberFormat="0" applyBorder="0" applyAlignment="0" applyProtection="0"/>
    <xf numFmtId="0"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2" fontId="79" fillId="39" borderId="0" applyNumberFormat="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5"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5"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7"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71" fontId="99" fillId="0" borderId="3" applyFont="0"/>
    <xf numFmtId="1" fontId="99" fillId="0" borderId="3"/>
    <xf numFmtId="9" fontId="100" fillId="0" borderId="29" applyNumberFormat="0" applyBorder="0">
      <alignment horizontal="right"/>
    </xf>
    <xf numFmtId="165" fontId="21" fillId="0" borderId="0" applyFill="0" applyBorder="0" applyAlignment="0"/>
    <xf numFmtId="165" fontId="21" fillId="0" borderId="0" applyFill="0" applyBorder="0" applyAlignment="0"/>
    <xf numFmtId="165" fontId="21" fillId="0" borderId="0" applyFill="0" applyBorder="0" applyAlignment="0"/>
    <xf numFmtId="165" fontId="21" fillId="0" borderId="0" applyFill="0" applyBorder="0" applyAlignment="0"/>
    <xf numFmtId="182" fontId="83" fillId="42" borderId="23" applyNumberFormat="0" applyAlignment="0" applyProtection="0"/>
    <xf numFmtId="0" fontId="101" fillId="75" borderId="31" applyNumberFormat="0" applyAlignment="0" applyProtection="0"/>
    <xf numFmtId="0"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0" fontId="102" fillId="96" borderId="32" applyNumberFormat="0" applyAlignment="0" applyProtection="0"/>
    <xf numFmtId="184" fontId="102" fillId="96" borderId="32" applyNumberFormat="0" applyAlignment="0" applyProtection="0"/>
    <xf numFmtId="184" fontId="101" fillId="75" borderId="31" applyNumberFormat="0" applyAlignment="0" applyProtection="0"/>
    <xf numFmtId="182" fontId="102" fillId="96" borderId="32" applyNumberFormat="0" applyAlignment="0" applyProtection="0"/>
    <xf numFmtId="0"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5"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0"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2" fillId="96" borderId="32"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3" fontId="102" fillId="96" borderId="32" applyNumberFormat="0" applyAlignment="0" applyProtection="0"/>
    <xf numFmtId="183" fontId="102" fillId="96" borderId="32" applyNumberFormat="0" applyAlignment="0" applyProtection="0"/>
    <xf numFmtId="183"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7" fontId="103" fillId="97" borderId="31" applyNumberFormat="0" applyAlignment="0" applyProtection="0"/>
    <xf numFmtId="0"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187"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1" fillId="75"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3" fontId="83" fillId="42" borderId="23" applyNumberFormat="0" applyAlignment="0" applyProtection="0"/>
    <xf numFmtId="184" fontId="83" fillId="42" borderId="23" applyNumberFormat="0" applyAlignment="0" applyProtection="0"/>
    <xf numFmtId="185"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0" fontId="101" fillId="75" borderId="31" applyNumberFormat="0" applyAlignment="0" applyProtection="0"/>
    <xf numFmtId="183" fontId="83" fillId="42" borderId="23" applyNumberFormat="0" applyAlignment="0" applyProtection="0"/>
    <xf numFmtId="184" fontId="83" fillId="42" borderId="23" applyNumberFormat="0" applyAlignment="0" applyProtection="0"/>
    <xf numFmtId="185"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0" fontId="101" fillId="75" borderId="31"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83" fillId="42" borderId="23" applyNumberFormat="0" applyAlignment="0" applyProtection="0"/>
    <xf numFmtId="184" fontId="83" fillId="42" borderId="23" applyNumberFormat="0" applyAlignment="0" applyProtection="0"/>
    <xf numFmtId="0" fontId="102" fillId="96" borderId="32" applyNumberFormat="0" applyAlignment="0" applyProtection="0"/>
    <xf numFmtId="184" fontId="102" fillId="96" borderId="32" applyNumberFormat="0" applyAlignment="0" applyProtection="0"/>
    <xf numFmtId="184" fontId="83" fillId="42" borderId="23" applyNumberFormat="0" applyAlignment="0" applyProtection="0"/>
    <xf numFmtId="0" fontId="104" fillId="0" borderId="0" applyNumberFormat="0" applyFont="0" applyFill="0" applyBorder="0" applyProtection="0">
      <alignment horizontal="centerContinuous"/>
    </xf>
    <xf numFmtId="183"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5" fontId="104" fillId="0" borderId="0" applyNumberFormat="0" applyFont="0" applyFill="0" applyBorder="0" applyProtection="0">
      <alignment horizontal="centerContinuous"/>
    </xf>
    <xf numFmtId="183"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90" fontId="104" fillId="0" borderId="0" applyNumberFormat="0" applyFont="0" applyFill="0" applyBorder="0" applyProtection="0">
      <alignment horizontal="centerContinuous" wrapText="1"/>
    </xf>
    <xf numFmtId="191" fontId="21" fillId="0" borderId="0"/>
    <xf numFmtId="0" fontId="105" fillId="98" borderId="33" applyNumberFormat="0" applyAlignment="0" applyProtection="0"/>
    <xf numFmtId="0"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2" fontId="105" fillId="90" borderId="33" applyNumberFormat="0" applyAlignment="0" applyProtection="0"/>
    <xf numFmtId="0"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5"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0"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0"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0" fontId="105" fillId="90" borderId="33" applyNumberFormat="0" applyAlignment="0" applyProtection="0"/>
    <xf numFmtId="183" fontId="105" fillId="14" borderId="33" applyNumberFormat="0" applyAlignment="0" applyProtection="0"/>
    <xf numFmtId="184" fontId="105" fillId="14" borderId="33" applyNumberFormat="0" applyAlignment="0" applyProtection="0"/>
    <xf numFmtId="183" fontId="105" fillId="90" borderId="33" applyNumberFormat="0" applyAlignment="0" applyProtection="0"/>
    <xf numFmtId="184" fontId="105" fillId="90" borderId="33" applyNumberFormat="0" applyAlignment="0" applyProtection="0"/>
    <xf numFmtId="184" fontId="105" fillId="90" borderId="33" applyNumberFormat="0" applyAlignment="0" applyProtection="0"/>
    <xf numFmtId="183" fontId="105" fillId="98" borderId="33" applyNumberFormat="0" applyAlignment="0" applyProtection="0"/>
    <xf numFmtId="184" fontId="105" fillId="98" borderId="33" applyNumberFormat="0" applyAlignment="0" applyProtection="0"/>
    <xf numFmtId="185" fontId="105" fillId="98" borderId="33" applyNumberFormat="0" applyAlignment="0" applyProtection="0"/>
    <xf numFmtId="183"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7" fontId="105" fillId="14" borderId="33" applyNumberFormat="0" applyAlignment="0" applyProtection="0"/>
    <xf numFmtId="0" fontId="105" fillId="98" borderId="33" applyNumberFormat="0" applyAlignment="0" applyProtection="0"/>
    <xf numFmtId="184" fontId="105" fillId="98" borderId="33" applyNumberFormat="0" applyAlignment="0" applyProtection="0"/>
    <xf numFmtId="184" fontId="105" fillId="14" borderId="33" applyNumberFormat="0" applyAlignment="0" applyProtection="0"/>
    <xf numFmtId="0" fontId="105" fillId="98" borderId="33" applyNumberFormat="0" applyAlignment="0" applyProtection="0"/>
    <xf numFmtId="183" fontId="105" fillId="14" borderId="33" applyNumberFormat="0" applyAlignment="0" applyProtection="0"/>
    <xf numFmtId="184" fontId="105" fillId="14" borderId="33" applyNumberFormat="0" applyAlignment="0" applyProtection="0"/>
    <xf numFmtId="183" fontId="85" fillId="43" borderId="26" applyNumberFormat="0" applyAlignment="0" applyProtection="0"/>
    <xf numFmtId="184" fontId="85" fillId="43" borderId="26" applyNumberFormat="0" applyAlignment="0" applyProtection="0"/>
    <xf numFmtId="185"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0" fontId="105" fillId="98" borderId="33" applyNumberFormat="0" applyAlignment="0" applyProtection="0"/>
    <xf numFmtId="183" fontId="85" fillId="43" borderId="26" applyNumberFormat="0" applyAlignment="0" applyProtection="0"/>
    <xf numFmtId="184" fontId="85" fillId="43" borderId="26" applyNumberFormat="0" applyAlignment="0" applyProtection="0"/>
    <xf numFmtId="185"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0" fontId="105" fillId="98" borderId="33" applyNumberFormat="0" applyAlignment="0" applyProtection="0"/>
    <xf numFmtId="183" fontId="105" fillId="98" borderId="33" applyNumberFormat="0" applyAlignment="0" applyProtection="0"/>
    <xf numFmtId="184" fontId="105" fillId="98" borderId="33" applyNumberFormat="0" applyAlignment="0" applyProtection="0"/>
    <xf numFmtId="185" fontId="105" fillId="98" borderId="33" applyNumberFormat="0" applyAlignment="0" applyProtection="0"/>
    <xf numFmtId="183"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0"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2" fontId="85" fillId="43" borderId="26"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106" fillId="0" borderId="0" applyNumberFormat="0" applyAlignment="0">
      <alignment horizontal="left"/>
    </xf>
    <xf numFmtId="0"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7"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92" fontId="99" fillId="0" borderId="3"/>
    <xf numFmtId="44" fontId="38"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4" fontId="107" fillId="0" borderId="0" applyFont="0" applyFill="0" applyBorder="0" applyAlignment="0" applyProtection="0"/>
    <xf numFmtId="6" fontId="108" fillId="0" borderId="0">
      <protection locked="0"/>
    </xf>
    <xf numFmtId="14" fontId="21" fillId="0" borderId="0" applyFont="0" applyFill="0" applyBorder="0" applyAlignment="0" applyProtection="0"/>
    <xf numFmtId="14" fontId="21" fillId="0" borderId="0" applyFont="0" applyFill="0" applyBorder="0" applyAlignment="0" applyProtection="0"/>
    <xf numFmtId="6" fontId="109" fillId="0" borderId="0">
      <protection locked="0"/>
    </xf>
    <xf numFmtId="4" fontId="110" fillId="0" borderId="0" applyFont="0" applyFill="0" applyBorder="0" applyAlignment="0" applyProtection="0"/>
    <xf numFmtId="182" fontId="40" fillId="99" borderId="0" applyNumberFormat="0" applyBorder="0" applyAlignment="0" applyProtection="0"/>
    <xf numFmtId="0"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5"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0" fontId="40" fillId="99" borderId="0" applyNumberFormat="0" applyBorder="0" applyAlignment="0" applyProtection="0"/>
    <xf numFmtId="183" fontId="40" fillId="99" borderId="0" applyNumberFormat="0" applyBorder="0" applyAlignment="0" applyProtection="0"/>
    <xf numFmtId="184" fontId="40" fillId="99" borderId="0" applyNumberFormat="0" applyBorder="0" applyAlignment="0" applyProtection="0"/>
    <xf numFmtId="184" fontId="40" fillId="99" borderId="0" applyNumberFormat="0" applyBorder="0" applyAlignment="0" applyProtection="0"/>
    <xf numFmtId="184" fontId="40" fillId="22" borderId="0" applyNumberFormat="0" applyBorder="0" applyAlignment="0" applyProtection="0"/>
    <xf numFmtId="185"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7"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182" fontId="40" fillId="100" borderId="0" applyNumberFormat="0" applyBorder="0" applyAlignment="0" applyProtection="0"/>
    <xf numFmtId="0"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5"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100" borderId="0" applyNumberFormat="0" applyBorder="0" applyAlignment="0" applyProtection="0"/>
    <xf numFmtId="183" fontId="40" fillId="100" borderId="0" applyNumberFormat="0" applyBorder="0" applyAlignment="0" applyProtection="0"/>
    <xf numFmtId="184" fontId="40" fillId="100" borderId="0" applyNumberFormat="0" applyBorder="0" applyAlignment="0" applyProtection="0"/>
    <xf numFmtId="184" fontId="40" fillId="100" borderId="0" applyNumberFormat="0" applyBorder="0" applyAlignment="0" applyProtection="0"/>
    <xf numFmtId="184" fontId="40" fillId="23" borderId="0" applyNumberFormat="0" applyBorder="0" applyAlignment="0" applyProtection="0"/>
    <xf numFmtId="185"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7"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5"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5"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7"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2" fontId="40" fillId="24" borderId="0" applyNumberFormat="0" applyBorder="0" applyAlignment="0" applyProtection="0"/>
    <xf numFmtId="0" fontId="111" fillId="0" borderId="0" applyNumberFormat="0" applyAlignment="0">
      <alignment horizontal="left"/>
    </xf>
    <xf numFmtId="0"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7"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7"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112" fillId="0" borderId="0" applyNumberFormat="0" applyFill="0" applyBorder="0" applyAlignment="0" applyProtection="0"/>
    <xf numFmtId="184" fontId="112"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7" fontId="113" fillId="0" borderId="0" applyNumberFormat="0" applyFill="0" applyBorder="0" applyAlignment="0" applyProtection="0"/>
    <xf numFmtId="0" fontId="112" fillId="0" borderId="0" applyNumberFormat="0" applyFill="0" applyBorder="0" applyAlignment="0" applyProtection="0"/>
    <xf numFmtId="184" fontId="112" fillId="0" borderId="0" applyNumberFormat="0" applyFill="0" applyBorder="0" applyAlignment="0" applyProtection="0"/>
    <xf numFmtId="184" fontId="113" fillId="0" borderId="0" applyNumberFormat="0" applyFill="0" applyBorder="0" applyAlignment="0" applyProtection="0"/>
    <xf numFmtId="0" fontId="112"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2"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87" fillId="0" borderId="0" applyNumberFormat="0" applyFill="0" applyBorder="0" applyAlignment="0" applyProtection="0"/>
    <xf numFmtId="182" fontId="87" fillId="0" borderId="0" applyNumberFormat="0" applyFill="0" applyBorder="0" applyAlignment="0" applyProtection="0"/>
    <xf numFmtId="195" fontId="21" fillId="0" borderId="0">
      <protection locked="0"/>
    </xf>
    <xf numFmtId="195" fontId="21" fillId="0" borderId="0">
      <protection locked="0"/>
    </xf>
    <xf numFmtId="195" fontId="21" fillId="0" borderId="0">
      <protection locked="0"/>
    </xf>
    <xf numFmtId="195" fontId="21" fillId="0" borderId="0">
      <protection locked="0"/>
    </xf>
    <xf numFmtId="0" fontId="110"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6" fontId="34" fillId="0" borderId="0"/>
    <xf numFmtId="0" fontId="114" fillId="71" borderId="0" applyNumberFormat="0" applyBorder="0" applyAlignment="0" applyProtection="0"/>
    <xf numFmtId="0"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2" fontId="38" fillId="86" borderId="0" applyNumberFormat="0" applyBorder="0" applyAlignment="0" applyProtection="0"/>
    <xf numFmtId="0"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7" fontId="114" fillId="101" borderId="0" applyNumberFormat="0" applyBorder="0" applyAlignment="0" applyProtection="0"/>
    <xf numFmtId="184" fontId="114" fillId="101" borderId="0" applyNumberFormat="0" applyBorder="0" applyAlignment="0" applyProtection="0"/>
    <xf numFmtId="184" fontId="78" fillId="38" borderId="0" applyNumberFormat="0" applyBorder="0" applyAlignment="0" applyProtection="0"/>
    <xf numFmtId="0"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38" fillId="86"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3" fontId="38" fillId="86" borderId="0" applyNumberFormat="0" applyBorder="0" applyAlignment="0" applyProtection="0"/>
    <xf numFmtId="183"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5"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7" fontId="114" fillId="101" borderId="0" applyNumberFormat="0" applyBorder="0" applyAlignment="0" applyProtection="0"/>
    <xf numFmtId="0" fontId="114" fillId="71" borderId="0" applyNumberFormat="0" applyBorder="0" applyAlignment="0" applyProtection="0"/>
    <xf numFmtId="184" fontId="114" fillId="71" borderId="0" applyNumberFormat="0" applyBorder="0" applyAlignment="0" applyProtection="0"/>
    <xf numFmtId="184" fontId="114" fillId="101" borderId="0" applyNumberFormat="0" applyBorder="0" applyAlignment="0" applyProtection="0"/>
    <xf numFmtId="0" fontId="114" fillId="7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0" fontId="114" fillId="71"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0"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5"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2" fontId="78" fillId="38" borderId="0" applyNumberFormat="0" applyBorder="0" applyAlignment="0" applyProtection="0"/>
    <xf numFmtId="38" fontId="23" fillId="69" borderId="0" applyNumberFormat="0" applyBorder="0" applyAlignment="0" applyProtection="0"/>
    <xf numFmtId="38" fontId="23" fillId="69" borderId="0" applyNumberFormat="0" applyBorder="0" applyAlignment="0" applyProtection="0"/>
    <xf numFmtId="0" fontId="115" fillId="0" borderId="0" applyNumberFormat="0" applyFill="0" applyBorder="0" applyAlignment="0" applyProtection="0"/>
    <xf numFmtId="185" fontId="115" fillId="0" borderId="0" applyNumberFormat="0" applyFill="0" applyBorder="0" applyAlignment="0" applyProtection="0"/>
    <xf numFmtId="0"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5"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7"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0" fontId="69" fillId="0" borderId="18" applyNumberFormat="0" applyAlignment="0" applyProtection="0">
      <alignment horizontal="left" vertical="center"/>
    </xf>
    <xf numFmtId="0"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5"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185"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7"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0" fontId="69" fillId="0" borderId="9">
      <alignment horizontal="left" vertical="center"/>
    </xf>
    <xf numFmtId="0"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116" fillId="0" borderId="34" applyNumberFormat="0" applyFill="0" applyAlignment="0" applyProtection="0"/>
    <xf numFmtId="0"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2" fontId="117" fillId="0" borderId="35" applyNumberFormat="0" applyFill="0" applyAlignment="0" applyProtection="0"/>
    <xf numFmtId="0"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7" fontId="117" fillId="0" borderId="35" applyNumberFormat="0" applyFill="0" applyAlignment="0" applyProtection="0"/>
    <xf numFmtId="0" fontId="116" fillId="0" borderId="34" applyNumberFormat="0" applyFill="0" applyAlignment="0" applyProtection="0"/>
    <xf numFmtId="184" fontId="116" fillId="0" borderId="34" applyNumberFormat="0" applyFill="0" applyAlignment="0" applyProtection="0"/>
    <xf numFmtId="184" fontId="117" fillId="0" borderId="35" applyNumberFormat="0" applyFill="0" applyAlignment="0" applyProtection="0"/>
    <xf numFmtId="0" fontId="116" fillId="0" borderId="34"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6" fillId="0" borderId="34"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2" fontId="75" fillId="0" borderId="20" applyNumberFormat="0" applyFill="0" applyAlignment="0" applyProtection="0"/>
    <xf numFmtId="0" fontId="118" fillId="0" borderId="36" applyNumberFormat="0" applyFill="0" applyAlignment="0" applyProtection="0"/>
    <xf numFmtId="0"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2" fontId="119" fillId="0" borderId="37" applyNumberFormat="0" applyFill="0" applyAlignment="0" applyProtection="0"/>
    <xf numFmtId="0"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0"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0" fontId="119" fillId="0" borderId="37"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5" fontId="118" fillId="0" borderId="36"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7" fontId="119" fillId="0" borderId="36" applyNumberFormat="0" applyFill="0" applyAlignment="0" applyProtection="0"/>
    <xf numFmtId="0" fontId="118" fillId="0" borderId="36" applyNumberFormat="0" applyFill="0" applyAlignment="0" applyProtection="0"/>
    <xf numFmtId="184" fontId="118" fillId="0" borderId="36" applyNumberFormat="0" applyFill="0" applyAlignment="0" applyProtection="0"/>
    <xf numFmtId="184" fontId="119" fillId="0" borderId="36" applyNumberFormat="0" applyFill="0" applyAlignment="0" applyProtection="0"/>
    <xf numFmtId="0" fontId="118"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8" fillId="0" borderId="36"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8" fillId="0" borderId="36"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5" fontId="118" fillId="0" borderId="36"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0"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2" fontId="76" fillId="0" borderId="21" applyNumberFormat="0" applyFill="0" applyAlignment="0" applyProtection="0"/>
    <xf numFmtId="0" fontId="120" fillId="0" borderId="38" applyNumberFormat="0" applyFill="0" applyAlignment="0" applyProtection="0"/>
    <xf numFmtId="0"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2" fontId="121" fillId="0" borderId="39" applyNumberFormat="0" applyFill="0" applyAlignment="0" applyProtection="0"/>
    <xf numFmtId="0"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5"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0"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0"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0" fontId="121" fillId="0" borderId="39"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3" fontId="121" fillId="0" borderId="39" applyNumberFormat="0" applyFill="0" applyAlignment="0" applyProtection="0"/>
    <xf numFmtId="184" fontId="121" fillId="0" borderId="39" applyNumberFormat="0" applyFill="0" applyAlignment="0" applyProtection="0"/>
    <xf numFmtId="184" fontId="121" fillId="0" borderId="39"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5" fontId="120" fillId="0" borderId="38"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7" fontId="121" fillId="0" borderId="40" applyNumberFormat="0" applyFill="0" applyAlignment="0" applyProtection="0"/>
    <xf numFmtId="0" fontId="120" fillId="0" borderId="38" applyNumberFormat="0" applyFill="0" applyAlignment="0" applyProtection="0"/>
    <xf numFmtId="184" fontId="120" fillId="0" borderId="38" applyNumberFormat="0" applyFill="0" applyAlignment="0" applyProtection="0"/>
    <xf numFmtId="184" fontId="121" fillId="0" borderId="40" applyNumberFormat="0" applyFill="0" applyAlignment="0" applyProtection="0"/>
    <xf numFmtId="0" fontId="120" fillId="0" borderId="38"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5"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0" fontId="120" fillId="0" borderId="38"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5"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0" fontId="120" fillId="0" borderId="38"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5" fontId="120" fillId="0" borderId="38"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0"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2" fontId="77" fillId="0" borderId="22"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2" fontId="121" fillId="0" borderId="0" applyNumberFormat="0" applyFill="0" applyBorder="0" applyAlignment="0" applyProtection="0"/>
    <xf numFmtId="0"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7" fontId="121"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184" fontId="121" fillId="0" borderId="0" applyNumberFormat="0" applyFill="0" applyBorder="0" applyAlignment="0" applyProtection="0"/>
    <xf numFmtId="0" fontId="120"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0"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0"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2" fontId="77" fillId="0" borderId="0" applyNumberFormat="0" applyFill="0" applyBorder="0" applyAlignment="0" applyProtection="0"/>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0" fontId="122" fillId="0" borderId="41">
      <alignment horizontal="center"/>
    </xf>
    <xf numFmtId="0" fontId="122" fillId="0" borderId="41">
      <alignment horizontal="center"/>
    </xf>
    <xf numFmtId="183" fontId="122" fillId="0" borderId="41">
      <alignment horizontal="center"/>
    </xf>
    <xf numFmtId="184" fontId="122" fillId="0" borderId="41">
      <alignment horizontal="center"/>
    </xf>
    <xf numFmtId="185" fontId="122" fillId="0" borderId="41">
      <alignment horizontal="center"/>
    </xf>
    <xf numFmtId="183" fontId="122" fillId="0" borderId="41">
      <alignment horizontal="center"/>
    </xf>
    <xf numFmtId="184" fontId="122" fillId="0" borderId="41">
      <alignment horizontal="center"/>
    </xf>
    <xf numFmtId="184" fontId="122" fillId="0" borderId="41">
      <alignment horizontal="center"/>
    </xf>
    <xf numFmtId="184" fontId="122" fillId="0" borderId="41">
      <alignment horizontal="center"/>
    </xf>
    <xf numFmtId="185" fontId="122" fillId="0" borderId="41">
      <alignment horizontal="center"/>
    </xf>
    <xf numFmtId="183" fontId="122" fillId="0" borderId="41">
      <alignment horizontal="center"/>
    </xf>
    <xf numFmtId="184" fontId="122" fillId="0" borderId="41">
      <alignment horizontal="center"/>
    </xf>
    <xf numFmtId="184" fontId="122" fillId="0" borderId="41">
      <alignment horizontal="center"/>
    </xf>
    <xf numFmtId="185" fontId="122" fillId="0" borderId="41">
      <alignment horizontal="center"/>
    </xf>
    <xf numFmtId="183" fontId="122" fillId="0" borderId="41">
      <alignment horizontal="center"/>
    </xf>
    <xf numFmtId="184" fontId="122" fillId="0" borderId="41">
      <alignment horizontal="center"/>
    </xf>
    <xf numFmtId="184" fontId="122" fillId="0" borderId="41">
      <alignment horizontal="center"/>
    </xf>
    <xf numFmtId="183" fontId="122" fillId="0" borderId="41">
      <alignment horizontal="center"/>
    </xf>
    <xf numFmtId="184" fontId="122" fillId="0" borderId="41">
      <alignment horizontal="center"/>
    </xf>
    <xf numFmtId="187" fontId="122" fillId="0" borderId="41">
      <alignment horizontal="center"/>
    </xf>
    <xf numFmtId="184" fontId="122" fillId="0" borderId="41">
      <alignment horizontal="center"/>
    </xf>
    <xf numFmtId="184" fontId="122" fillId="0" borderId="41">
      <alignment horizontal="center"/>
    </xf>
    <xf numFmtId="0" fontId="122" fillId="0" borderId="0">
      <alignment horizontal="center"/>
    </xf>
    <xf numFmtId="0" fontId="122" fillId="0" borderId="0">
      <alignment horizontal="center"/>
    </xf>
    <xf numFmtId="183"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3" fontId="122" fillId="0" borderId="0">
      <alignment horizontal="center"/>
    </xf>
    <xf numFmtId="184" fontId="122" fillId="0" borderId="0">
      <alignment horizontal="center"/>
    </xf>
    <xf numFmtId="187" fontId="122" fillId="0" borderId="0">
      <alignment horizontal="center"/>
    </xf>
    <xf numFmtId="184" fontId="122" fillId="0" borderId="0">
      <alignment horizontal="center"/>
    </xf>
    <xf numFmtId="184" fontId="122" fillId="0" borderId="0">
      <alignment horizontal="center"/>
    </xf>
    <xf numFmtId="0" fontId="110" fillId="0" borderId="0" applyProtection="0">
      <alignment horizontal="right"/>
    </xf>
    <xf numFmtId="0" fontId="110" fillId="0" borderId="0" applyProtection="0">
      <alignment horizontal="right"/>
    </xf>
    <xf numFmtId="183" fontId="110" fillId="0" borderId="0" applyProtection="0">
      <alignment horizontal="right"/>
    </xf>
    <xf numFmtId="184" fontId="110" fillId="0" borderId="0" applyProtection="0">
      <alignment horizontal="right"/>
    </xf>
    <xf numFmtId="185" fontId="110" fillId="0" borderId="0" applyProtection="0">
      <alignment horizontal="right"/>
    </xf>
    <xf numFmtId="183" fontId="110" fillId="0" borderId="0" applyProtection="0">
      <alignment horizontal="right"/>
    </xf>
    <xf numFmtId="184" fontId="110" fillId="0" borderId="0" applyProtection="0">
      <alignment horizontal="right"/>
    </xf>
    <xf numFmtId="184" fontId="110" fillId="0" borderId="0" applyProtection="0">
      <alignment horizontal="right"/>
    </xf>
    <xf numFmtId="184" fontId="110" fillId="0" borderId="0" applyProtection="0">
      <alignment horizontal="right"/>
    </xf>
    <xf numFmtId="185" fontId="110" fillId="0" borderId="0" applyProtection="0">
      <alignment horizontal="right"/>
    </xf>
    <xf numFmtId="183" fontId="110" fillId="0" borderId="0" applyProtection="0">
      <alignment horizontal="right"/>
    </xf>
    <xf numFmtId="184" fontId="110" fillId="0" borderId="0" applyProtection="0">
      <alignment horizontal="right"/>
    </xf>
    <xf numFmtId="184" fontId="110" fillId="0" borderId="0" applyProtection="0">
      <alignment horizontal="right"/>
    </xf>
    <xf numFmtId="183" fontId="110" fillId="0" borderId="0" applyProtection="0">
      <alignment horizontal="right"/>
    </xf>
    <xf numFmtId="184" fontId="110" fillId="0" borderId="0" applyProtection="0">
      <alignment horizontal="right"/>
    </xf>
    <xf numFmtId="187" fontId="110" fillId="0" borderId="0" applyProtection="0">
      <alignment horizontal="right"/>
    </xf>
    <xf numFmtId="184" fontId="110" fillId="0" borderId="0" applyProtection="0">
      <alignment horizontal="right"/>
    </xf>
    <xf numFmtId="184" fontId="110" fillId="0" borderId="0" applyProtection="0">
      <alignment horizontal="right"/>
    </xf>
    <xf numFmtId="198" fontId="21" fillId="0" borderId="0" applyFont="0" applyFill="0" applyBorder="0" applyAlignment="0" applyProtection="0"/>
    <xf numFmtId="198" fontId="21" fillId="0" borderId="0" applyFont="0" applyFill="0" applyBorder="0" applyAlignment="0" applyProtection="0"/>
    <xf numFmtId="0" fontId="123" fillId="0" borderId="42" applyNumberFormat="0" applyFill="0" applyAlignment="0" applyProtection="0"/>
    <xf numFmtId="185" fontId="123" fillId="0" borderId="42" applyNumberFormat="0" applyFill="0" applyAlignment="0" applyProtection="0"/>
    <xf numFmtId="0"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5"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7"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3" fontId="124" fillId="0" borderId="0" applyFill="0" applyBorder="0" applyAlignment="0" applyProtection="0">
      <alignment horizontal="right"/>
    </xf>
    <xf numFmtId="184" fontId="124" fillId="0" borderId="0" applyFill="0" applyBorder="0" applyAlignment="0" applyProtection="0">
      <alignment horizontal="right"/>
    </xf>
    <xf numFmtId="10" fontId="23" fillId="102" borderId="3" applyNumberFormat="0" applyBorder="0" applyAlignment="0" applyProtection="0"/>
    <xf numFmtId="10" fontId="23" fillId="102" borderId="3" applyNumberFormat="0" applyBorder="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81" fillId="41" borderId="23" applyNumberFormat="0" applyAlignment="0" applyProtection="0"/>
    <xf numFmtId="184" fontId="81" fillId="41" borderId="23"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0"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0" fontId="125" fillId="21" borderId="32" applyNumberFormat="0" applyAlignment="0" applyProtection="0"/>
    <xf numFmtId="184" fontId="125" fillId="21" borderId="32" applyNumberFormat="0" applyAlignment="0" applyProtection="0"/>
    <xf numFmtId="184" fontId="126" fillId="74" borderId="31" applyNumberFormat="0" applyAlignment="0" applyProtection="0"/>
    <xf numFmtId="182" fontId="125" fillId="21" borderId="32"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2"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7" fontId="81" fillId="41" borderId="23" applyNumberFormat="0" applyAlignment="0" applyProtection="0"/>
    <xf numFmtId="0"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7" fontId="125" fillId="21" borderId="31" applyNumberFormat="0" applyAlignment="0" applyProtection="0"/>
    <xf numFmtId="187"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7" fontId="125" fillId="21" borderId="31" applyNumberFormat="0" applyAlignment="0" applyProtection="0"/>
    <xf numFmtId="187"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99" fontId="127" fillId="0" borderId="0" applyFont="0" applyFill="0" applyBorder="0" applyProtection="0">
      <alignment horizontal="center"/>
    </xf>
    <xf numFmtId="183" fontId="34" fillId="34" borderId="0" applyNumberFormat="0" applyFont="0" applyBorder="0" applyAlignment="0" applyProtection="0">
      <alignment horizontal="left"/>
    </xf>
    <xf numFmtId="184" fontId="34" fillId="34" borderId="0" applyNumberFormat="0" applyFont="0" applyBorder="0" applyAlignment="0" applyProtection="0">
      <alignment horizontal="left"/>
    </xf>
    <xf numFmtId="0" fontId="128" fillId="0" borderId="43" applyNumberFormat="0" applyFill="0" applyAlignment="0" applyProtection="0"/>
    <xf numFmtId="0"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2" fontId="114" fillId="0" borderId="44" applyNumberFormat="0" applyFill="0" applyAlignment="0" applyProtection="0"/>
    <xf numFmtId="0"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5"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0"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0"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0" fontId="114" fillId="0" borderId="44"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3" fontId="114" fillId="0" borderId="44" applyNumberFormat="0" applyFill="0" applyAlignment="0" applyProtection="0"/>
    <xf numFmtId="184" fontId="114" fillId="0" borderId="44" applyNumberFormat="0" applyFill="0" applyAlignment="0" applyProtection="0"/>
    <xf numFmtId="184" fontId="114" fillId="0" borderId="44"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5" fontId="128" fillId="0" borderId="43"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7" fontId="129" fillId="0" borderId="45" applyNumberFormat="0" applyFill="0" applyAlignment="0" applyProtection="0"/>
    <xf numFmtId="0" fontId="128" fillId="0" borderId="43" applyNumberFormat="0" applyFill="0" applyAlignment="0" applyProtection="0"/>
    <xf numFmtId="184" fontId="128" fillId="0" borderId="43" applyNumberFormat="0" applyFill="0" applyAlignment="0" applyProtection="0"/>
    <xf numFmtId="184" fontId="129" fillId="0" borderId="45" applyNumberFormat="0" applyFill="0" applyAlignment="0" applyProtection="0"/>
    <xf numFmtId="0" fontId="128" fillId="0" borderId="43"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5"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0" fontId="128" fillId="0" borderId="43"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5"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0" fontId="128" fillId="0" borderId="43"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5" fontId="128" fillId="0" borderId="43"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0"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2" fontId="84" fillId="0" borderId="25" applyNumberFormat="0" applyFill="0" applyAlignment="0" applyProtection="0"/>
    <xf numFmtId="183" fontId="130" fillId="103" borderId="0">
      <alignment horizontal="right"/>
    </xf>
    <xf numFmtId="184" fontId="130" fillId="103" borderId="0">
      <alignment horizontal="right"/>
    </xf>
    <xf numFmtId="17" fontId="131" fillId="0" borderId="0" applyFont="0" applyFill="0" applyBorder="0" applyAlignment="0" applyProtection="0">
      <alignment horizontal="centerContinuous"/>
      <protection locked="0"/>
    </xf>
    <xf numFmtId="0" fontId="132" fillId="25" borderId="0" applyNumberFormat="0" applyBorder="0" applyAlignment="0" applyProtection="0"/>
    <xf numFmtId="0"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2" fontId="114" fillId="21" borderId="0" applyNumberFormat="0" applyBorder="0" applyAlignment="0" applyProtection="0"/>
    <xf numFmtId="0"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7" fontId="132" fillId="21" borderId="0" applyNumberFormat="0" applyBorder="0" applyAlignment="0" applyProtection="0"/>
    <xf numFmtId="184" fontId="132" fillId="21" borderId="0" applyNumberFormat="0" applyBorder="0" applyAlignment="0" applyProtection="0"/>
    <xf numFmtId="184" fontId="80" fillId="40" borderId="0" applyNumberFormat="0" applyBorder="0" applyAlignment="0" applyProtection="0"/>
    <xf numFmtId="0"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0"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14"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3" fontId="114" fillId="21" borderId="0" applyNumberFormat="0" applyBorder="0" applyAlignment="0" applyProtection="0"/>
    <xf numFmtId="184" fontId="114" fillId="21" borderId="0" applyNumberFormat="0" applyBorder="0" applyAlignment="0" applyProtection="0"/>
    <xf numFmtId="184" fontId="114" fillId="21"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5"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7" fontId="80" fillId="40" borderId="0" applyNumberFormat="0" applyBorder="0" applyAlignment="0" applyProtection="0"/>
    <xf numFmtId="0" fontId="132" fillId="25" borderId="0" applyNumberFormat="0" applyBorder="0" applyAlignment="0" applyProtection="0"/>
    <xf numFmtId="184" fontId="132" fillId="25"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5"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0"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2" fontId="80" fillId="40" borderId="0" applyNumberFormat="0" applyBorder="0" applyAlignment="0" applyProtection="0"/>
    <xf numFmtId="37" fontId="133" fillId="0" borderId="0"/>
    <xf numFmtId="200" fontId="134" fillId="0" borderId="0"/>
    <xf numFmtId="201" fontId="21" fillId="0" borderId="0"/>
    <xf numFmtId="201" fontId="21"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183" fontId="21" fillId="0" borderId="0"/>
    <xf numFmtId="184" fontId="21" fillId="0" borderId="0"/>
    <xf numFmtId="184" fontId="21" fillId="0" borderId="0"/>
    <xf numFmtId="187" fontId="5" fillId="0" borderId="0"/>
    <xf numFmtId="0"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184" fontId="21" fillId="0" borderId="0"/>
    <xf numFmtId="182" fontId="23" fillId="104" borderId="0"/>
    <xf numFmtId="202" fontId="5" fillId="0" borderId="0"/>
    <xf numFmtId="0" fontId="5" fillId="0" borderId="0"/>
    <xf numFmtId="202"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184" fontId="21" fillId="0" borderId="0"/>
    <xf numFmtId="187" fontId="5" fillId="0" borderId="0"/>
    <xf numFmtId="0" fontId="21" fillId="0" borderId="0"/>
    <xf numFmtId="184" fontId="21" fillId="0" borderId="0"/>
    <xf numFmtId="184" fontId="5" fillId="0" borderId="0"/>
    <xf numFmtId="0" fontId="21" fillId="0" borderId="0"/>
    <xf numFmtId="184" fontId="21" fillId="0" borderId="0"/>
    <xf numFmtId="0"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4" fontId="21" fillId="0" borderId="0"/>
    <xf numFmtId="182" fontId="21" fillId="0" borderId="0"/>
    <xf numFmtId="202" fontId="5" fillId="0" borderId="0"/>
    <xf numFmtId="0" fontId="13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135" fillId="0" borderId="0"/>
    <xf numFmtId="183" fontId="135" fillId="0" borderId="0"/>
    <xf numFmtId="184" fontId="13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5" fillId="0" borderId="0"/>
    <xf numFmtId="185" fontId="135" fillId="0" borderId="0"/>
    <xf numFmtId="183" fontId="135" fillId="0" borderId="0"/>
    <xf numFmtId="183" fontId="135" fillId="0" borderId="0"/>
    <xf numFmtId="184" fontId="135" fillId="0" borderId="0"/>
    <xf numFmtId="0" fontId="5" fillId="0" borderId="0"/>
    <xf numFmtId="183" fontId="5" fillId="0" borderId="0"/>
    <xf numFmtId="184" fontId="5" fillId="0" borderId="0"/>
    <xf numFmtId="184" fontId="5" fillId="0" borderId="0"/>
    <xf numFmtId="184" fontId="135" fillId="0" borderId="0"/>
    <xf numFmtId="185" fontId="135" fillId="0" borderId="0"/>
    <xf numFmtId="183" fontId="135" fillId="0" borderId="0"/>
    <xf numFmtId="184" fontId="135" fillId="0" borderId="0"/>
    <xf numFmtId="184" fontId="13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5" fillId="0" borderId="0"/>
    <xf numFmtId="0" fontId="135" fillId="0" borderId="0"/>
    <xf numFmtId="183" fontId="135" fillId="0" borderId="0"/>
    <xf numFmtId="184" fontId="135" fillId="0" borderId="0"/>
    <xf numFmtId="184" fontId="135" fillId="0" borderId="0"/>
    <xf numFmtId="184" fontId="135" fillId="0" borderId="0"/>
    <xf numFmtId="0"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21" fillId="0" borderId="0"/>
    <xf numFmtId="183" fontId="21" fillId="0" borderId="0"/>
    <xf numFmtId="184" fontId="21" fillId="0" borderId="0"/>
    <xf numFmtId="184" fontId="21" fillId="0" borderId="0"/>
    <xf numFmtId="187" fontId="21"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21" fillId="0" borderId="0"/>
    <xf numFmtId="202"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6" fontId="21" fillId="0" borderId="0">
      <alignment horizontal="left" wrapText="1"/>
    </xf>
    <xf numFmtId="0" fontId="23"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7" fontId="5" fillId="0" borderId="0"/>
    <xf numFmtId="184" fontId="5" fillId="0" borderId="0"/>
    <xf numFmtId="184"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0" fontId="23" fillId="104" borderId="0"/>
    <xf numFmtId="183" fontId="23" fillId="104" borderId="0"/>
    <xf numFmtId="184" fontId="23" fillId="104" borderId="0"/>
    <xf numFmtId="184" fontId="23" fillId="104" borderId="0"/>
    <xf numFmtId="0"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3" fontId="23" fillId="104" borderId="0"/>
    <xf numFmtId="184" fontId="23" fillId="104" borderId="0"/>
    <xf numFmtId="184" fontId="23" fillId="104"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38" fillId="0" borderId="0"/>
    <xf numFmtId="187" fontId="5" fillId="0" borderId="0"/>
    <xf numFmtId="184" fontId="5" fillId="0" borderId="0"/>
    <xf numFmtId="184" fontId="21" fillId="0" borderId="0"/>
    <xf numFmtId="202" fontId="21" fillId="0" borderId="0"/>
    <xf numFmtId="182"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183" fontId="5" fillId="0" borderId="0"/>
    <xf numFmtId="184" fontId="5" fillId="0" borderId="0"/>
    <xf numFmtId="183" fontId="5" fillId="0" borderId="0"/>
    <xf numFmtId="184" fontId="5" fillId="0" borderId="0"/>
    <xf numFmtId="183"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3" fontId="5" fillId="0" borderId="0"/>
    <xf numFmtId="184" fontId="5" fillId="0" borderId="0"/>
    <xf numFmtId="0" fontId="5" fillId="0" borderId="0"/>
    <xf numFmtId="184" fontId="5"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54" fillId="0" borderId="0"/>
    <xf numFmtId="0" fontId="23" fillId="104" borderId="0"/>
    <xf numFmtId="184" fontId="23" fillId="104" borderId="0"/>
    <xf numFmtId="184" fontId="54" fillId="0" borderId="0"/>
    <xf numFmtId="0" fontId="23" fillId="104" borderId="0"/>
    <xf numFmtId="184" fontId="23" fillId="104"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0" fontId="21" fillId="0" borderId="0"/>
    <xf numFmtId="184" fontId="21"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23" fillId="104" borderId="0"/>
    <xf numFmtId="184" fontId="23" fillId="104" borderId="0"/>
    <xf numFmtId="0" fontId="5" fillId="0" borderId="0"/>
    <xf numFmtId="184" fontId="5" fillId="0"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184" fontId="5"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3" fillId="104" borderId="0"/>
    <xf numFmtId="202"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202" fontId="5" fillId="0" borderId="0"/>
    <xf numFmtId="202" fontId="5" fillId="0" borderId="0"/>
    <xf numFmtId="202" fontId="5" fillId="0" borderId="0"/>
    <xf numFmtId="202" fontId="5" fillId="0" borderId="0"/>
    <xf numFmtId="202" fontId="5" fillId="0" borderId="0"/>
    <xf numFmtId="183" fontId="5" fillId="0" borderId="0"/>
    <xf numFmtId="183" fontId="5" fillId="0" borderId="0"/>
    <xf numFmtId="183" fontId="5" fillId="0" borderId="0"/>
    <xf numFmtId="0" fontId="23" fillId="104" borderId="0"/>
    <xf numFmtId="0" fontId="23" fillId="104"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23" fillId="104" borderId="0"/>
    <xf numFmtId="0" fontId="5" fillId="0" borderId="0"/>
    <xf numFmtId="0"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5" fillId="0" borderId="0"/>
    <xf numFmtId="0" fontId="23" fillId="104" borderId="0"/>
    <xf numFmtId="0" fontId="23" fillId="104"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3" fillId="104" borderId="0"/>
    <xf numFmtId="0" fontId="23" fillId="104" borderId="0"/>
    <xf numFmtId="0" fontId="5" fillId="0" borderId="0"/>
    <xf numFmtId="0" fontId="23" fillId="104" borderId="0"/>
    <xf numFmtId="0" fontId="23" fillId="104" borderId="0"/>
    <xf numFmtId="202" fontId="5" fillId="0" borderId="0"/>
    <xf numFmtId="202"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1" fillId="0" borderId="0"/>
    <xf numFmtId="0" fontId="21" fillId="0" borderId="0"/>
    <xf numFmtId="0" fontId="21" fillId="0" borderId="0"/>
    <xf numFmtId="0"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8"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8"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96" fontId="21" fillId="0" borderId="0"/>
    <xf numFmtId="196"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4" fillId="105" borderId="0" applyBorder="0" applyAlignment="0">
      <alignment horizontal="left"/>
    </xf>
    <xf numFmtId="183" fontId="34" fillId="105" borderId="0" applyBorder="0" applyAlignment="0">
      <alignment horizontal="left"/>
    </xf>
    <xf numFmtId="184" fontId="34" fillId="105" borderId="0" applyBorder="0" applyAlignment="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34" fillId="105" borderId="0" applyBorder="0" applyAlignment="0">
      <alignment horizontal="left"/>
    </xf>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0" fontId="5" fillId="44" borderId="27" applyNumberFormat="0" applyFont="0" applyAlignment="0" applyProtection="0"/>
    <xf numFmtId="184" fontId="5" fillId="44" borderId="27"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5" fillId="44" borderId="27"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38"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1" fillId="26" borderId="46"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2" fontId="23" fillId="20" borderId="32"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38" fillId="26" borderId="46" applyNumberFormat="0" applyFont="0" applyAlignment="0" applyProtection="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2" fontId="5"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38" fillId="26" borderId="46"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0" fontId="38"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203" fontId="136" fillId="0" borderId="47" applyFont="0" applyFill="0" applyBorder="0" applyAlignment="0" applyProtection="0">
      <alignment horizontal="center"/>
      <protection locked="0"/>
    </xf>
    <xf numFmtId="203" fontId="136" fillId="0" borderId="47"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2" fontId="82" fillId="42" borderId="24" applyNumberFormat="0" applyAlignment="0" applyProtection="0"/>
    <xf numFmtId="0"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37" fillId="97" borderId="48" applyNumberFormat="0" applyAlignment="0" applyProtection="0"/>
    <xf numFmtId="0"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7"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0" fontId="137" fillId="96" borderId="48" applyNumberFormat="0" applyAlignment="0" applyProtection="0"/>
    <xf numFmtId="184" fontId="137" fillId="96" borderId="48" applyNumberFormat="0" applyAlignment="0" applyProtection="0"/>
    <xf numFmtId="184" fontId="137" fillId="75" borderId="48" applyNumberFormat="0" applyAlignment="0" applyProtection="0"/>
    <xf numFmtId="182" fontId="137" fillId="96" borderId="48" applyNumberFormat="0" applyAlignment="0" applyProtection="0"/>
    <xf numFmtId="0"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6"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3" fontId="137" fillId="96" borderId="48" applyNumberFormat="0" applyAlignment="0" applyProtection="0"/>
    <xf numFmtId="183" fontId="137" fillId="96" borderId="48" applyNumberFormat="0" applyAlignment="0" applyProtection="0"/>
    <xf numFmtId="183"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5" fillId="0" borderId="0"/>
    <xf numFmtId="183" fontId="5" fillId="0" borderId="0"/>
    <xf numFmtId="184" fontId="5" fillId="0" borderId="0"/>
    <xf numFmtId="184" fontId="5" fillId="0" borderId="0"/>
    <xf numFmtId="183"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137" fillId="96" borderId="48" applyNumberFormat="0" applyAlignment="0" applyProtection="0"/>
    <xf numFmtId="183" fontId="137" fillId="96" borderId="48" applyNumberFormat="0" applyAlignment="0" applyProtection="0"/>
    <xf numFmtId="183"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137" fillId="75" borderId="48"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82" fillId="42" borderId="24" applyNumberFormat="0" applyAlignment="0" applyProtection="0"/>
    <xf numFmtId="184" fontId="82" fillId="42" borderId="24" applyNumberFormat="0" applyAlignment="0" applyProtection="0"/>
    <xf numFmtId="0" fontId="137" fillId="96" borderId="48" applyNumberFormat="0" applyAlignment="0" applyProtection="0"/>
    <xf numFmtId="184" fontId="137" fillId="96" borderId="48" applyNumberFormat="0" applyAlignment="0" applyProtection="0"/>
    <xf numFmtId="184" fontId="82" fillId="42" borderId="24" applyNumberFormat="0" applyAlignment="0" applyProtection="0"/>
    <xf numFmtId="10" fontId="138" fillId="0" borderId="49" applyFont="0" applyFill="0" applyBorder="0" applyAlignment="0" applyProtection="0">
      <alignment horizontal="center"/>
      <protection locked="0"/>
    </xf>
    <xf numFmtId="10" fontId="138" fillId="0" borderId="49"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39" fillId="0" borderId="0" applyFont="0" applyFill="0" applyBorder="0" applyProtection="0">
      <alignment horizontal="center"/>
    </xf>
    <xf numFmtId="190" fontId="139" fillId="0" borderId="0" applyFont="0" applyFill="0" applyBorder="0" applyProtection="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1" fillId="0" borderId="0">
      <alignment horizontal="center" wrapText="1"/>
      <protection locked="0"/>
    </xf>
    <xf numFmtId="14" fontId="31" fillId="0" borderId="0">
      <alignment horizontal="center" wrapText="1"/>
      <protection locked="0"/>
    </xf>
    <xf numFmtId="14" fontId="31"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1"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204" fontId="21" fillId="0" borderId="0" applyFont="0" applyFill="0" applyBorder="0" applyAlignment="0" applyProtection="0"/>
    <xf numFmtId="204"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135"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5"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5" fillId="0" borderId="0"/>
    <xf numFmtId="183" fontId="5" fillId="0" borderId="0"/>
    <xf numFmtId="184" fontId="5" fillId="0" borderId="0"/>
    <xf numFmtId="184" fontId="5" fillId="0" borderId="0"/>
    <xf numFmtId="9" fontId="4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5" fillId="0" borderId="0"/>
    <xf numFmtId="183" fontId="5" fillId="0" borderId="0"/>
    <xf numFmtId="184" fontId="5" fillId="0" borderId="0"/>
    <xf numFmtId="184" fontId="5" fillId="0" borderId="0"/>
    <xf numFmtId="9" fontId="4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xf numFmtId="10" fontId="140" fillId="0" borderId="50" applyFont="0" applyFill="0" applyBorder="0" applyAlignment="0" applyProtection="0">
      <alignment horizontal="center"/>
      <protection locked="0"/>
    </xf>
    <xf numFmtId="10" fontId="140" fillId="0" borderId="50"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4" fillId="0" borderId="0" applyFont="0" applyAlignment="0">
      <alignment horizontal="center" wrapText="1"/>
    </xf>
    <xf numFmtId="9" fontId="34" fillId="0" borderId="0" applyFont="0" applyAlignment="0">
      <alignment horizontal="center"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41" fillId="0" borderId="0" applyNumberFormat="0" applyFill="0" applyBorder="0" applyProtection="0">
      <alignment horizontal="right"/>
    </xf>
    <xf numFmtId="9" fontId="141" fillId="0" borderId="0" applyNumberFormat="0" applyFill="0" applyBorder="0" applyProtection="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15"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5"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4" fillId="0" borderId="0" applyFont="0" applyFill="0" applyBorder="0" applyAlignment="0" applyProtection="0"/>
    <xf numFmtId="3" fontId="44" fillId="0" borderId="0" applyFont="0" applyFill="0" applyBorder="0" applyAlignment="0" applyProtection="0"/>
    <xf numFmtId="3"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2" fillId="106" borderId="0" applyNumberFormat="0" applyFont="0" applyBorder="0" applyAlignment="0">
      <alignment horizontal="center"/>
    </xf>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2" fillId="106" borderId="0" applyNumberFormat="0" applyFont="0" applyBorder="0" applyAlignment="0">
      <alignment horizontal="center"/>
    </xf>
    <xf numFmtId="184" fontId="142" fillId="106" borderId="0" applyNumberFormat="0" applyFont="0" applyBorder="0" applyAlignment="0">
      <alignment horizontal="center"/>
    </xf>
    <xf numFmtId="205" fontId="143" fillId="0" borderId="0" applyNumberFormat="0" applyFill="0" applyBorder="0" applyAlignment="0" applyProtection="0">
      <alignment horizontal="left"/>
    </xf>
    <xf numFmtId="205" fontId="143" fillId="0" borderId="0" applyNumberForma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4" fontId="23" fillId="25" borderId="32" applyNumberFormat="0" applyProtection="0">
      <alignment vertical="center"/>
    </xf>
    <xf numFmtId="4" fontId="23" fillId="25" borderId="32" applyNumberFormat="0" applyProtection="0">
      <alignment vertical="center"/>
    </xf>
    <xf numFmtId="0" fontId="21" fillId="0" borderId="0"/>
    <xf numFmtId="184" fontId="21" fillId="0" borderId="0"/>
    <xf numFmtId="4" fontId="23" fillId="25" borderId="32" applyNumberFormat="0" applyProtection="0">
      <alignment vertical="center"/>
    </xf>
    <xf numFmtId="184" fontId="21" fillId="0" borderId="0"/>
    <xf numFmtId="4" fontId="43" fillId="25" borderId="1"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0" fontId="5" fillId="0" borderId="0"/>
    <xf numFmtId="183" fontId="5" fillId="0" borderId="0"/>
    <xf numFmtId="184" fontId="5" fillId="0" borderId="0"/>
    <xf numFmtId="184" fontId="5" fillId="0" borderId="0"/>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43" fillId="25" borderId="1" applyNumberFormat="0" applyProtection="0">
      <alignment vertical="center"/>
    </xf>
    <xf numFmtId="4" fontId="43"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44" fillId="107" borderId="32" applyNumberFormat="0" applyProtection="0">
      <alignment vertical="center"/>
    </xf>
    <xf numFmtId="184" fontId="21" fillId="0" borderId="0"/>
    <xf numFmtId="4" fontId="45" fillId="25" borderId="1"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0" fontId="5" fillId="0" borderId="0"/>
    <xf numFmtId="183" fontId="5" fillId="0" borderId="0"/>
    <xf numFmtId="184" fontId="5" fillId="0" borderId="0"/>
    <xf numFmtId="184" fontId="5" fillId="0" borderId="0"/>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45" fillId="25" borderId="1" applyNumberFormat="0" applyProtection="0">
      <alignment vertical="center"/>
    </xf>
    <xf numFmtId="4" fontId="45"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5"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21" fillId="0" borderId="0"/>
    <xf numFmtId="184" fontId="21" fillId="0" borderId="0"/>
    <xf numFmtId="4" fontId="23" fillId="107" borderId="32" applyNumberFormat="0" applyProtection="0">
      <alignment horizontal="left" vertical="center" indent="1"/>
    </xf>
    <xf numFmtId="184" fontId="21" fillId="0" borderId="0"/>
    <xf numFmtId="4" fontId="43" fillId="25" borderId="1"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5" fillId="0" borderId="0"/>
    <xf numFmtId="183" fontId="5" fillId="0" borderId="0"/>
    <xf numFmtId="184" fontId="5" fillId="0" borderId="0"/>
    <xf numFmtId="184" fontId="5"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43" fillId="25" borderId="1" applyNumberFormat="0" applyProtection="0">
      <alignment horizontal="left" vertical="center" indent="1"/>
    </xf>
    <xf numFmtId="4" fontId="43" fillId="25"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25"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3" fillId="25" borderId="1" applyNumberFormat="0" applyProtection="0">
      <alignment horizontal="left" vertical="top" indent="1"/>
    </xf>
    <xf numFmtId="0" fontId="21" fillId="0" borderId="0"/>
    <xf numFmtId="184" fontId="21" fillId="0" borderId="0"/>
    <xf numFmtId="187"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21" fillId="0" borderId="0"/>
    <xf numFmtId="184" fontId="21" fillId="0" borderId="0"/>
    <xf numFmtId="0" fontId="21" fillId="0" borderId="0"/>
    <xf numFmtId="184" fontId="21" fillId="0" borderId="0"/>
    <xf numFmtId="0" fontId="145" fillId="25" borderId="1" applyNumberFormat="0" applyProtection="0">
      <alignment horizontal="left" vertical="top" indent="1"/>
    </xf>
    <xf numFmtId="184" fontId="145" fillId="25" borderId="1" applyNumberFormat="0" applyProtection="0">
      <alignment horizontal="left" vertical="top" indent="1"/>
    </xf>
    <xf numFmtId="184" fontId="21" fillId="0" borderId="0"/>
    <xf numFmtId="182" fontId="145"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43"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21" fillId="0" borderId="0"/>
    <xf numFmtId="184" fontId="21" fillId="0" borderId="0"/>
    <xf numFmtId="4" fontId="23" fillId="2" borderId="32" applyNumberFormat="0" applyProtection="0">
      <alignment horizontal="right" vertical="center"/>
    </xf>
    <xf numFmtId="4" fontId="23" fillId="2" borderId="32" applyNumberFormat="0" applyProtection="0">
      <alignment horizontal="right" vertical="center"/>
    </xf>
    <xf numFmtId="0" fontId="21" fillId="0" borderId="0"/>
    <xf numFmtId="184" fontId="21" fillId="0" borderId="0"/>
    <xf numFmtId="4" fontId="23" fillId="2" borderId="32" applyNumberFormat="0" applyProtection="0">
      <alignment horizontal="right" vertical="center"/>
    </xf>
    <xf numFmtId="184" fontId="21" fillId="0" borderId="0"/>
    <xf numFmtId="4" fontId="41" fillId="2" borderId="1"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8" borderId="32" applyNumberFormat="0" applyProtection="0">
      <alignment horizontal="right" vertical="center"/>
    </xf>
    <xf numFmtId="4" fontId="23" fillId="108" borderId="32" applyNumberFormat="0" applyProtection="0">
      <alignment horizontal="right" vertical="center"/>
    </xf>
    <xf numFmtId="0" fontId="21" fillId="0" borderId="0"/>
    <xf numFmtId="184" fontId="21" fillId="0" borderId="0"/>
    <xf numFmtId="4" fontId="23" fillId="108" borderId="32" applyNumberFormat="0" applyProtection="0">
      <alignment horizontal="right" vertical="center"/>
    </xf>
    <xf numFmtId="184" fontId="21" fillId="0" borderId="0"/>
    <xf numFmtId="4" fontId="41" fillId="4" borderId="1"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1" borderId="51" applyNumberFormat="0" applyProtection="0">
      <alignment horizontal="right" vertical="center"/>
    </xf>
    <xf numFmtId="4" fontId="23" fillId="11" borderId="51" applyNumberFormat="0" applyProtection="0">
      <alignment horizontal="right" vertical="center"/>
    </xf>
    <xf numFmtId="0" fontId="21" fillId="0" borderId="0"/>
    <xf numFmtId="184" fontId="21" fillId="0" borderId="0"/>
    <xf numFmtId="184" fontId="21" fillId="0" borderId="0"/>
    <xf numFmtId="4" fontId="41" fillId="11" borderId="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0" fontId="5" fillId="0" borderId="0"/>
    <xf numFmtId="183" fontId="5" fillId="0" borderId="0"/>
    <xf numFmtId="184" fontId="5" fillId="0" borderId="0"/>
    <xf numFmtId="184" fontId="5" fillId="0" borderId="0"/>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6" borderId="32" applyNumberFormat="0" applyProtection="0">
      <alignment horizontal="right" vertical="center"/>
    </xf>
    <xf numFmtId="4" fontId="23" fillId="6" borderId="32" applyNumberFormat="0" applyProtection="0">
      <alignment horizontal="right" vertical="center"/>
    </xf>
    <xf numFmtId="0" fontId="21" fillId="0" borderId="0"/>
    <xf numFmtId="184" fontId="21" fillId="0" borderId="0"/>
    <xf numFmtId="4" fontId="23" fillId="6" borderId="32" applyNumberFormat="0" applyProtection="0">
      <alignment horizontal="right" vertical="center"/>
    </xf>
    <xf numFmtId="184" fontId="21" fillId="0" borderId="0"/>
    <xf numFmtId="4" fontId="41" fillId="6" borderId="1"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7" borderId="32" applyNumberFormat="0" applyProtection="0">
      <alignment horizontal="right" vertical="center"/>
    </xf>
    <xf numFmtId="4" fontId="23" fillId="7" borderId="32" applyNumberFormat="0" applyProtection="0">
      <alignment horizontal="right" vertical="center"/>
    </xf>
    <xf numFmtId="0" fontId="21" fillId="0" borderId="0"/>
    <xf numFmtId="184" fontId="21" fillId="0" borderId="0"/>
    <xf numFmtId="4" fontId="23" fillId="7" borderId="32" applyNumberFormat="0" applyProtection="0">
      <alignment horizontal="right" vertical="center"/>
    </xf>
    <xf numFmtId="184" fontId="21" fillId="0" borderId="0"/>
    <xf numFmtId="4" fontId="41" fillId="7" borderId="1"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9" borderId="32" applyNumberFormat="0" applyProtection="0">
      <alignment horizontal="right" vertical="center"/>
    </xf>
    <xf numFmtId="4" fontId="23" fillId="19" borderId="32" applyNumberFormat="0" applyProtection="0">
      <alignment horizontal="right" vertical="center"/>
    </xf>
    <xf numFmtId="0" fontId="21" fillId="0" borderId="0"/>
    <xf numFmtId="184" fontId="21" fillId="0" borderId="0"/>
    <xf numFmtId="4" fontId="23" fillId="19" borderId="32" applyNumberFormat="0" applyProtection="0">
      <alignment horizontal="right" vertical="center"/>
    </xf>
    <xf numFmtId="184" fontId="21" fillId="0" borderId="0"/>
    <xf numFmtId="4" fontId="41" fillId="19" borderId="1"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5" borderId="32" applyNumberFormat="0" applyProtection="0">
      <alignment horizontal="right" vertical="center"/>
    </xf>
    <xf numFmtId="4" fontId="23" fillId="15" borderId="32" applyNumberFormat="0" applyProtection="0">
      <alignment horizontal="right" vertical="center"/>
    </xf>
    <xf numFmtId="0" fontId="21" fillId="0" borderId="0"/>
    <xf numFmtId="184" fontId="21" fillId="0" borderId="0"/>
    <xf numFmtId="4" fontId="23" fillId="15" borderId="32" applyNumberFormat="0" applyProtection="0">
      <alignment horizontal="right" vertical="center"/>
    </xf>
    <xf numFmtId="184" fontId="21" fillId="0" borderId="0"/>
    <xf numFmtId="4" fontId="41" fillId="15" borderId="1"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8" borderId="32" applyNumberFormat="0" applyProtection="0">
      <alignment horizontal="right" vertical="center"/>
    </xf>
    <xf numFmtId="4" fontId="23" fillId="28" borderId="32" applyNumberFormat="0" applyProtection="0">
      <alignment horizontal="right" vertical="center"/>
    </xf>
    <xf numFmtId="0" fontId="21" fillId="0" borderId="0"/>
    <xf numFmtId="184" fontId="21" fillId="0" borderId="0"/>
    <xf numFmtId="4" fontId="23" fillId="28" borderId="32" applyNumberFormat="0" applyProtection="0">
      <alignment horizontal="right" vertical="center"/>
    </xf>
    <xf numFmtId="184" fontId="21" fillId="0" borderId="0"/>
    <xf numFmtId="4" fontId="41" fillId="28" borderId="1"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5" borderId="32" applyNumberFormat="0" applyProtection="0">
      <alignment horizontal="right" vertical="center"/>
    </xf>
    <xf numFmtId="4" fontId="23" fillId="5" borderId="32" applyNumberFormat="0" applyProtection="0">
      <alignment horizontal="right" vertical="center"/>
    </xf>
    <xf numFmtId="0" fontId="21" fillId="0" borderId="0"/>
    <xf numFmtId="184" fontId="21" fillId="0" borderId="0"/>
    <xf numFmtId="4" fontId="23" fillId="5" borderId="32" applyNumberFormat="0" applyProtection="0">
      <alignment horizontal="right" vertical="center"/>
    </xf>
    <xf numFmtId="184" fontId="21" fillId="0" borderId="0"/>
    <xf numFmtId="4" fontId="41" fillId="5" borderId="1"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0" fontId="21" fillId="0" borderId="0"/>
    <xf numFmtId="184" fontId="21" fillId="0" borderId="0"/>
    <xf numFmtId="184" fontId="21" fillId="0" borderId="0"/>
    <xf numFmtId="4" fontId="43" fillId="29" borderId="2"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43" fillId="29" borderId="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1" fillId="30"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6" fillId="31"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6" fillId="31"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32" applyNumberFormat="0" applyProtection="0">
      <alignment horizontal="right" vertical="center"/>
    </xf>
    <xf numFmtId="4" fontId="23" fillId="27" borderId="32" applyNumberFormat="0" applyProtection="0">
      <alignment horizontal="right" vertical="center"/>
    </xf>
    <xf numFmtId="0" fontId="21" fillId="0" borderId="0"/>
    <xf numFmtId="184" fontId="21" fillId="0" borderId="0"/>
    <xf numFmtId="4" fontId="23" fillId="27" borderId="32" applyNumberFormat="0" applyProtection="0">
      <alignment horizontal="right" vertical="center"/>
    </xf>
    <xf numFmtId="184" fontId="21" fillId="0" borderId="0"/>
    <xf numFmtId="4" fontId="41" fillId="27" borderId="1"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0" fontId="21" fillId="0" borderId="0"/>
    <xf numFmtId="184" fontId="21" fillId="0" borderId="0"/>
    <xf numFmtId="184" fontId="21" fillId="0" borderId="0"/>
    <xf numFmtId="4" fontId="41" fillId="30" borderId="0"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0" fontId="21" fillId="0" borderId="0"/>
    <xf numFmtId="184" fontId="21" fillId="0" borderId="0"/>
    <xf numFmtId="184" fontId="21" fillId="0" borderId="0"/>
    <xf numFmtId="4" fontId="41" fillId="27" borderId="0"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21" fillId="31" borderId="1" applyNumberFormat="0" applyProtection="0">
      <alignment horizontal="left" vertical="center" indent="1"/>
    </xf>
    <xf numFmtId="0" fontId="21" fillId="0" borderId="0"/>
    <xf numFmtId="184" fontId="21" fillId="0" borderId="0"/>
    <xf numFmtId="187"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0" borderId="0"/>
    <xf numFmtId="184" fontId="21"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0" fontId="21" fillId="0" borderId="0"/>
    <xf numFmtId="184" fontId="21" fillId="0" borderId="0"/>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1" fillId="0" borderId="0"/>
    <xf numFmtId="182" fontId="23" fillId="75" borderId="32"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2"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27" borderId="1" applyNumberFormat="0" applyProtection="0">
      <alignment horizontal="left" vertical="center" indent="1"/>
    </xf>
    <xf numFmtId="0" fontId="21" fillId="0" borderId="0"/>
    <xf numFmtId="184" fontId="21" fillId="0" borderId="0"/>
    <xf numFmtId="187"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0" borderId="0"/>
    <xf numFmtId="184" fontId="2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0" fontId="21" fillId="0" borderId="0"/>
    <xf numFmtId="184" fontId="21" fillId="0" borderId="0"/>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1" fillId="0" borderId="0"/>
    <xf numFmtId="182" fontId="23" fillId="109" borderId="32"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4" fontId="21" fillId="0" borderId="0"/>
    <xf numFmtId="182"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 borderId="1" applyNumberFormat="0" applyProtection="0">
      <alignment horizontal="left" vertical="center" indent="1"/>
    </xf>
    <xf numFmtId="0" fontId="21" fillId="0" borderId="0"/>
    <xf numFmtId="184" fontId="21" fillId="0" borderId="0"/>
    <xf numFmtId="187"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0" borderId="0"/>
    <xf numFmtId="184" fontId="21"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0" fontId="21" fillId="0" borderId="0"/>
    <xf numFmtId="184" fontId="21" fillId="0" borderId="0"/>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1" fillId="0" borderId="0"/>
    <xf numFmtId="182" fontId="23" fillId="3" borderId="32"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4" fontId="21" fillId="0" borderId="0"/>
    <xf numFmtId="182"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0" borderId="1" applyNumberFormat="0" applyProtection="0">
      <alignment horizontal="left" vertical="center" indent="1"/>
    </xf>
    <xf numFmtId="0" fontId="21" fillId="0" borderId="0"/>
    <xf numFmtId="184" fontId="21" fillId="0" borderId="0"/>
    <xf numFmtId="187"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0" borderId="0"/>
    <xf numFmtId="184" fontId="21"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0" fontId="21" fillId="0" borderId="0"/>
    <xf numFmtId="184" fontId="21" fillId="0" borderId="0"/>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1" fillId="0" borderId="0"/>
    <xf numFmtId="182" fontId="23" fillId="30" borderId="32"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4" fontId="21" fillId="0" borderId="0"/>
    <xf numFmtId="182"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2" borderId="52" applyNumberFormat="0">
      <protection locked="0"/>
    </xf>
    <xf numFmtId="184" fontId="23" fillId="32" borderId="52" applyNumberFormat="0">
      <protection locked="0"/>
    </xf>
    <xf numFmtId="0" fontId="21" fillId="0" borderId="0"/>
    <xf numFmtId="184" fontId="21" fillId="0" borderId="0"/>
    <xf numFmtId="187" fontId="21" fillId="32" borderId="3" applyNumberFormat="0">
      <protection locked="0"/>
    </xf>
    <xf numFmtId="0" fontId="21" fillId="0" borderId="0"/>
    <xf numFmtId="184" fontId="21" fillId="0" borderId="0"/>
    <xf numFmtId="184" fontId="21" fillId="32" borderId="3" applyNumberFormat="0">
      <protection locked="0"/>
    </xf>
    <xf numFmtId="0" fontId="21" fillId="0" borderId="0"/>
    <xf numFmtId="184" fontId="21" fillId="0" borderId="0"/>
    <xf numFmtId="0" fontId="23" fillId="32" borderId="52" applyNumberFormat="0">
      <protection locked="0"/>
    </xf>
    <xf numFmtId="184" fontId="23" fillId="32" borderId="52" applyNumberFormat="0">
      <protection locked="0"/>
    </xf>
    <xf numFmtId="0" fontId="21" fillId="0" borderId="0"/>
    <xf numFmtId="184" fontId="21" fillId="0" borderId="0"/>
    <xf numFmtId="184" fontId="21" fillId="0" borderId="0"/>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3" fillId="32" borderId="52" applyNumberFormat="0">
      <protection locked="0"/>
    </xf>
    <xf numFmtId="183" fontId="23" fillId="32" borderId="52" applyNumberFormat="0">
      <protection locked="0"/>
    </xf>
    <xf numFmtId="183"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2" fontId="23" fillId="32" borderId="52" applyNumberFormat="0">
      <protection locked="0"/>
    </xf>
    <xf numFmtId="0" fontId="23" fillId="32" borderId="52" applyNumberFormat="0">
      <protection locked="0"/>
    </xf>
    <xf numFmtId="0" fontId="23" fillId="32" borderId="52"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2" borderId="52" applyNumberFormat="0">
      <protection locked="0"/>
    </xf>
    <xf numFmtId="183"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3" fontId="23" fillId="32" borderId="52" applyNumberFormat="0">
      <protection locked="0"/>
    </xf>
    <xf numFmtId="184" fontId="23" fillId="32" borderId="52" applyNumberFormat="0">
      <protection locked="0"/>
    </xf>
    <xf numFmtId="184" fontId="23" fillId="32" borderId="52" applyNumberFormat="0">
      <protection locked="0"/>
    </xf>
    <xf numFmtId="182" fontId="146" fillId="31" borderId="53" applyBorder="0"/>
    <xf numFmtId="184" fontId="146" fillId="31" borderId="53" applyBorder="0"/>
    <xf numFmtId="182" fontId="146" fillId="31" borderId="53" applyBorder="0"/>
    <xf numFmtId="0"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183"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185"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6" fillId="31" borderId="53" applyBorder="0"/>
    <xf numFmtId="184" fontId="146" fillId="31" borderId="53" applyBorder="0"/>
    <xf numFmtId="184" fontId="146" fillId="31" borderId="53" applyBorder="0"/>
    <xf numFmtId="0"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185"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6" fillId="31" borderId="53" applyBorder="0"/>
    <xf numFmtId="184" fontId="146" fillId="31" borderId="53" applyBorder="0"/>
    <xf numFmtId="184"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6" fillId="31" borderId="53" applyBorder="0"/>
    <xf numFmtId="184" fontId="146" fillId="31" borderId="53" applyBorder="0"/>
    <xf numFmtId="184" fontId="146" fillId="31" borderId="53" applyBorder="0"/>
    <xf numFmtId="0"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6" fillId="31" borderId="53" applyBorder="0"/>
    <xf numFmtId="187" fontId="146" fillId="31" borderId="53" applyBorder="0"/>
    <xf numFmtId="184" fontId="146" fillId="31" borderId="53" applyBorder="0"/>
    <xf numFmtId="184" fontId="146" fillId="31" borderId="53" applyBorder="0"/>
    <xf numFmtId="0" fontId="146" fillId="31" borderId="53" applyBorder="0"/>
    <xf numFmtId="184" fontId="146" fillId="31" borderId="53" applyBorder="0"/>
    <xf numFmtId="0" fontId="21" fillId="0" borderId="0"/>
    <xf numFmtId="184" fontId="21" fillId="0" borderId="0"/>
    <xf numFmtId="0" fontId="21" fillId="0" borderId="0"/>
    <xf numFmtId="184" fontId="21" fillId="0" borderId="0"/>
    <xf numFmtId="4" fontId="138" fillId="26" borderId="1" applyNumberFormat="0" applyProtection="0">
      <alignment vertical="center"/>
    </xf>
    <xf numFmtId="184" fontId="21" fillId="0" borderId="0"/>
    <xf numFmtId="4" fontId="41" fillId="26" borderId="1" applyNumberFormat="0" applyProtection="0">
      <alignment vertical="center"/>
    </xf>
    <xf numFmtId="4" fontId="138" fillId="26" borderId="1" applyNumberFormat="0" applyProtection="0">
      <alignment vertical="center"/>
    </xf>
    <xf numFmtId="4" fontId="138" fillId="26" borderId="1" applyNumberFormat="0" applyProtection="0">
      <alignment vertical="center"/>
    </xf>
    <xf numFmtId="4" fontId="138" fillId="26" borderId="1" applyNumberFormat="0" applyProtection="0">
      <alignment vertical="center"/>
    </xf>
    <xf numFmtId="0" fontId="5" fillId="0" borderId="0"/>
    <xf numFmtId="183" fontId="5" fillId="0" borderId="0"/>
    <xf numFmtId="184" fontId="5" fillId="0" borderId="0"/>
    <xf numFmtId="184" fontId="5" fillId="0" borderId="0"/>
    <xf numFmtId="4" fontId="138"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7" fillId="26" borderId="1" applyNumberFormat="0" applyProtection="0">
      <alignment vertical="center"/>
    </xf>
    <xf numFmtId="4" fontId="144" fillId="102" borderId="3" applyNumberFormat="0" applyProtection="0">
      <alignment vertical="center"/>
    </xf>
    <xf numFmtId="4" fontId="144" fillId="102" borderId="3" applyNumberFormat="0" applyProtection="0">
      <alignment vertical="center"/>
    </xf>
    <xf numFmtId="0" fontId="5" fillId="0" borderId="0"/>
    <xf numFmtId="183" fontId="5" fillId="0" borderId="0"/>
    <xf numFmtId="184" fontId="5" fillId="0" borderId="0"/>
    <xf numFmtId="184" fontId="5" fillId="0" borderId="0"/>
    <xf numFmtId="4" fontId="47" fillId="26" borderId="1" applyNumberFormat="0" applyProtection="0">
      <alignment vertical="center"/>
    </xf>
    <xf numFmtId="4" fontId="47"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7"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38" fillId="75" borderId="1" applyNumberFormat="0" applyProtection="0">
      <alignment horizontal="left" vertical="center" indent="1"/>
    </xf>
    <xf numFmtId="184" fontId="21" fillId="0" borderId="0"/>
    <xf numFmtId="4" fontId="41" fillId="26" borderId="1" applyNumberFormat="0" applyProtection="0">
      <alignment horizontal="left" vertical="center" indent="1"/>
    </xf>
    <xf numFmtId="4" fontId="138" fillId="75" borderId="1" applyNumberFormat="0" applyProtection="0">
      <alignment horizontal="left" vertical="center" indent="1"/>
    </xf>
    <xf numFmtId="4" fontId="138" fillId="75" borderId="1" applyNumberFormat="0" applyProtection="0">
      <alignment horizontal="left" vertical="center" indent="1"/>
    </xf>
    <xf numFmtId="4" fontId="138" fillId="75" borderId="1" applyNumberFormat="0" applyProtection="0">
      <alignment horizontal="left" vertical="center" indent="1"/>
    </xf>
    <xf numFmtId="0" fontId="5" fillId="0" borderId="0"/>
    <xf numFmtId="183" fontId="5" fillId="0" borderId="0"/>
    <xf numFmtId="184" fontId="5" fillId="0" borderId="0"/>
    <xf numFmtId="184" fontId="5" fillId="0" borderId="0"/>
    <xf numFmtId="4" fontId="138" fillId="75"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1" fillId="26" borderId="1" applyNumberFormat="0" applyProtection="0">
      <alignment horizontal="left" vertical="top" indent="1"/>
    </xf>
    <xf numFmtId="0" fontId="21" fillId="0" borderId="0"/>
    <xf numFmtId="184" fontId="21" fillId="0" borderId="0"/>
    <xf numFmtId="187"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8" fillId="26" borderId="1" applyNumberFormat="0" applyProtection="0">
      <alignment horizontal="left" vertical="top" indent="1"/>
    </xf>
    <xf numFmtId="184" fontId="138" fillId="26" borderId="1" applyNumberFormat="0" applyProtection="0">
      <alignment horizontal="left" vertical="top" indent="1"/>
    </xf>
    <xf numFmtId="184" fontId="21" fillId="0" borderId="0"/>
    <xf numFmtId="182" fontId="138"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7" fillId="30" borderId="1"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1"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1" fillId="0" borderId="0"/>
    <xf numFmtId="184" fontId="21" fillId="0" borderId="0"/>
    <xf numFmtId="187" fontId="41" fillId="27" borderId="1" applyNumberFormat="0" applyProtection="0">
      <alignment horizontal="left" vertical="top" indent="1"/>
    </xf>
    <xf numFmtId="0" fontId="21" fillId="0" borderId="0"/>
    <xf numFmtId="184" fontId="21" fillId="0" borderId="0"/>
    <xf numFmtId="187"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8" fillId="27" borderId="1" applyNumberFormat="0" applyProtection="0">
      <alignment horizontal="left" vertical="top" indent="1"/>
    </xf>
    <xf numFmtId="184" fontId="138" fillId="27" borderId="1" applyNumberFormat="0" applyProtection="0">
      <alignment horizontal="left" vertical="top" indent="1"/>
    </xf>
    <xf numFmtId="184" fontId="21" fillId="0" borderId="0"/>
    <xf numFmtId="182" fontId="138"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4" fontId="21" fillId="0" borderId="0"/>
    <xf numFmtId="4" fontId="48" fillId="33" borderId="0"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48" fillId="33"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2" fontId="23" fillId="111" borderId="3"/>
    <xf numFmtId="184" fontId="23" fillId="111" borderId="3"/>
    <xf numFmtId="182" fontId="23" fillId="111" borderId="3"/>
    <xf numFmtId="0"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11" borderId="3"/>
    <xf numFmtId="184" fontId="23" fillId="111" borderId="3"/>
    <xf numFmtId="0" fontId="23" fillId="111" borderId="3"/>
    <xf numFmtId="184" fontId="23" fillId="111" borderId="3"/>
    <xf numFmtId="0" fontId="21" fillId="0" borderId="0"/>
    <xf numFmtId="184" fontId="21" fillId="0" borderId="0"/>
    <xf numFmtId="0" fontId="21" fillId="0" borderId="0"/>
    <xf numFmtId="184" fontId="21" fillId="0" borderId="0"/>
    <xf numFmtId="4" fontId="148" fillId="32" borderId="32" applyNumberFormat="0" applyProtection="0">
      <alignment horizontal="right" vertical="center"/>
    </xf>
    <xf numFmtId="184" fontId="21" fillId="0" borderId="0"/>
    <xf numFmtId="4" fontId="42" fillId="30" borderId="1"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0" fontId="5" fillId="0" borderId="0"/>
    <xf numFmtId="183" fontId="5" fillId="0" borderId="0"/>
    <xf numFmtId="184" fontId="5" fillId="0" borderId="0"/>
    <xf numFmtId="184" fontId="5" fillId="0" borderId="0"/>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30"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2"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149" fillId="0" borderId="0" applyNumberFormat="0" applyFill="0" applyBorder="0" applyAlignment="0">
      <alignment horizontal="center"/>
    </xf>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9" fillId="0" borderId="0" applyNumberFormat="0" applyFill="0" applyBorder="0" applyAlignment="0">
      <alignment horizontal="center"/>
    </xf>
    <xf numFmtId="184" fontId="149" fillId="0" borderId="0" applyNumberFormat="0" applyFill="0" applyBorder="0" applyAlignment="0">
      <alignment horizontal="center"/>
    </xf>
    <xf numFmtId="183" fontId="150" fillId="0" borderId="0">
      <alignment horizontal="right"/>
    </xf>
    <xf numFmtId="183" fontId="150" fillId="0" borderId="0">
      <alignment horizontal="right"/>
    </xf>
    <xf numFmtId="184" fontId="150" fillId="0" borderId="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lignment horizontal="right"/>
    </xf>
    <xf numFmtId="186" fontId="21" fillId="0" borderId="0">
      <alignment horizontal="left" wrapText="1"/>
    </xf>
    <xf numFmtId="186" fontId="21" fillId="0" borderId="0">
      <alignment horizontal="left" wrapText="1"/>
    </xf>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0" fontId="151" fillId="0" borderId="0" applyBorder="0">
      <alignment horizontal="right"/>
    </xf>
    <xf numFmtId="40" fontId="151" fillId="0" borderId="0" applyBorder="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9" fontId="152" fillId="0" borderId="0">
      <alignment horizontal="left"/>
    </xf>
    <xf numFmtId="49" fontId="152" fillId="0" borderId="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53" fillId="112" borderId="0" applyNumberFormat="0" applyBorder="0" applyAlignment="0" applyProtection="0">
      <protection locked="0"/>
    </xf>
    <xf numFmtId="183" fontId="153" fillId="112" borderId="0" applyNumberFormat="0" applyBorder="0" applyAlignment="0" applyProtection="0">
      <protection locked="0"/>
    </xf>
    <xf numFmtId="184" fontId="153" fillId="112" borderId="0" applyNumberFormat="0" applyBorder="0" applyAlignment="0" applyProtection="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112" borderId="0" applyNumberFormat="0" applyBorder="0" applyAlignment="0" applyProtection="0">
      <protection locked="0"/>
    </xf>
    <xf numFmtId="0"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9" fillId="0" borderId="0" applyNumberFormat="0" applyFill="0" applyBorder="0" applyAlignment="0" applyProtection="0"/>
    <xf numFmtId="0" fontId="154" fillId="0" borderId="0" applyNumberFormat="0" applyFill="0" applyBorder="0" applyAlignment="0" applyProtection="0"/>
    <xf numFmtId="184" fontId="154" fillId="0" borderId="0" applyNumberFormat="0" applyFill="0" applyBorder="0" applyAlignment="0" applyProtection="0"/>
    <xf numFmtId="184" fontId="49" fillId="0" borderId="0" applyNumberFormat="0" applyFill="0" applyBorder="0" applyAlignment="0" applyProtection="0"/>
    <xf numFmtId="184" fontId="15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154"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15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4" fontId="74" fillId="0" borderId="0" applyNumberFormat="0" applyFill="0" applyBorder="0" applyAlignment="0" applyProtection="0"/>
    <xf numFmtId="182" fontId="74" fillId="0" borderId="0" applyNumberFormat="0" applyFill="0" applyBorder="0" applyAlignment="0" applyProtection="0"/>
    <xf numFmtId="182" fontId="52" fillId="0" borderId="28" applyNumberFormat="0" applyFill="0" applyAlignment="0" applyProtection="0"/>
    <xf numFmtId="0"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7"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4" applyNumberFormat="0" applyFill="0" applyAlignment="0" applyProtection="0"/>
    <xf numFmtId="182" fontId="40" fillId="0" borderId="55"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4"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97" fontId="21" fillId="0" borderId="16">
      <protection locked="0"/>
    </xf>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97" fontId="21" fillId="0" borderId="16">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2" fillId="0" borderId="28" applyNumberFormat="0" applyFill="0" applyAlignment="0" applyProtection="0"/>
    <xf numFmtId="184" fontId="52" fillId="0" borderId="28"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52" fillId="0" borderId="28" applyNumberFormat="0" applyFill="0" applyAlignment="0" applyProtection="0"/>
    <xf numFmtId="37" fontId="23" fillId="107" borderId="0" applyNumberFormat="0" applyBorder="0" applyAlignment="0" applyProtection="0"/>
    <xf numFmtId="37" fontId="23" fillId="107" borderId="0" applyNumberFormat="0" applyBorder="0" applyAlignment="0" applyProtection="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69" borderId="0" applyNumberFormat="0" applyBorder="0" applyAlignment="0" applyProtection="0"/>
    <xf numFmtId="3" fontId="155" fillId="0" borderId="42" applyProtection="0"/>
    <xf numFmtId="3" fontId="155" fillId="0" borderId="42"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56" fillId="0" borderId="0" applyNumberFormat="0" applyFill="0" applyBorder="0" applyAlignment="0" applyProtection="0"/>
    <xf numFmtId="0"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182" fontId="157"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7"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6" fillId="0" borderId="0" applyNumberFormat="0" applyFill="0" applyBorder="0" applyAlignment="0" applyProtection="0"/>
    <xf numFmtId="0"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15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2" fontId="86" fillId="0" borderId="0" applyNumberFormat="0" applyFill="0" applyBorder="0" applyAlignment="0" applyProtection="0"/>
    <xf numFmtId="9" fontId="158" fillId="110" borderId="56" applyNumberFormat="0" applyFill="0" applyBorder="0" applyAlignment="0" applyProtection="0">
      <alignment horizontal="center"/>
      <protection locked="0"/>
    </xf>
    <xf numFmtId="9" fontId="158" fillId="110" borderId="56" applyNumberForma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99" fillId="0" borderId="0" applyNumberFormat="0" applyFont="0" applyFill="0" applyBorder="0" applyProtection="0">
      <alignment wrapText="1"/>
    </xf>
    <xf numFmtId="190" fontId="99" fillId="0" borderId="0" applyNumberFormat="0" applyFont="0" applyFill="0" applyBorder="0" applyProtection="0">
      <alignmen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44" borderId="27" applyNumberFormat="0" applyFont="0" applyAlignment="0" applyProtection="0"/>
    <xf numFmtId="0" fontId="2" fillId="0" borderId="0"/>
    <xf numFmtId="43" fontId="2" fillId="0" borderId="0" applyFont="0" applyFill="0" applyBorder="0" applyAlignment="0" applyProtection="0"/>
    <xf numFmtId="41" fontId="17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1560">
    <xf numFmtId="0" fontId="0" fillId="0" borderId="0" xfId="0"/>
    <xf numFmtId="0" fontId="22" fillId="0" borderId="0" xfId="0" applyFont="1"/>
    <xf numFmtId="0" fontId="22" fillId="0" borderId="0" xfId="0" applyFont="1" applyAlignment="1">
      <alignment horizontal="center"/>
    </xf>
    <xf numFmtId="0" fontId="25" fillId="0" borderId="0" xfId="0" applyFont="1" applyAlignment="1">
      <alignment horizontal="center"/>
    </xf>
    <xf numFmtId="0" fontId="22" fillId="0" borderId="0" xfId="0" quotePrefix="1" applyFont="1" applyAlignment="1">
      <alignment horizontal="center"/>
    </xf>
    <xf numFmtId="0" fontId="24"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6" fillId="35" borderId="0" xfId="0" applyFont="1" applyFill="1"/>
    <xf numFmtId="0" fontId="27" fillId="35" borderId="0" xfId="0" applyFont="1" applyFill="1"/>
    <xf numFmtId="0" fontId="24" fillId="0" borderId="0" xfId="0" applyFont="1"/>
    <xf numFmtId="0" fontId="24" fillId="0" borderId="0" xfId="0" applyFont="1" applyAlignment="1">
      <alignment horizontal="left" indent="1"/>
    </xf>
    <xf numFmtId="0" fontId="0" fillId="0" borderId="0" xfId="0" applyFill="1"/>
    <xf numFmtId="0" fontId="24" fillId="0" borderId="0" xfId="0" applyFont="1" applyFill="1"/>
    <xf numFmtId="0" fontId="0" fillId="0" borderId="0" xfId="0" applyAlignment="1">
      <alignment horizontal="left" indent="1"/>
    </xf>
    <xf numFmtId="0" fontId="24" fillId="0" borderId="0" xfId="28" applyFont="1"/>
    <xf numFmtId="0" fontId="24" fillId="0" borderId="0" xfId="28" applyFont="1" applyBorder="1" applyAlignment="1"/>
    <xf numFmtId="0" fontId="24" fillId="0" borderId="0" xfId="28" applyFont="1" applyBorder="1"/>
    <xf numFmtId="0" fontId="24" fillId="0" borderId="0" xfId="28" applyFont="1" applyBorder="1" applyAlignment="1">
      <alignment horizontal="left"/>
    </xf>
    <xf numFmtId="0" fontId="24" fillId="0" borderId="0" xfId="28" applyNumberFormat="1" applyFont="1" applyFill="1" applyBorder="1" applyAlignment="1">
      <alignment horizontal="left"/>
    </xf>
    <xf numFmtId="0" fontId="22" fillId="0" borderId="0" xfId="28" applyNumberFormat="1" applyFont="1" applyFill="1" applyBorder="1" applyAlignment="1">
      <alignment horizontal="left"/>
    </xf>
    <xf numFmtId="3" fontId="24" fillId="0" borderId="0" xfId="28" applyNumberFormat="1" applyFont="1" applyFill="1" applyBorder="1" applyAlignment="1"/>
    <xf numFmtId="1" fontId="24" fillId="0" borderId="0" xfId="28" applyNumberFormat="1" applyFont="1" applyFill="1" applyBorder="1" applyAlignment="1">
      <alignment horizontal="center"/>
    </xf>
    <xf numFmtId="0" fontId="25" fillId="0" borderId="0" xfId="28" applyFont="1" applyBorder="1" applyAlignment="1">
      <alignment horizontal="center"/>
    </xf>
    <xf numFmtId="0" fontId="22" fillId="0" borderId="0" xfId="28" applyFont="1" applyAlignment="1">
      <alignment horizontal="center"/>
    </xf>
    <xf numFmtId="167" fontId="24" fillId="0" borderId="0" xfId="28" applyNumberFormat="1" applyFont="1" applyFill="1" applyBorder="1" applyAlignment="1">
      <alignment horizontal="right"/>
    </xf>
    <xf numFmtId="167" fontId="24" fillId="0" borderId="0" xfId="20" applyNumberFormat="1" applyFont="1" applyFill="1" applyBorder="1" applyAlignment="1">
      <alignment horizontal="right"/>
    </xf>
    <xf numFmtId="0" fontId="25" fillId="0" borderId="0" xfId="28" applyFont="1" applyFill="1" applyBorder="1" applyAlignment="1">
      <alignment horizontal="center"/>
    </xf>
    <xf numFmtId="3" fontId="24" fillId="0" borderId="0" xfId="28" applyNumberFormat="1" applyFont="1" applyFill="1" applyBorder="1" applyAlignment="1">
      <alignment horizontal="left" indent="1"/>
    </xf>
    <xf numFmtId="0" fontId="25" fillId="0" borderId="0" xfId="28" applyFont="1" applyAlignment="1">
      <alignment horizontal="center"/>
    </xf>
    <xf numFmtId="0" fontId="24" fillId="0" borderId="0" xfId="28" applyFont="1" applyBorder="1" applyAlignment="1">
      <alignment horizontal="right"/>
    </xf>
    <xf numFmtId="164" fontId="24" fillId="0" borderId="0" xfId="20" applyNumberFormat="1" applyFont="1" applyFill="1" applyBorder="1" applyAlignment="1">
      <alignment horizontal="right"/>
    </xf>
    <xf numFmtId="0" fontId="24" fillId="0" borderId="0" xfId="28" applyNumberFormat="1" applyFont="1" applyFill="1" applyBorder="1" applyAlignment="1">
      <alignment horizontal="right"/>
    </xf>
    <xf numFmtId="167" fontId="24" fillId="0" borderId="0" xfId="28" quotePrefix="1" applyNumberFormat="1" applyFont="1" applyFill="1" applyBorder="1" applyAlignment="1">
      <alignment horizontal="left" indent="1"/>
    </xf>
    <xf numFmtId="165" fontId="28" fillId="0" borderId="0" xfId="20" applyNumberFormat="1" applyFont="1" applyFill="1" applyBorder="1" applyAlignment="1">
      <alignment horizontal="right"/>
    </xf>
    <xf numFmtId="0" fontId="0" fillId="0" borderId="0" xfId="0" applyAlignment="1">
      <alignment horizontal="right"/>
    </xf>
    <xf numFmtId="0" fontId="26" fillId="35" borderId="0" xfId="0" applyFont="1" applyFill="1" applyBorder="1"/>
    <xf numFmtId="0" fontId="27" fillId="35" borderId="0" xfId="0" applyFont="1" applyFill="1" applyBorder="1"/>
    <xf numFmtId="0" fontId="22" fillId="0" borderId="0" xfId="0" applyFont="1" applyFill="1" applyBorder="1"/>
    <xf numFmtId="0" fontId="24" fillId="0" borderId="0" xfId="0" applyFont="1" applyFill="1" applyBorder="1"/>
    <xf numFmtId="10" fontId="0" fillId="0" borderId="0" xfId="0" applyNumberFormat="1"/>
    <xf numFmtId="0" fontId="0" fillId="34" borderId="0" xfId="0" applyFill="1"/>
    <xf numFmtId="0" fontId="22" fillId="0" borderId="0" xfId="0" applyFont="1" applyFill="1"/>
    <xf numFmtId="0" fontId="28" fillId="0" borderId="0" xfId="0" applyFont="1" applyFill="1"/>
    <xf numFmtId="0" fontId="24" fillId="0" borderId="0" xfId="0" applyFont="1" applyFill="1" applyAlignment="1">
      <alignment horizontal="left" indent="1"/>
    </xf>
    <xf numFmtId="164" fontId="24" fillId="0" borderId="0" xfId="0" applyNumberFormat="1" applyFont="1" applyFill="1"/>
    <xf numFmtId="165" fontId="24" fillId="0" borderId="0" xfId="0" applyNumberFormat="1" applyFont="1" applyFill="1"/>
    <xf numFmtId="165" fontId="28" fillId="0" borderId="0" xfId="0" applyNumberFormat="1" applyFont="1" applyFill="1"/>
    <xf numFmtId="0" fontId="24" fillId="0" borderId="0" xfId="0" applyFont="1" applyAlignment="1">
      <alignment horizontal="left"/>
    </xf>
    <xf numFmtId="0" fontId="25" fillId="0" borderId="0" xfId="0" applyFont="1"/>
    <xf numFmtId="0" fontId="0" fillId="0" borderId="0" xfId="0" quotePrefix="1"/>
    <xf numFmtId="0" fontId="25" fillId="0" borderId="0" xfId="0" applyFont="1" applyAlignment="1">
      <alignment horizontal="left"/>
    </xf>
    <xf numFmtId="0" fontId="0" fillId="0" borderId="0" xfId="0" quotePrefix="1" applyAlignment="1">
      <alignment horizontal="center"/>
    </xf>
    <xf numFmtId="0" fontId="22" fillId="0" borderId="0" xfId="0" applyFont="1" applyAlignment="1">
      <alignment horizontal="left" indent="2"/>
    </xf>
    <xf numFmtId="0" fontId="0" fillId="0" borderId="0" xfId="0" applyAlignment="1">
      <alignment horizontal="right" indent="1"/>
    </xf>
    <xf numFmtId="164" fontId="29" fillId="0" borderId="0" xfId="0" applyNumberFormat="1" applyFont="1"/>
    <xf numFmtId="164" fontId="28" fillId="0" borderId="0" xfId="0" applyNumberFormat="1" applyFont="1" applyAlignment="1">
      <alignment horizontal="right"/>
    </xf>
    <xf numFmtId="164" fontId="24" fillId="0" borderId="0" xfId="0" applyNumberFormat="1" applyFont="1" applyAlignment="1">
      <alignment horizontal="right"/>
    </xf>
    <xf numFmtId="0" fontId="0" fillId="0" borderId="0" xfId="0" applyBorder="1"/>
    <xf numFmtId="0" fontId="0" fillId="0" borderId="0" xfId="0" applyAlignment="1">
      <alignment horizontal="center"/>
    </xf>
    <xf numFmtId="0" fontId="25" fillId="0" borderId="0" xfId="0" applyFont="1" applyBorder="1" applyAlignment="1">
      <alignment horizontal="center"/>
    </xf>
    <xf numFmtId="164" fontId="0" fillId="0" borderId="0" xfId="0" applyNumberFormat="1" applyFill="1"/>
    <xf numFmtId="3" fontId="24" fillId="0" borderId="0" xfId="0" applyNumberFormat="1" applyFont="1" applyFill="1"/>
    <xf numFmtId="0" fontId="0" fillId="0" borderId="0" xfId="0" applyAlignment="1">
      <alignment horizontal="left"/>
    </xf>
    <xf numFmtId="0" fontId="24" fillId="0" borderId="0" xfId="0" applyFont="1" applyFill="1" applyBorder="1" applyAlignment="1">
      <alignment horizontal="left"/>
    </xf>
    <xf numFmtId="165" fontId="0" fillId="0" borderId="0" xfId="0" applyNumberFormat="1" applyFill="1"/>
    <xf numFmtId="0" fontId="22" fillId="0" borderId="0" xfId="0" applyFont="1" applyAlignment="1">
      <alignment horizontal="right"/>
    </xf>
    <xf numFmtId="0" fontId="24" fillId="0" borderId="0" xfId="0" quotePrefix="1" applyFont="1" applyFill="1" applyAlignment="1">
      <alignment horizontal="left" indent="1"/>
    </xf>
    <xf numFmtId="0" fontId="22" fillId="0" borderId="0" xfId="0" applyFont="1" applyAlignment="1">
      <alignment horizontal="left" indent="1"/>
    </xf>
    <xf numFmtId="166" fontId="0" fillId="0" borderId="0" xfId="0" applyNumberFormat="1"/>
    <xf numFmtId="0" fontId="24" fillId="0" borderId="0" xfId="0" applyFont="1" applyFill="1" applyBorder="1" applyAlignment="1">
      <alignment vertical="top"/>
    </xf>
    <xf numFmtId="164" fontId="22" fillId="0" borderId="0" xfId="0" applyNumberFormat="1" applyFont="1"/>
    <xf numFmtId="167" fontId="22" fillId="0" borderId="0" xfId="20" applyNumberFormat="1" applyFont="1" applyFill="1" applyBorder="1" applyAlignment="1">
      <alignment horizontal="center"/>
    </xf>
    <xf numFmtId="0" fontId="28" fillId="0" borderId="0" xfId="0" applyFont="1"/>
    <xf numFmtId="0" fontId="28" fillId="0" borderId="0" xfId="0" applyFont="1" applyAlignment="1">
      <alignment horizontal="left"/>
    </xf>
    <xf numFmtId="0" fontId="24"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5" fontId="29" fillId="0" borderId="0" xfId="0" applyNumberFormat="1" applyFont="1"/>
    <xf numFmtId="3" fontId="0" fillId="0" borderId="0" xfId="0" applyNumberFormat="1" applyAlignment="1">
      <alignment horizontal="center"/>
    </xf>
    <xf numFmtId="0" fontId="22" fillId="0" borderId="0" xfId="0" applyFont="1" applyAlignment="1">
      <alignment horizontal="left"/>
    </xf>
    <xf numFmtId="0" fontId="25" fillId="0" borderId="0" xfId="0" quotePrefix="1" applyFont="1" applyAlignment="1">
      <alignment horizontal="center"/>
    </xf>
    <xf numFmtId="1" fontId="24" fillId="0" borderId="0" xfId="28" applyNumberFormat="1" applyFont="1" applyFill="1" applyBorder="1" applyAlignment="1">
      <alignment horizontal="right"/>
    </xf>
    <xf numFmtId="0" fontId="24" fillId="0" borderId="0" xfId="0" applyFont="1" applyBorder="1" applyAlignment="1">
      <alignment vertical="top"/>
    </xf>
    <xf numFmtId="0" fontId="24" fillId="0" borderId="0" xfId="0" applyFont="1" applyAlignment="1">
      <alignment horizontal="center"/>
    </xf>
    <xf numFmtId="172" fontId="0" fillId="34" borderId="0" xfId="0" applyNumberFormat="1" applyFill="1"/>
    <xf numFmtId="164" fontId="24" fillId="0" borderId="0" xfId="0" applyNumberFormat="1" applyFont="1" applyAlignment="1">
      <alignment horizontal="center"/>
    </xf>
    <xf numFmtId="0" fontId="22" fillId="0" borderId="0" xfId="0" applyFont="1" applyAlignment="1">
      <alignment wrapText="1"/>
    </xf>
    <xf numFmtId="164" fontId="28" fillId="0" borderId="0" xfId="0" applyNumberFormat="1" applyFont="1"/>
    <xf numFmtId="173" fontId="0" fillId="0" borderId="0" xfId="0" applyNumberFormat="1"/>
    <xf numFmtId="0" fontId="24" fillId="0" borderId="0" xfId="0" applyFont="1" applyAlignment="1">
      <alignment horizontal="right"/>
    </xf>
    <xf numFmtId="0" fontId="24" fillId="36" borderId="0" xfId="0" applyFont="1" applyFill="1" applyAlignment="1">
      <alignment horizontal="left" indent="1"/>
    </xf>
    <xf numFmtId="0" fontId="24" fillId="0" borderId="0" xfId="0" quotePrefix="1" applyFont="1" applyAlignment="1">
      <alignment horizontal="center"/>
    </xf>
    <xf numFmtId="0" fontId="0" fillId="36" borderId="0" xfId="0" applyFill="1"/>
    <xf numFmtId="2" fontId="0" fillId="0" borderId="0" xfId="0" applyNumberFormat="1"/>
    <xf numFmtId="3" fontId="0" fillId="0" borderId="0" xfId="0" applyNumberFormat="1"/>
    <xf numFmtId="3" fontId="28" fillId="36" borderId="0" xfId="0" applyNumberFormat="1" applyFont="1" applyFill="1"/>
    <xf numFmtId="164" fontId="24" fillId="0" borderId="0" xfId="0" applyNumberFormat="1" applyFont="1"/>
    <xf numFmtId="164" fontId="29" fillId="0" borderId="0" xfId="0" applyNumberFormat="1" applyFont="1" applyFill="1"/>
    <xf numFmtId="0" fontId="22" fillId="0" borderId="0" xfId="0" applyFont="1" applyAlignment="1">
      <alignment horizontal="left" indent="3"/>
    </xf>
    <xf numFmtId="164" fontId="24" fillId="0" borderId="0" xfId="0" quotePrefix="1" applyNumberFormat="1" applyFont="1" applyFill="1" applyAlignment="1">
      <alignment horizontal="right"/>
    </xf>
    <xf numFmtId="164" fontId="24" fillId="0" borderId="0" xfId="0" applyNumberFormat="1" applyFont="1" applyFill="1" applyAlignment="1">
      <alignment horizontal="right"/>
    </xf>
    <xf numFmtId="0" fontId="24" fillId="0" borderId="0" xfId="0" applyFont="1" applyFill="1" applyAlignment="1">
      <alignment horizontal="center"/>
    </xf>
    <xf numFmtId="164" fontId="0" fillId="36" borderId="0" xfId="0" applyNumberFormat="1" applyFill="1"/>
    <xf numFmtId="164" fontId="28" fillId="34" borderId="0" xfId="0" applyNumberFormat="1" applyFont="1" applyFill="1"/>
    <xf numFmtId="0" fontId="24" fillId="0" borderId="0" xfId="0" applyFont="1" applyFill="1" applyAlignment="1">
      <alignment horizontal="left"/>
    </xf>
    <xf numFmtId="0" fontId="22" fillId="0" borderId="0" xfId="0" applyFont="1" applyFill="1" applyAlignment="1">
      <alignment horizontal="center"/>
    </xf>
    <xf numFmtId="164" fontId="28" fillId="0" borderId="0" xfId="0" applyNumberFormat="1" applyFont="1" applyFill="1"/>
    <xf numFmtId="3" fontId="0" fillId="0" borderId="0" xfId="0" applyNumberFormat="1" applyFill="1"/>
    <xf numFmtId="0" fontId="0" fillId="0" borderId="0" xfId="0" applyFill="1" applyAlignment="1">
      <alignment horizontal="left" indent="1"/>
    </xf>
    <xf numFmtId="0" fontId="24" fillId="0" borderId="0" xfId="0" quotePrefix="1" applyFont="1" applyAlignment="1">
      <alignment horizontal="left" indent="1"/>
    </xf>
    <xf numFmtId="0" fontId="24" fillId="36" borderId="0" xfId="0" applyFont="1" applyFill="1"/>
    <xf numFmtId="164" fontId="28" fillId="36" borderId="0" xfId="0" applyNumberFormat="1" applyFont="1" applyFill="1"/>
    <xf numFmtId="166" fontId="24" fillId="0" borderId="0" xfId="0" applyNumberFormat="1" applyFont="1" applyAlignment="1">
      <alignment horizontal="left" indent="1"/>
    </xf>
    <xf numFmtId="0" fontId="28" fillId="0" borderId="0" xfId="0" applyFont="1" applyAlignment="1">
      <alignment horizontal="center"/>
    </xf>
    <xf numFmtId="0" fontId="0" fillId="37" borderId="0" xfId="0" applyFill="1"/>
    <xf numFmtId="0" fontId="25" fillId="0" borderId="0" xfId="0" applyFont="1" applyFill="1" applyBorder="1" applyAlignment="1">
      <alignment horizontal="center"/>
    </xf>
    <xf numFmtId="0" fontId="26" fillId="0" borderId="0" xfId="0" applyFont="1" applyFill="1" applyBorder="1"/>
    <xf numFmtId="0" fontId="27" fillId="0" borderId="0" xfId="0" applyFont="1" applyFill="1" applyBorder="1"/>
    <xf numFmtId="0" fontId="25" fillId="0" borderId="0" xfId="0" applyFont="1" applyFill="1" applyAlignment="1">
      <alignment horizontal="center"/>
    </xf>
    <xf numFmtId="168" fontId="24" fillId="0" borderId="0" xfId="0" applyNumberFormat="1" applyFont="1"/>
    <xf numFmtId="0" fontId="32" fillId="0" borderId="0" xfId="34" applyFont="1"/>
    <xf numFmtId="167" fontId="32" fillId="0" borderId="0" xfId="19" applyNumberFormat="1" applyFont="1" applyBorder="1"/>
    <xf numFmtId="0" fontId="32" fillId="0" borderId="0" xfId="34" applyFont="1" applyBorder="1" applyAlignment="1">
      <alignment horizontal="left"/>
    </xf>
    <xf numFmtId="0" fontId="32" fillId="0" borderId="0" xfId="34" applyFont="1" applyBorder="1"/>
    <xf numFmtId="10" fontId="32" fillId="0" borderId="0" xfId="37" applyNumberFormat="1" applyFont="1" applyBorder="1" applyAlignment="1">
      <alignment horizontal="left" indent="3"/>
    </xf>
    <xf numFmtId="0" fontId="32" fillId="0" borderId="0" xfId="34" applyFont="1" applyBorder="1" applyAlignment="1">
      <alignment horizontal="right" wrapText="1"/>
    </xf>
    <xf numFmtId="42" fontId="32" fillId="0" borderId="0" xfId="34" applyNumberFormat="1" applyFont="1"/>
    <xf numFmtId="175" fontId="32" fillId="0" borderId="0" xfId="34" applyNumberFormat="1" applyFont="1"/>
    <xf numFmtId="0" fontId="33" fillId="0" borderId="0" xfId="34" applyFont="1"/>
    <xf numFmtId="0" fontId="33" fillId="0" borderId="0" xfId="34" applyFont="1" applyBorder="1" applyAlignment="1">
      <alignment vertical="center" wrapText="1"/>
    </xf>
    <xf numFmtId="42" fontId="33" fillId="0" borderId="0" xfId="19" applyNumberFormat="1" applyFont="1" applyBorder="1" applyAlignment="1">
      <alignment vertical="center"/>
    </xf>
    <xf numFmtId="171" fontId="33" fillId="0" borderId="0" xfId="37" applyNumberFormat="1" applyFont="1" applyBorder="1" applyAlignment="1">
      <alignment horizontal="center" vertical="center"/>
    </xf>
    <xf numFmtId="164" fontId="32" fillId="0" borderId="0" xfId="19" applyNumberFormat="1" applyFont="1" applyBorder="1"/>
    <xf numFmtId="3" fontId="24" fillId="0" borderId="0" xfId="0" applyNumberFormat="1" applyFont="1"/>
    <xf numFmtId="0" fontId="32" fillId="0" borderId="0" xfId="28" applyFont="1"/>
    <xf numFmtId="164" fontId="0" fillId="0" borderId="0" xfId="0" applyNumberFormat="1" applyAlignment="1">
      <alignment horizontal="right" indent="1"/>
    </xf>
    <xf numFmtId="164" fontId="0" fillId="0" borderId="0" xfId="0" applyNumberFormat="1" applyAlignment="1"/>
    <xf numFmtId="165" fontId="34" fillId="0" borderId="0" xfId="0" applyNumberFormat="1" applyFont="1"/>
    <xf numFmtId="165" fontId="35" fillId="0" borderId="0" xfId="0" applyNumberFormat="1" applyFont="1"/>
    <xf numFmtId="166" fontId="0" fillId="0" borderId="0" xfId="0" applyNumberFormat="1" applyFill="1"/>
    <xf numFmtId="166" fontId="24" fillId="0" borderId="0" xfId="0" applyNumberFormat="1" applyFont="1" applyFill="1" applyAlignment="1">
      <alignment horizontal="left" indent="1"/>
    </xf>
    <xf numFmtId="1" fontId="24" fillId="36" borderId="0" xfId="28" applyNumberFormat="1" applyFont="1" applyFill="1" applyBorder="1" applyAlignment="1">
      <alignment horizontal="center"/>
    </xf>
    <xf numFmtId="165" fontId="24"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2" fillId="0" borderId="0" xfId="0" quotePrefix="1" applyFont="1" applyAlignment="1">
      <alignment horizontal="right"/>
    </xf>
    <xf numFmtId="165" fontId="28" fillId="0" borderId="0" xfId="0" applyNumberFormat="1" applyFont="1"/>
    <xf numFmtId="164" fontId="24" fillId="36" borderId="0" xfId="19" applyNumberFormat="1" applyFont="1" applyFill="1" applyBorder="1"/>
    <xf numFmtId="164" fontId="24" fillId="0" borderId="0" xfId="19" applyNumberFormat="1" applyFont="1" applyBorder="1"/>
    <xf numFmtId="164" fontId="28" fillId="36" borderId="0" xfId="19" applyNumberFormat="1" applyFont="1" applyFill="1" applyBorder="1"/>
    <xf numFmtId="164" fontId="24" fillId="0" borderId="0" xfId="0" applyNumberFormat="1" applyFont="1" applyAlignment="1">
      <alignment horizontal="left" indent="1"/>
    </xf>
    <xf numFmtId="164" fontId="24" fillId="0" borderId="0" xfId="19" applyNumberFormat="1" applyFont="1" applyBorder="1" applyAlignment="1">
      <alignment horizontal="left" indent="1"/>
    </xf>
    <xf numFmtId="10" fontId="24" fillId="0" borderId="0" xfId="37" applyNumberFormat="1" applyFont="1" applyBorder="1" applyAlignment="1">
      <alignment horizontal="center"/>
    </xf>
    <xf numFmtId="10" fontId="28" fillId="0" borderId="0" xfId="37" applyNumberFormat="1" applyFont="1" applyBorder="1" applyAlignment="1">
      <alignment horizontal="center"/>
    </xf>
    <xf numFmtId="164" fontId="22" fillId="0" borderId="0" xfId="19" applyNumberFormat="1" applyFont="1" applyBorder="1" applyAlignment="1">
      <alignment vertical="center"/>
    </xf>
    <xf numFmtId="10" fontId="22" fillId="0" borderId="0" xfId="37" applyNumberFormat="1" applyFont="1" applyBorder="1" applyAlignment="1">
      <alignment horizontal="center" vertical="center"/>
    </xf>
    <xf numFmtId="0" fontId="25" fillId="0" borderId="0" xfId="34" applyFont="1" applyAlignment="1">
      <alignment horizontal="center"/>
    </xf>
    <xf numFmtId="0" fontId="22" fillId="0" borderId="0" xfId="34" applyFont="1" applyBorder="1"/>
    <xf numFmtId="0" fontId="24" fillId="0" borderId="0" xfId="34" applyFont="1" applyBorder="1" applyAlignment="1">
      <alignment horizontal="left" indent="2"/>
    </xf>
    <xf numFmtId="0" fontId="22" fillId="0" borderId="0" xfId="34" applyFont="1" applyBorder="1" applyAlignment="1">
      <alignment horizontal="left"/>
    </xf>
    <xf numFmtId="0" fontId="22" fillId="0" borderId="0" xfId="34" applyFont="1" applyBorder="1" applyAlignment="1">
      <alignment horizontal="left" wrapText="1"/>
    </xf>
    <xf numFmtId="0" fontId="24" fillId="0" borderId="0" xfId="34" applyFont="1" applyBorder="1" applyAlignment="1">
      <alignment horizontal="left" wrapText="1"/>
    </xf>
    <xf numFmtId="0" fontId="22" fillId="0" borderId="0" xfId="34" applyFont="1" applyBorder="1" applyAlignment="1">
      <alignment vertical="center" wrapText="1"/>
    </xf>
    <xf numFmtId="0" fontId="22" fillId="0" borderId="0" xfId="34" applyFont="1"/>
    <xf numFmtId="0" fontId="22" fillId="0" borderId="0" xfId="34" applyFont="1" applyAlignment="1">
      <alignment horizontal="center"/>
    </xf>
    <xf numFmtId="0" fontId="24" fillId="0" borderId="0" xfId="34" applyFont="1"/>
    <xf numFmtId="0" fontId="24" fillId="36" borderId="0" xfId="34" applyFont="1" applyFill="1"/>
    <xf numFmtId="0" fontId="25" fillId="0" borderId="0" xfId="34" applyFont="1" applyFill="1" applyAlignment="1">
      <alignment horizontal="center"/>
    </xf>
    <xf numFmtId="167" fontId="24" fillId="0" borderId="0" xfId="19" applyNumberFormat="1" applyFont="1" applyBorder="1"/>
    <xf numFmtId="171" fontId="24" fillId="0" borderId="0" xfId="37" applyNumberFormat="1" applyFont="1" applyBorder="1" applyAlignment="1">
      <alignment horizontal="left" indent="3"/>
    </xf>
    <xf numFmtId="0" fontId="24" fillId="0" borderId="0" xfId="34" applyFont="1" applyBorder="1" applyAlignment="1">
      <alignment horizontal="left"/>
    </xf>
    <xf numFmtId="41" fontId="24" fillId="0" borderId="0" xfId="19" applyNumberFormat="1" applyFont="1" applyBorder="1"/>
    <xf numFmtId="41" fontId="24" fillId="0" borderId="0" xfId="34" applyNumberFormat="1" applyFont="1" applyBorder="1"/>
    <xf numFmtId="10" fontId="24" fillId="0" borderId="0" xfId="34" applyNumberFormat="1" applyFont="1" applyBorder="1" applyAlignment="1">
      <alignment horizontal="center"/>
    </xf>
    <xf numFmtId="10" fontId="24" fillId="0" borderId="0" xfId="37" applyNumberFormat="1" applyFont="1" applyFill="1" applyBorder="1" applyAlignment="1">
      <alignment horizontal="center"/>
    </xf>
    <xf numFmtId="5" fontId="28" fillId="36" borderId="0" xfId="19" applyNumberFormat="1" applyFont="1" applyFill="1" applyBorder="1"/>
    <xf numFmtId="10" fontId="28" fillId="0" borderId="0" xfId="37" applyNumberFormat="1" applyFont="1" applyFill="1" applyBorder="1" applyAlignment="1">
      <alignment horizontal="center"/>
    </xf>
    <xf numFmtId="0" fontId="24" fillId="0" borderId="0" xfId="34" applyFont="1" applyBorder="1" applyAlignment="1">
      <alignment horizontal="right" wrapText="1"/>
    </xf>
    <xf numFmtId="0" fontId="22" fillId="0" borderId="0" xfId="34" applyFont="1" applyBorder="1" applyAlignment="1">
      <alignment horizontal="left" vertical="center" wrapText="1"/>
    </xf>
    <xf numFmtId="0" fontId="53" fillId="36" borderId="0" xfId="34" applyFont="1" applyFill="1"/>
    <xf numFmtId="0" fontId="24" fillId="36" borderId="0" xfId="0" applyFont="1" applyFill="1" applyAlignment="1"/>
    <xf numFmtId="0" fontId="24" fillId="0" borderId="0" xfId="0" quotePrefix="1" applyFont="1" applyAlignment="1">
      <alignment horizontal="center" vertical="justify"/>
    </xf>
    <xf numFmtId="0" fontId="22" fillId="36" borderId="0" xfId="0" applyFont="1" applyFill="1" applyAlignment="1">
      <alignment horizontal="center"/>
    </xf>
    <xf numFmtId="0" fontId="25" fillId="36" borderId="0" xfId="0" applyFont="1" applyFill="1" applyAlignment="1">
      <alignment horizontal="center"/>
    </xf>
    <xf numFmtId="0" fontId="22" fillId="0" borderId="0" xfId="28" applyFont="1" applyFill="1" applyBorder="1" applyAlignment="1">
      <alignment horizontal="left"/>
    </xf>
    <xf numFmtId="0" fontId="22" fillId="0" borderId="0" xfId="0" applyFont="1" applyBorder="1" applyAlignment="1">
      <alignment horizontal="center"/>
    </xf>
    <xf numFmtId="0" fontId="22" fillId="0" borderId="3" xfId="0" applyFont="1" applyBorder="1" applyAlignment="1">
      <alignment horizontal="center"/>
    </xf>
    <xf numFmtId="0" fontId="22" fillId="0" borderId="3" xfId="0" applyFont="1" applyFill="1" applyBorder="1" applyAlignment="1">
      <alignment horizontal="center"/>
    </xf>
    <xf numFmtId="0" fontId="22" fillId="0" borderId="3" xfId="0" applyNumberFormat="1" applyFont="1" applyBorder="1" applyAlignment="1">
      <alignment horizontal="center" wrapText="1"/>
    </xf>
    <xf numFmtId="0" fontId="22" fillId="0" borderId="3" xfId="0" applyNumberFormat="1" applyFont="1" applyFill="1" applyBorder="1" applyAlignment="1">
      <alignment wrapText="1"/>
    </xf>
    <xf numFmtId="0" fontId="22" fillId="0" borderId="3" xfId="0" applyNumberFormat="1" applyFont="1" applyBorder="1" applyAlignment="1">
      <alignment wrapText="1"/>
    </xf>
    <xf numFmtId="0" fontId="22" fillId="0" borderId="3" xfId="0" applyFont="1" applyFill="1" applyBorder="1" applyAlignment="1">
      <alignment horizontal="center" wrapText="1"/>
    </xf>
    <xf numFmtId="0" fontId="22" fillId="0" borderId="3" xfId="0" applyFont="1" applyBorder="1" applyAlignment="1">
      <alignment horizontal="center" wrapText="1"/>
    </xf>
    <xf numFmtId="0" fontId="24" fillId="0" borderId="3" xfId="0" quotePrefix="1" applyNumberFormat="1" applyFont="1" applyFill="1" applyBorder="1" applyAlignment="1">
      <alignment horizontal="center"/>
    </xf>
    <xf numFmtId="0" fontId="24" fillId="0" borderId="3" xfId="0" quotePrefix="1" applyNumberFormat="1" applyFont="1" applyFill="1" applyBorder="1" applyAlignment="1">
      <alignment horizontal="left"/>
    </xf>
    <xf numFmtId="0" fontId="24" fillId="0" borderId="3" xfId="0" quotePrefix="1" applyNumberFormat="1" applyFont="1" applyFill="1" applyBorder="1"/>
    <xf numFmtId="0" fontId="24" fillId="0" borderId="3" xfId="0" applyFont="1" applyFill="1" applyBorder="1" applyAlignment="1">
      <alignment horizontal="center"/>
    </xf>
    <xf numFmtId="37" fontId="24" fillId="0" borderId="3" xfId="0" applyNumberFormat="1" applyFont="1" applyFill="1" applyBorder="1" applyAlignment="1">
      <alignment horizontal="center"/>
    </xf>
    <xf numFmtId="0" fontId="24" fillId="0" borderId="3" xfId="0" quotePrefix="1" applyNumberFormat="1" applyFont="1" applyBorder="1" applyAlignment="1">
      <alignment horizontal="center"/>
    </xf>
    <xf numFmtId="0" fontId="24" fillId="0" borderId="3" xfId="0" quotePrefix="1" applyNumberFormat="1" applyFont="1" applyBorder="1"/>
    <xf numFmtId="0" fontId="24" fillId="0" borderId="3" xfId="0" applyFont="1" applyBorder="1" applyAlignment="1">
      <alignment horizontal="center"/>
    </xf>
    <xf numFmtId="0" fontId="22" fillId="0" borderId="0" xfId="0" quotePrefix="1" applyNumberFormat="1" applyFont="1" applyBorder="1" applyAlignment="1">
      <alignment horizontal="center"/>
    </xf>
    <xf numFmtId="0" fontId="22" fillId="0" borderId="0" xfId="0" applyNumberFormat="1" applyFont="1" applyFill="1" applyBorder="1"/>
    <xf numFmtId="0" fontId="22" fillId="0" borderId="0" xfId="0" quotePrefix="1" applyNumberFormat="1" applyFont="1" applyBorder="1"/>
    <xf numFmtId="0" fontId="22" fillId="0" borderId="0" xfId="0" quotePrefix="1" applyNumberFormat="1" applyFont="1" applyFill="1" applyBorder="1"/>
    <xf numFmtId="37" fontId="24" fillId="0" borderId="0" xfId="0" applyNumberFormat="1" applyFont="1" applyFill="1" applyBorder="1" applyAlignment="1">
      <alignment horizontal="center"/>
    </xf>
    <xf numFmtId="0" fontId="24" fillId="0" borderId="0" xfId="0" applyFont="1" applyBorder="1" applyAlignment="1">
      <alignment horizontal="center"/>
    </xf>
    <xf numFmtId="0" fontId="24" fillId="0" borderId="0" xfId="0" quotePrefix="1" applyNumberFormat="1" applyFont="1" applyBorder="1" applyAlignment="1">
      <alignment horizontal="center"/>
    </xf>
    <xf numFmtId="0" fontId="24" fillId="0" borderId="3" xfId="0" applyFont="1" applyFill="1" applyBorder="1"/>
    <xf numFmtId="37" fontId="22" fillId="0" borderId="0" xfId="0" applyNumberFormat="1" applyFont="1" applyFill="1" applyBorder="1" applyAlignment="1">
      <alignment horizontal="center"/>
    </xf>
    <xf numFmtId="0" fontId="24" fillId="0" borderId="3" xfId="0" quotePrefix="1" applyNumberFormat="1" applyFont="1" applyBorder="1" applyAlignment="1">
      <alignment horizontal="left"/>
    </xf>
    <xf numFmtId="0" fontId="24" fillId="0" borderId="3" xfId="0" applyNumberFormat="1" applyFont="1" applyFill="1" applyBorder="1"/>
    <xf numFmtId="0" fontId="24" fillId="0" borderId="3" xfId="0" applyNumberFormat="1" applyFont="1" applyFill="1" applyBorder="1" applyAlignment="1">
      <alignment horizontal="left"/>
    </xf>
    <xf numFmtId="39" fontId="24" fillId="0" borderId="0" xfId="19" applyNumberFormat="1" applyFont="1" applyBorder="1" applyAlignment="1">
      <alignment horizontal="center"/>
    </xf>
    <xf numFmtId="0" fontId="24" fillId="0" borderId="0" xfId="0" applyFont="1" applyFill="1" applyBorder="1" applyAlignment="1">
      <alignment horizontal="center"/>
    </xf>
    <xf numFmtId="39" fontId="24" fillId="0" borderId="0" xfId="19" applyNumberFormat="1" applyFont="1" applyFill="1" applyBorder="1" applyAlignment="1">
      <alignment horizontal="center"/>
    </xf>
    <xf numFmtId="0" fontId="24" fillId="0" borderId="0" xfId="0" applyFont="1" applyBorder="1"/>
    <xf numFmtId="0" fontId="22" fillId="0" borderId="3" xfId="0" applyNumberFormat="1" applyFont="1" applyFill="1" applyBorder="1" applyAlignment="1">
      <alignment horizontal="right"/>
    </xf>
    <xf numFmtId="0" fontId="24" fillId="0" borderId="0" xfId="0" quotePrefix="1" applyNumberFormat="1" applyFont="1" applyBorder="1"/>
    <xf numFmtId="0" fontId="24" fillId="0" borderId="0" xfId="0" quotePrefix="1" applyNumberFormat="1" applyFont="1" applyFill="1" applyBorder="1"/>
    <xf numFmtId="164" fontId="24" fillId="0" borderId="0" xfId="19" applyNumberFormat="1" applyFont="1" applyBorder="1" applyAlignment="1">
      <alignment horizontal="right"/>
    </xf>
    <xf numFmtId="0" fontId="28" fillId="0" borderId="0" xfId="0" applyFont="1" applyBorder="1" applyAlignment="1">
      <alignment horizontal="center"/>
    </xf>
    <xf numFmtId="49" fontId="24" fillId="0" borderId="0" xfId="19" applyNumberFormat="1" applyFont="1" applyBorder="1" applyAlignment="1">
      <alignment horizontal="left" indent="1"/>
    </xf>
    <xf numFmtId="0" fontId="54" fillId="0" borderId="0" xfId="0" applyFont="1"/>
    <xf numFmtId="0" fontId="54" fillId="0" borderId="0" xfId="0" applyFont="1" applyAlignment="1">
      <alignment horizontal="right"/>
    </xf>
    <xf numFmtId="164" fontId="54" fillId="0" borderId="0" xfId="0" applyNumberFormat="1" applyFont="1"/>
    <xf numFmtId="0" fontId="55" fillId="0" borderId="0" xfId="0" applyFont="1" applyAlignment="1">
      <alignment horizontal="center"/>
    </xf>
    <xf numFmtId="164" fontId="54" fillId="0" borderId="0" xfId="0" applyNumberFormat="1" applyFont="1" applyFill="1"/>
    <xf numFmtId="164" fontId="54" fillId="36" borderId="0" xfId="0" applyNumberFormat="1" applyFont="1" applyFill="1"/>
    <xf numFmtId="164" fontId="54" fillId="0" borderId="0" xfId="0" applyNumberFormat="1" applyFont="1" applyAlignment="1">
      <alignment horizontal="right"/>
    </xf>
    <xf numFmtId="164" fontId="54" fillId="0" borderId="0" xfId="0" quotePrefix="1" applyNumberFormat="1" applyFont="1" applyAlignment="1">
      <alignment horizontal="center"/>
    </xf>
    <xf numFmtId="0" fontId="54" fillId="0" borderId="0" xfId="0" applyFont="1" applyFill="1"/>
    <xf numFmtId="10" fontId="54" fillId="0" borderId="0" xfId="0" applyNumberFormat="1" applyFont="1" applyFill="1"/>
    <xf numFmtId="0" fontId="52" fillId="0" borderId="0" xfId="0" applyFont="1" applyAlignment="1">
      <alignment horizontal="center"/>
    </xf>
    <xf numFmtId="0" fontId="57" fillId="0" borderId="0" xfId="0" applyFont="1" applyAlignment="1">
      <alignment horizontal="center"/>
    </xf>
    <xf numFmtId="166" fontId="54" fillId="0" borderId="0" xfId="0" applyNumberFormat="1" applyFont="1"/>
    <xf numFmtId="164" fontId="54" fillId="34" borderId="0" xfId="0" applyNumberFormat="1" applyFont="1" applyFill="1"/>
    <xf numFmtId="0" fontId="54" fillId="0" borderId="0" xfId="0" applyFont="1" applyAlignment="1">
      <alignment horizontal="left" indent="1"/>
    </xf>
    <xf numFmtId="165" fontId="54" fillId="0" borderId="0" xfId="0" applyNumberFormat="1" applyFont="1"/>
    <xf numFmtId="0" fontId="54" fillId="0" borderId="0" xfId="0" applyFont="1" applyAlignment="1">
      <alignment horizontal="center"/>
    </xf>
    <xf numFmtId="0" fontId="22" fillId="36" borderId="0" xfId="0" quotePrefix="1" applyFont="1" applyFill="1" applyAlignment="1">
      <alignment horizontal="center"/>
    </xf>
    <xf numFmtId="0" fontId="22" fillId="0" borderId="0" xfId="28" applyFont="1"/>
    <xf numFmtId="0" fontId="24" fillId="36" borderId="0" xfId="28" applyFont="1" applyFill="1"/>
    <xf numFmtId="0" fontId="22" fillId="0" borderId="0" xfId="28" applyFont="1" applyFill="1" applyBorder="1" applyAlignment="1">
      <alignment horizontal="left" vertical="center"/>
    </xf>
    <xf numFmtId="0" fontId="22" fillId="0" borderId="0" xfId="28" applyFont="1" applyFill="1" applyBorder="1" applyAlignment="1">
      <alignment horizontal="center" vertical="center" wrapText="1"/>
    </xf>
    <xf numFmtId="0" fontId="22" fillId="0" borderId="0" xfId="28" applyFont="1" applyFill="1" applyBorder="1" applyAlignment="1">
      <alignment horizontal="center" vertical="center"/>
    </xf>
    <xf numFmtId="0" fontId="22" fillId="0" borderId="0" xfId="28" applyFont="1" applyFill="1" applyBorder="1" applyAlignment="1">
      <alignment horizontal="center"/>
    </xf>
    <xf numFmtId="0" fontId="22" fillId="0" borderId="0" xfId="28" applyFont="1" applyBorder="1" applyAlignment="1">
      <alignment horizontal="center" vertical="center" wrapText="1"/>
    </xf>
    <xf numFmtId="0" fontId="24" fillId="0" borderId="0" xfId="28" applyFont="1" applyFill="1" applyBorder="1" applyAlignment="1">
      <alignment horizontal="left" vertical="center" indent="1"/>
    </xf>
    <xf numFmtId="164" fontId="24" fillId="0" borderId="0" xfId="28" applyNumberFormat="1" applyFont="1" applyFill="1" applyBorder="1" applyAlignment="1">
      <alignment horizontal="right" vertical="center" wrapText="1"/>
    </xf>
    <xf numFmtId="164" fontId="24" fillId="0" borderId="0" xfId="20" applyNumberFormat="1" applyFont="1" applyFill="1"/>
    <xf numFmtId="164" fontId="24" fillId="0" borderId="0" xfId="28" applyNumberFormat="1" applyFont="1" applyFill="1" applyBorder="1" applyAlignment="1">
      <alignment horizontal="right"/>
    </xf>
    <xf numFmtId="164" fontId="28" fillId="0" borderId="0" xfId="28" applyNumberFormat="1" applyFont="1" applyFill="1" applyBorder="1" applyAlignment="1">
      <alignment horizontal="right" vertical="center" wrapText="1"/>
    </xf>
    <xf numFmtId="164" fontId="28" fillId="0" borderId="0" xfId="20" applyNumberFormat="1" applyFont="1" applyFill="1"/>
    <xf numFmtId="164" fontId="28" fillId="0" borderId="0" xfId="28" applyNumberFormat="1" applyFont="1" applyFill="1" applyBorder="1" applyAlignment="1">
      <alignment horizontal="right"/>
    </xf>
    <xf numFmtId="164" fontId="24" fillId="0" borderId="0" xfId="28" applyNumberFormat="1" applyFont="1" applyFill="1" applyAlignment="1">
      <alignment vertical="center"/>
    </xf>
    <xf numFmtId="0" fontId="24" fillId="0" borderId="0" xfId="28" applyFont="1" applyFill="1"/>
    <xf numFmtId="41" fontId="24" fillId="0" borderId="0" xfId="20" applyNumberFormat="1" applyFont="1" applyFill="1"/>
    <xf numFmtId="41" fontId="24" fillId="0" borderId="0" xfId="28" applyNumberFormat="1" applyFont="1" applyFill="1"/>
    <xf numFmtId="41" fontId="24" fillId="0" borderId="0" xfId="20" applyNumberFormat="1" applyFont="1"/>
    <xf numFmtId="41" fontId="24" fillId="0" borderId="0" xfId="20" applyNumberFormat="1" applyFont="1" applyAlignment="1" applyProtection="1">
      <alignment horizontal="right" indent="2"/>
    </xf>
    <xf numFmtId="0" fontId="22" fillId="0" borderId="0" xfId="28" applyFont="1" applyFill="1"/>
    <xf numFmtId="0" fontId="24" fillId="0" borderId="0" xfId="28" applyFont="1" applyFill="1" applyAlignment="1">
      <alignment horizontal="left" wrapText="1" indent="1"/>
    </xf>
    <xf numFmtId="164" fontId="24" fillId="0" borderId="0" xfId="28" applyNumberFormat="1" applyFont="1" applyFill="1"/>
    <xf numFmtId="41" fontId="36" fillId="0" borderId="0" xfId="20" applyNumberFormat="1" applyFont="1" applyFill="1"/>
    <xf numFmtId="164" fontId="36" fillId="0" borderId="0" xfId="20" applyNumberFormat="1" applyFont="1" applyFill="1"/>
    <xf numFmtId="42" fontId="36" fillId="0" borderId="0" xfId="28" applyNumberFormat="1" applyFont="1"/>
    <xf numFmtId="42" fontId="24" fillId="0" borderId="0" xfId="28" applyNumberFormat="1" applyFont="1"/>
    <xf numFmtId="42" fontId="24" fillId="0" borderId="0" xfId="20" applyNumberFormat="1" applyFont="1" applyBorder="1"/>
    <xf numFmtId="42" fontId="24" fillId="0" borderId="0" xfId="28" applyNumberFormat="1" applyFont="1" applyBorder="1"/>
    <xf numFmtId="164" fontId="24" fillId="0" borderId="0" xfId="20" applyNumberFormat="1" applyFont="1" applyBorder="1"/>
    <xf numFmtId="43" fontId="24" fillId="0" borderId="0" xfId="28" applyNumberFormat="1" applyFont="1"/>
    <xf numFmtId="41" fontId="24" fillId="0" borderId="0" xfId="28" applyNumberFormat="1" applyFont="1"/>
    <xf numFmtId="0" fontId="22" fillId="0" borderId="0" xfId="28" applyFont="1" applyAlignment="1">
      <alignment horizontal="center" wrapText="1"/>
    </xf>
    <xf numFmtId="0" fontId="25" fillId="0" borderId="0" xfId="28" applyFont="1"/>
    <xf numFmtId="164" fontId="24" fillId="0" borderId="0" xfId="28" applyNumberFormat="1" applyFont="1" applyBorder="1"/>
    <xf numFmtId="0" fontId="24" fillId="0" borderId="0" xfId="28" applyFont="1" applyFill="1" applyBorder="1" applyAlignment="1">
      <alignment horizontal="right" vertical="center"/>
    </xf>
    <xf numFmtId="168" fontId="24" fillId="0" borderId="0" xfId="39" applyNumberFormat="1" applyFont="1" applyFill="1" applyBorder="1" applyAlignment="1">
      <alignment vertical="center"/>
    </xf>
    <xf numFmtId="10" fontId="24" fillId="0" borderId="0" xfId="39" applyNumberFormat="1" applyFont="1" applyFill="1" applyBorder="1" applyAlignment="1">
      <alignment vertical="center"/>
    </xf>
    <xf numFmtId="0" fontId="24" fillId="0" borderId="0" xfId="28" applyFont="1" applyFill="1" applyBorder="1"/>
    <xf numFmtId="10" fontId="24" fillId="0" borderId="0" xfId="39" applyNumberFormat="1" applyFont="1" applyFill="1" applyBorder="1"/>
    <xf numFmtId="42" fontId="24" fillId="0" borderId="0" xfId="20" applyNumberFormat="1" applyFont="1" applyFill="1"/>
    <xf numFmtId="39" fontId="22" fillId="0" borderId="3" xfId="22" quotePrefix="1" applyNumberFormat="1" applyFont="1" applyBorder="1" applyAlignment="1">
      <alignment horizontal="center" wrapText="1"/>
    </xf>
    <xf numFmtId="39" fontId="22" fillId="0" borderId="3" xfId="22" applyNumberFormat="1" applyFont="1" applyBorder="1" applyAlignment="1">
      <alignment horizontal="center" wrapText="1"/>
    </xf>
    <xf numFmtId="39" fontId="24" fillId="0" borderId="3" xfId="22" quotePrefix="1" applyNumberFormat="1" applyFont="1" applyFill="1" applyBorder="1" applyAlignment="1">
      <alignment horizontal="center"/>
    </xf>
    <xf numFmtId="176" fontId="22" fillId="0" borderId="3" xfId="22" applyNumberFormat="1" applyFont="1" applyBorder="1" applyAlignment="1">
      <alignment horizontal="center" wrapText="1"/>
    </xf>
    <xf numFmtId="39" fontId="22" fillId="0" borderId="0" xfId="22" quotePrefix="1" applyNumberFormat="1" applyFont="1" applyBorder="1" applyAlignment="1">
      <alignment horizontal="center"/>
    </xf>
    <xf numFmtId="37" fontId="22" fillId="0" borderId="3" xfId="22" quotePrefix="1" applyNumberFormat="1" applyFont="1" applyBorder="1" applyAlignment="1">
      <alignment horizontal="center"/>
    </xf>
    <xf numFmtId="37" fontId="22" fillId="0" borderId="0" xfId="22" quotePrefix="1" applyNumberFormat="1" applyFont="1" applyBorder="1" applyAlignment="1">
      <alignment horizontal="center"/>
    </xf>
    <xf numFmtId="37" fontId="24" fillId="0" borderId="3" xfId="22" quotePrefix="1" applyNumberFormat="1" applyFont="1" applyFill="1" applyBorder="1" applyAlignment="1">
      <alignment horizontal="center"/>
    </xf>
    <xf numFmtId="39" fontId="24" fillId="0" borderId="0" xfId="22" quotePrefix="1" applyNumberFormat="1" applyFont="1" applyBorder="1" applyAlignment="1">
      <alignment horizontal="center"/>
    </xf>
    <xf numFmtId="176" fontId="24" fillId="0" borderId="0" xfId="22" applyNumberFormat="1" applyFont="1" applyBorder="1" applyAlignment="1">
      <alignment horizontal="center"/>
    </xf>
    <xf numFmtId="0" fontId="24" fillId="0" borderId="3" xfId="22" applyNumberFormat="1" applyFont="1" applyFill="1" applyBorder="1" applyAlignment="1">
      <alignment horizontal="left"/>
    </xf>
    <xf numFmtId="37" fontId="24" fillId="36" borderId="3" xfId="22" quotePrefix="1" applyNumberFormat="1" applyFont="1" applyFill="1" applyBorder="1" applyAlignment="1">
      <alignment horizontal="center"/>
    </xf>
    <xf numFmtId="0" fontId="24" fillId="36" borderId="3" xfId="0" applyFont="1" applyFill="1" applyBorder="1" applyAlignment="1">
      <alignment horizontal="center"/>
    </xf>
    <xf numFmtId="37" fontId="24" fillId="36" borderId="3" xfId="0" applyNumberFormat="1" applyFont="1" applyFill="1" applyBorder="1" applyAlignment="1">
      <alignment horizontal="center"/>
    </xf>
    <xf numFmtId="37" fontId="24" fillId="36" borderId="3" xfId="22" applyNumberFormat="1" applyFont="1" applyFill="1" applyBorder="1" applyAlignment="1">
      <alignment horizontal="center"/>
    </xf>
    <xf numFmtId="39" fontId="24" fillId="36" borderId="3" xfId="22" quotePrefix="1" applyNumberFormat="1" applyFont="1" applyFill="1" applyBorder="1" applyAlignment="1">
      <alignment horizontal="center"/>
    </xf>
    <xf numFmtId="39" fontId="24" fillId="36" borderId="4" xfId="22" quotePrefix="1" applyNumberFormat="1" applyFont="1" applyFill="1" applyBorder="1" applyAlignment="1">
      <alignment horizontal="center"/>
    </xf>
    <xf numFmtId="37" fontId="22" fillId="36" borderId="3" xfId="22" quotePrefix="1" applyNumberFormat="1" applyFont="1" applyFill="1" applyBorder="1" applyAlignment="1">
      <alignment horizontal="center"/>
    </xf>
    <xf numFmtId="37" fontId="22" fillId="0" borderId="0" xfId="22" quotePrefix="1" applyNumberFormat="1" applyFont="1" applyFill="1" applyBorder="1" applyAlignment="1">
      <alignment horizontal="center"/>
    </xf>
    <xf numFmtId="37" fontId="22" fillId="0" borderId="3" xfId="22" quotePrefix="1" applyNumberFormat="1" applyFont="1" applyFill="1" applyBorder="1" applyAlignment="1">
      <alignment horizontal="center"/>
    </xf>
    <xf numFmtId="39" fontId="22" fillId="0" borderId="0" xfId="22" quotePrefix="1" applyNumberFormat="1" applyFont="1" applyFill="1" applyBorder="1" applyAlignment="1">
      <alignment horizontal="center"/>
    </xf>
    <xf numFmtId="39" fontId="22" fillId="0" borderId="3" xfId="22" applyNumberFormat="1" applyFont="1" applyFill="1" applyBorder="1" applyAlignment="1">
      <alignment horizontal="center" wrapText="1"/>
    </xf>
    <xf numFmtId="39" fontId="24" fillId="0" borderId="0" xfId="22" applyNumberFormat="1" applyFont="1" applyFill="1" applyBorder="1" applyAlignment="1">
      <alignment horizontal="center"/>
    </xf>
    <xf numFmtId="39" fontId="24" fillId="0" borderId="0" xfId="22" quotePrefix="1" applyNumberFormat="1" applyFont="1" applyFill="1" applyBorder="1" applyAlignment="1">
      <alignment horizontal="center"/>
    </xf>
    <xf numFmtId="39" fontId="53" fillId="0" borderId="0" xfId="22" quotePrefix="1" applyNumberFormat="1" applyFont="1" applyBorder="1" applyAlignment="1">
      <alignment horizontal="center"/>
    </xf>
    <xf numFmtId="39" fontId="24" fillId="0" borderId="3" xfId="22" applyNumberFormat="1" applyFont="1" applyBorder="1" applyAlignment="1">
      <alignment horizontal="center" wrapText="1"/>
    </xf>
    <xf numFmtId="177" fontId="53" fillId="0" borderId="0" xfId="22" applyNumberFormat="1" applyFont="1" applyBorder="1" applyAlignment="1">
      <alignment horizontal="center"/>
    </xf>
    <xf numFmtId="39" fontId="53" fillId="0" borderId="0" xfId="22" applyNumberFormat="1" applyFont="1" applyBorder="1" applyAlignment="1">
      <alignment horizontal="left"/>
    </xf>
    <xf numFmtId="37" fontId="22" fillId="37" borderId="3" xfId="22" quotePrefix="1" applyNumberFormat="1" applyFont="1" applyFill="1" applyBorder="1" applyAlignment="1">
      <alignment horizontal="center"/>
    </xf>
    <xf numFmtId="39" fontId="22" fillId="37" borderId="3" xfId="22" applyNumberFormat="1" applyFont="1" applyFill="1" applyBorder="1" applyAlignment="1">
      <alignment horizontal="center"/>
    </xf>
    <xf numFmtId="39" fontId="58" fillId="0" borderId="0" xfId="22" quotePrefix="1" applyNumberFormat="1" applyFont="1" applyBorder="1" applyAlignment="1">
      <alignment horizontal="center"/>
    </xf>
    <xf numFmtId="37" fontId="22" fillId="36" borderId="5" xfId="22" quotePrefix="1" applyNumberFormat="1" applyFont="1" applyFill="1" applyBorder="1" applyAlignment="1">
      <alignment horizontal="center"/>
    </xf>
    <xf numFmtId="0" fontId="22" fillId="37" borderId="0" xfId="0" quotePrefix="1" applyNumberFormat="1" applyFont="1" applyFill="1" applyBorder="1"/>
    <xf numFmtId="0" fontId="22" fillId="37" borderId="0" xfId="0" applyFont="1" applyFill="1" applyBorder="1"/>
    <xf numFmtId="37" fontId="58" fillId="0" borderId="0" xfId="22" quotePrefix="1" applyNumberFormat="1" applyFont="1" applyBorder="1" applyAlignment="1">
      <alignment horizontal="center"/>
    </xf>
    <xf numFmtId="0" fontId="24" fillId="36" borderId="3" xfId="0" quotePrefix="1" applyNumberFormat="1" applyFont="1" applyFill="1" applyBorder="1"/>
    <xf numFmtId="0" fontId="24" fillId="36" borderId="3" xfId="0" quotePrefix="1" applyNumberFormat="1" applyFont="1" applyFill="1" applyBorder="1" applyAlignment="1">
      <alignment horizontal="left"/>
    </xf>
    <xf numFmtId="0" fontId="24" fillId="36" borderId="3" xfId="0" applyNumberFormat="1" applyFont="1" applyFill="1" applyBorder="1"/>
    <xf numFmtId="0" fontId="24" fillId="36" borderId="3" xfId="0" applyNumberFormat="1" applyFont="1" applyFill="1" applyBorder="1" applyAlignment="1">
      <alignment horizontal="left"/>
    </xf>
    <xf numFmtId="0" fontId="24" fillId="36" borderId="3" xfId="0" quotePrefix="1" applyNumberFormat="1" applyFont="1" applyFill="1" applyBorder="1" applyAlignment="1">
      <alignment horizontal="center"/>
    </xf>
    <xf numFmtId="0" fontId="24" fillId="37" borderId="3" xfId="0" applyFont="1" applyFill="1" applyBorder="1" applyAlignment="1">
      <alignment horizontal="center"/>
    </xf>
    <xf numFmtId="0" fontId="24" fillId="37" borderId="3" xfId="0" applyFont="1" applyFill="1" applyBorder="1"/>
    <xf numFmtId="39" fontId="24" fillId="37" borderId="3" xfId="22" applyNumberFormat="1" applyFont="1" applyFill="1" applyBorder="1" applyAlignment="1">
      <alignment horizontal="center"/>
    </xf>
    <xf numFmtId="0" fontId="22" fillId="37" borderId="3" xfId="0" applyFont="1" applyFill="1" applyBorder="1" applyAlignment="1">
      <alignment horizontal="center"/>
    </xf>
    <xf numFmtId="37" fontId="24" fillId="0" borderId="3" xfId="22" applyNumberFormat="1" applyFont="1" applyFill="1" applyBorder="1" applyAlignment="1">
      <alignment horizontal="center"/>
    </xf>
    <xf numFmtId="39" fontId="24" fillId="0" borderId="3" xfId="22" applyNumberFormat="1" applyFont="1" applyFill="1" applyBorder="1" applyAlignment="1">
      <alignment horizontal="center"/>
    </xf>
    <xf numFmtId="49" fontId="24" fillId="0" borderId="0" xfId="22" applyNumberFormat="1" applyFont="1" applyBorder="1" applyAlignment="1">
      <alignment horizontal="left"/>
    </xf>
    <xf numFmtId="39" fontId="24" fillId="0" borderId="3" xfId="22" applyNumberFormat="1" applyFont="1" applyBorder="1" applyAlignment="1">
      <alignment horizontal="right"/>
    </xf>
    <xf numFmtId="10" fontId="24" fillId="0" borderId="3" xfId="38" applyNumberFormat="1" applyFont="1" applyFill="1" applyBorder="1" applyAlignment="1">
      <alignment horizontal="center"/>
    </xf>
    <xf numFmtId="39" fontId="24" fillId="0" borderId="3" xfId="22" quotePrefix="1" applyNumberFormat="1" applyFont="1" applyBorder="1" applyAlignment="1">
      <alignment horizontal="center"/>
    </xf>
    <xf numFmtId="39" fontId="22" fillId="0" borderId="3" xfId="22" applyNumberFormat="1" applyFont="1" applyFill="1" applyBorder="1" applyAlignment="1">
      <alignment horizontal="right" wrapText="1"/>
    </xf>
    <xf numFmtId="0" fontId="24" fillId="37" borderId="3" xfId="0" quotePrefix="1" applyNumberFormat="1" applyFont="1" applyFill="1" applyBorder="1"/>
    <xf numFmtId="0" fontId="24" fillId="36" borderId="6" xfId="0" applyFont="1" applyFill="1" applyBorder="1" applyAlignment="1"/>
    <xf numFmtId="0" fontId="24" fillId="36" borderId="4" xfId="0" applyFont="1" applyFill="1" applyBorder="1" applyAlignment="1"/>
    <xf numFmtId="0" fontId="24" fillId="36" borderId="3" xfId="0" applyFont="1" applyFill="1" applyBorder="1"/>
    <xf numFmtId="39" fontId="24" fillId="36" borderId="3" xfId="22" applyNumberFormat="1" applyFont="1" applyFill="1" applyBorder="1" applyAlignment="1">
      <alignment horizontal="center"/>
    </xf>
    <xf numFmtId="39" fontId="24" fillId="36" borderId="3" xfId="0" applyNumberFormat="1" applyFont="1" applyFill="1" applyBorder="1" applyAlignment="1">
      <alignment horizontal="center"/>
    </xf>
    <xf numFmtId="0" fontId="22" fillId="36" borderId="3" xfId="0" quotePrefix="1" applyNumberFormat="1" applyFont="1" applyFill="1" applyBorder="1"/>
    <xf numFmtId="39" fontId="22" fillId="36" borderId="3" xfId="22" quotePrefix="1" applyNumberFormat="1" applyFont="1" applyFill="1" applyBorder="1" applyAlignment="1">
      <alignment horizontal="center"/>
    </xf>
    <xf numFmtId="0" fontId="22" fillId="36" borderId="3" xfId="0" applyNumberFormat="1" applyFont="1" applyFill="1" applyBorder="1"/>
    <xf numFmtId="37" fontId="22" fillId="0" borderId="0" xfId="22" applyNumberFormat="1" applyFont="1" applyFill="1" applyBorder="1" applyAlignment="1">
      <alignment horizontal="center"/>
    </xf>
    <xf numFmtId="39" fontId="22" fillId="0" borderId="0" xfId="22" applyNumberFormat="1" applyFont="1" applyBorder="1" applyAlignment="1">
      <alignment horizontal="center"/>
    </xf>
    <xf numFmtId="39" fontId="22" fillId="0" borderId="0" xfId="22" applyNumberFormat="1" applyFont="1" applyFill="1" applyBorder="1" applyAlignment="1">
      <alignment horizontal="center"/>
    </xf>
    <xf numFmtId="39" fontId="22" fillId="37" borderId="0" xfId="22" quotePrefix="1" applyNumberFormat="1" applyFont="1" applyFill="1" applyBorder="1" applyAlignment="1">
      <alignment horizontal="center"/>
    </xf>
    <xf numFmtId="39" fontId="24" fillId="0" borderId="0" xfId="22" applyNumberFormat="1" applyFont="1" applyBorder="1" applyAlignment="1">
      <alignment horizontal="center"/>
    </xf>
    <xf numFmtId="0" fontId="25" fillId="0" borderId="0" xfId="0" quotePrefix="1" applyFont="1" applyFill="1" applyAlignment="1">
      <alignment horizontal="center"/>
    </xf>
    <xf numFmtId="164" fontId="22" fillId="0" borderId="0" xfId="0" applyNumberFormat="1" applyFont="1" applyFill="1" applyAlignment="1">
      <alignment horizontal="center"/>
    </xf>
    <xf numFmtId="164" fontId="25" fillId="0" borderId="0" xfId="0" applyNumberFormat="1" applyFont="1" applyFill="1" applyAlignment="1">
      <alignment horizontal="center"/>
    </xf>
    <xf numFmtId="164" fontId="25" fillId="36" borderId="0" xfId="0" applyNumberFormat="1" applyFont="1" applyFill="1" applyAlignment="1">
      <alignment horizontal="center"/>
    </xf>
    <xf numFmtId="0" fontId="24" fillId="0" borderId="0" xfId="0" quotePrefix="1" applyFont="1" applyFill="1" applyAlignment="1">
      <alignment horizontal="center"/>
    </xf>
    <xf numFmtId="0" fontId="24" fillId="0" borderId="0" xfId="0" applyFont="1" applyFill="1" applyAlignment="1">
      <alignment horizontal="right"/>
    </xf>
    <xf numFmtId="164" fontId="28" fillId="0" borderId="0" xfId="0" applyNumberFormat="1" applyFont="1" applyFill="1" applyAlignment="1">
      <alignment horizontal="right"/>
    </xf>
    <xf numFmtId="164" fontId="24" fillId="36" borderId="0" xfId="0" applyNumberFormat="1" applyFont="1" applyFill="1" applyAlignment="1">
      <alignment horizontal="right"/>
    </xf>
    <xf numFmtId="10" fontId="54" fillId="0" borderId="0" xfId="0" applyNumberFormat="1" applyFont="1"/>
    <xf numFmtId="164" fontId="59" fillId="0" borderId="0" xfId="0" applyNumberFormat="1" applyFont="1"/>
    <xf numFmtId="0" fontId="56" fillId="0" borderId="0" xfId="0" applyFont="1" applyAlignment="1">
      <alignment horizontal="center"/>
    </xf>
    <xf numFmtId="3" fontId="54" fillId="36" borderId="0" xfId="0" applyNumberFormat="1" applyFont="1" applyFill="1"/>
    <xf numFmtId="0" fontId="52" fillId="0" borderId="0" xfId="0" applyFont="1"/>
    <xf numFmtId="0" fontId="30" fillId="0" borderId="0" xfId="27" applyAlignment="1" applyProtection="1"/>
    <xf numFmtId="0" fontId="28" fillId="0" borderId="0" xfId="0" applyFont="1" applyFill="1" applyAlignment="1">
      <alignment horizontal="center"/>
    </xf>
    <xf numFmtId="168" fontId="24" fillId="0" borderId="0" xfId="0" applyNumberFormat="1" applyFont="1" applyFill="1" applyAlignment="1">
      <alignment horizontal="right"/>
    </xf>
    <xf numFmtId="0" fontId="24" fillId="0" borderId="0" xfId="0" applyFont="1" applyFill="1" applyAlignment="1">
      <alignment horizontal="left" indent="2"/>
    </xf>
    <xf numFmtId="0" fontId="0" fillId="0" borderId="0" xfId="0" applyFill="1" applyAlignment="1">
      <alignment horizontal="left" indent="2"/>
    </xf>
    <xf numFmtId="0" fontId="24" fillId="0" borderId="0" xfId="0" applyFont="1" applyFill="1" applyAlignment="1">
      <alignment horizontal="left" indent="3"/>
    </xf>
    <xf numFmtId="166" fontId="54" fillId="0" borderId="0" xfId="0" quotePrefix="1" applyNumberFormat="1" applyFont="1" applyAlignment="1">
      <alignment horizontal="right"/>
    </xf>
    <xf numFmtId="168" fontId="28" fillId="0" borderId="0" xfId="0" applyNumberFormat="1" applyFont="1"/>
    <xf numFmtId="0" fontId="60" fillId="0" borderId="0" xfId="0" applyFont="1" applyAlignment="1">
      <alignment horizontal="center"/>
    </xf>
    <xf numFmtId="164" fontId="42" fillId="0" borderId="0" xfId="0" applyNumberFormat="1" applyFont="1" applyBorder="1"/>
    <xf numFmtId="0" fontId="0" fillId="36" borderId="0" xfId="0" applyFill="1" applyAlignment="1">
      <alignment horizontal="left" indent="1"/>
    </xf>
    <xf numFmtId="0" fontId="22" fillId="0" borderId="0" xfId="0" applyFont="1" applyFill="1" applyAlignment="1">
      <alignment horizontal="left"/>
    </xf>
    <xf numFmtId="0" fontId="25" fillId="0" borderId="0" xfId="0" applyFont="1" applyAlignment="1">
      <alignment horizontal="left" indent="1"/>
    </xf>
    <xf numFmtId="0" fontId="22"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4" fillId="0" borderId="0" xfId="0" applyNumberFormat="1" applyFont="1"/>
    <xf numFmtId="0" fontId="0" fillId="0" borderId="8" xfId="0" applyBorder="1" applyAlignment="1">
      <alignment horizontal="center"/>
    </xf>
    <xf numFmtId="0" fontId="55" fillId="0" borderId="0" xfId="0" applyFont="1"/>
    <xf numFmtId="0" fontId="54" fillId="36" borderId="0" xfId="0" applyFont="1" applyFill="1"/>
    <xf numFmtId="164" fontId="59" fillId="36" borderId="0" xfId="0" applyNumberFormat="1" applyFont="1" applyFill="1"/>
    <xf numFmtId="0" fontId="56" fillId="0" borderId="0" xfId="0" applyFont="1"/>
    <xf numFmtId="0" fontId="22" fillId="36" borderId="0" xfId="0" quotePrefix="1" applyFont="1" applyFill="1" applyAlignment="1">
      <alignment vertical="center"/>
    </xf>
    <xf numFmtId="164" fontId="24" fillId="36" borderId="8" xfId="0" applyNumberFormat="1" applyFont="1" applyFill="1" applyBorder="1"/>
    <xf numFmtId="164" fontId="57" fillId="0" borderId="0" xfId="0" applyNumberFormat="1" applyFont="1" applyAlignment="1">
      <alignment horizontal="center"/>
    </xf>
    <xf numFmtId="165" fontId="21" fillId="0" borderId="0" xfId="0" applyNumberFormat="1" applyFont="1" applyFill="1"/>
    <xf numFmtId="37" fontId="22" fillId="0" borderId="3" xfId="22" applyNumberFormat="1" applyFont="1" applyFill="1" applyBorder="1" applyAlignment="1">
      <alignment horizontal="center"/>
    </xf>
    <xf numFmtId="37" fontId="22" fillId="0" borderId="3" xfId="0" applyNumberFormat="1" applyFont="1" applyBorder="1" applyAlignment="1">
      <alignment horizontal="center"/>
    </xf>
    <xf numFmtId="37" fontId="22" fillId="37" borderId="3" xfId="0" applyNumberFormat="1" applyFont="1" applyFill="1" applyBorder="1" applyAlignment="1">
      <alignment horizontal="center"/>
    </xf>
    <xf numFmtId="164" fontId="24" fillId="0" borderId="0" xfId="19" applyNumberFormat="1" applyFont="1" applyBorder="1" applyAlignment="1">
      <alignment horizontal="center"/>
    </xf>
    <xf numFmtId="37" fontId="22" fillId="0" borderId="0" xfId="0" applyNumberFormat="1" applyFont="1" applyBorder="1" applyAlignment="1">
      <alignment horizontal="center"/>
    </xf>
    <xf numFmtId="164" fontId="28" fillId="36" borderId="0" xfId="0" applyNumberFormat="1" applyFont="1" applyFill="1" applyAlignment="1">
      <alignment horizontal="right"/>
    </xf>
    <xf numFmtId="0" fontId="24" fillId="36" borderId="0" xfId="0" applyFont="1" applyFill="1" applyAlignment="1">
      <alignment horizontal="right"/>
    </xf>
    <xf numFmtId="0" fontId="22" fillId="0" borderId="0" xfId="28" applyFont="1" applyAlignment="1">
      <alignment horizontal="left" vertical="center"/>
    </xf>
    <xf numFmtId="0" fontId="51" fillId="0" borderId="0" xfId="28" applyFont="1" applyFill="1" applyAlignment="1">
      <alignment horizontal="left"/>
    </xf>
    <xf numFmtId="0" fontId="51" fillId="0" borderId="0" xfId="28" applyFont="1" applyFill="1" applyAlignment="1">
      <alignment horizontal="center"/>
    </xf>
    <xf numFmtId="0" fontId="51" fillId="0" borderId="0" xfId="28" applyNumberFormat="1" applyFont="1" applyFill="1" applyAlignment="1">
      <alignment horizontal="center"/>
    </xf>
    <xf numFmtId="0" fontId="51" fillId="0" borderId="0" xfId="28" applyFont="1" applyAlignment="1">
      <alignment horizontal="center"/>
    </xf>
    <xf numFmtId="0" fontId="22" fillId="0" borderId="0" xfId="28" applyFont="1" applyAlignment="1">
      <alignment horizontal="left"/>
    </xf>
    <xf numFmtId="0" fontId="51" fillId="36" borderId="0" xfId="28" applyNumberFormat="1" applyFont="1" applyFill="1" applyAlignment="1">
      <alignment horizontal="center"/>
    </xf>
    <xf numFmtId="0" fontId="22" fillId="0" borderId="0" xfId="28" applyFont="1" applyAlignment="1">
      <alignment vertical="top"/>
    </xf>
    <xf numFmtId="0" fontId="22" fillId="0" borderId="0" xfId="28" applyFont="1" applyAlignment="1">
      <alignment horizontal="left" vertical="top"/>
    </xf>
    <xf numFmtId="0" fontId="22" fillId="0" borderId="0" xfId="28" applyFont="1" applyAlignment="1">
      <alignment horizontal="center" vertical="top"/>
    </xf>
    <xf numFmtId="0" fontId="22" fillId="0" borderId="0" xfId="28" applyFont="1" applyFill="1" applyAlignment="1">
      <alignment horizontal="center" vertical="top"/>
    </xf>
    <xf numFmtId="0" fontId="22" fillId="0" borderId="0" xfId="28" applyNumberFormat="1" applyFont="1" applyFill="1" applyAlignment="1">
      <alignment horizontal="center" vertical="top"/>
    </xf>
    <xf numFmtId="0" fontId="51" fillId="0" borderId="0" xfId="28" applyFont="1" applyAlignment="1">
      <alignment horizontal="center" vertical="top"/>
    </xf>
    <xf numFmtId="0" fontId="22" fillId="0" borderId="0" xfId="28" applyFont="1" applyAlignment="1"/>
    <xf numFmtId="0" fontId="22" fillId="0" borderId="0" xfId="28" applyFont="1" applyFill="1" applyAlignment="1">
      <alignment horizontal="center"/>
    </xf>
    <xf numFmtId="0" fontId="22" fillId="0" borderId="0" xfId="28" applyNumberFormat="1" applyFont="1" applyFill="1" applyAlignment="1">
      <alignment horizontal="center"/>
    </xf>
    <xf numFmtId="0" fontId="25" fillId="0" borderId="0" xfId="0" quotePrefix="1" applyFont="1" applyAlignment="1">
      <alignment horizontal="center" vertical="top"/>
    </xf>
    <xf numFmtId="0" fontId="25" fillId="0" borderId="0" xfId="0" quotePrefix="1" applyNumberFormat="1" applyFont="1" applyAlignment="1">
      <alignment horizontal="center" vertical="top"/>
    </xf>
    <xf numFmtId="0" fontId="22" fillId="0" borderId="0" xfId="28" applyFont="1" applyAlignment="1">
      <alignment horizontal="center" vertical="center"/>
    </xf>
    <xf numFmtId="0" fontId="22" fillId="0" borderId="0" xfId="28" applyFont="1" applyBorder="1" applyAlignment="1"/>
    <xf numFmtId="0" fontId="22" fillId="0" borderId="6" xfId="28" applyNumberFormat="1" applyFont="1" applyFill="1" applyBorder="1" applyAlignment="1">
      <alignment horizontal="center"/>
    </xf>
    <xf numFmtId="0" fontId="22" fillId="0" borderId="3" xfId="28" applyFont="1" applyBorder="1" applyAlignment="1">
      <alignment horizontal="center"/>
    </xf>
    <xf numFmtId="0" fontId="22" fillId="0" borderId="3" xfId="28" applyNumberFormat="1" applyFont="1" applyBorder="1" applyAlignment="1">
      <alignment horizontal="center"/>
    </xf>
    <xf numFmtId="0" fontId="25" fillId="0" borderId="0" xfId="28" applyFont="1" applyBorder="1" applyAlignment="1"/>
    <xf numFmtId="0" fontId="22" fillId="0" borderId="0" xfId="28" applyFont="1" applyBorder="1" applyAlignment="1">
      <alignment horizontal="center"/>
    </xf>
    <xf numFmtId="0" fontId="22" fillId="0" borderId="0" xfId="28" applyNumberFormat="1" applyFont="1" applyBorder="1" applyAlignment="1">
      <alignment horizontal="center"/>
    </xf>
    <xf numFmtId="167" fontId="36" fillId="0" borderId="0" xfId="28" applyNumberFormat="1" applyFont="1" applyFill="1" applyBorder="1"/>
    <xf numFmtId="0" fontId="22" fillId="0" borderId="0" xfId="28" applyFont="1" applyFill="1" applyBorder="1"/>
    <xf numFmtId="0" fontId="25" fillId="0" borderId="0" xfId="28" applyFont="1" applyBorder="1"/>
    <xf numFmtId="167" fontId="22" fillId="0" borderId="0" xfId="28" applyNumberFormat="1" applyFont="1" applyBorder="1" applyAlignment="1">
      <alignment horizontal="center"/>
    </xf>
    <xf numFmtId="167" fontId="22" fillId="0" borderId="0" xfId="28" applyNumberFormat="1" applyFont="1" applyBorder="1"/>
    <xf numFmtId="0" fontId="22" fillId="0" borderId="0" xfId="28" applyFont="1" applyBorder="1" applyAlignment="1">
      <alignment horizontal="right"/>
    </xf>
    <xf numFmtId="0" fontId="22" fillId="0" borderId="0" xfId="28" applyFont="1" applyFill="1" applyBorder="1" applyAlignment="1">
      <alignment horizontal="right"/>
    </xf>
    <xf numFmtId="167" fontId="22" fillId="0" borderId="3" xfId="22" applyNumberFormat="1" applyFont="1" applyFill="1" applyBorder="1" applyAlignment="1">
      <alignment horizontal="center" wrapText="1"/>
    </xf>
    <xf numFmtId="171" fontId="22" fillId="0" borderId="0" xfId="37" applyNumberFormat="1" applyFont="1" applyFill="1" applyBorder="1" applyAlignment="1">
      <alignment horizontal="center" wrapText="1"/>
    </xf>
    <xf numFmtId="167" fontId="22" fillId="0" borderId="0" xfId="22" applyNumberFormat="1" applyFont="1" applyFill="1" applyBorder="1"/>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167" fontId="22" fillId="0" borderId="0" xfId="22" applyNumberFormat="1" applyFont="1" applyBorder="1"/>
    <xf numFmtId="0" fontId="25" fillId="0" borderId="0" xfId="28" applyFont="1" applyBorder="1" applyAlignment="1">
      <alignment vertical="top" wrapText="1"/>
    </xf>
    <xf numFmtId="0" fontId="54" fillId="34" borderId="0" xfId="0" applyFont="1" applyFill="1"/>
    <xf numFmtId="0" fontId="55" fillId="0" borderId="0" xfId="0" applyFont="1" applyFill="1" applyAlignment="1">
      <alignment horizontal="center"/>
    </xf>
    <xf numFmtId="0" fontId="56" fillId="0" borderId="0" xfId="0" applyFont="1" applyFill="1" applyAlignment="1">
      <alignment horizontal="center"/>
    </xf>
    <xf numFmtId="0" fontId="54" fillId="0" borderId="0" xfId="0" applyFont="1" applyFill="1" applyAlignment="1">
      <alignment horizontal="center"/>
    </xf>
    <xf numFmtId="0" fontId="54" fillId="0" borderId="0" xfId="0" applyFont="1" applyFill="1" applyAlignment="1">
      <alignment horizontal="left" indent="2"/>
    </xf>
    <xf numFmtId="0" fontId="55" fillId="0" borderId="0" xfId="0" applyFont="1" applyAlignment="1">
      <alignment horizontal="left" indent="1"/>
    </xf>
    <xf numFmtId="0" fontId="55" fillId="0" borderId="0" xfId="0" quotePrefix="1" applyFont="1" applyAlignment="1">
      <alignment horizontal="center"/>
    </xf>
    <xf numFmtId="0" fontId="56" fillId="0" borderId="0" xfId="0" quotePrefix="1" applyFont="1" applyAlignment="1">
      <alignment horizontal="center"/>
    </xf>
    <xf numFmtId="164" fontId="59" fillId="0" borderId="0" xfId="0" applyNumberFormat="1" applyFont="1" applyFill="1"/>
    <xf numFmtId="0" fontId="54" fillId="0" borderId="0" xfId="0" quotePrefix="1" applyFont="1"/>
    <xf numFmtId="0" fontId="56" fillId="0" borderId="0" xfId="0" applyFont="1" applyAlignment="1">
      <alignment horizontal="left"/>
    </xf>
    <xf numFmtId="1" fontId="54" fillId="36" borderId="0" xfId="0" applyNumberFormat="1" applyFont="1" applyFill="1"/>
    <xf numFmtId="174" fontId="54" fillId="0" borderId="0" xfId="0" applyNumberFormat="1" applyFont="1"/>
    <xf numFmtId="0" fontId="54" fillId="0" borderId="0" xfId="0" applyFont="1" applyFill="1" applyAlignment="1">
      <alignment horizontal="left" indent="1"/>
    </xf>
    <xf numFmtId="164" fontId="0" fillId="0" borderId="0" xfId="0" quotePrefix="1" applyNumberFormat="1" applyAlignment="1">
      <alignment horizontal="center"/>
    </xf>
    <xf numFmtId="164" fontId="52" fillId="0" borderId="0" xfId="0" applyNumberFormat="1" applyFont="1" applyAlignment="1">
      <alignment horizontal="center"/>
    </xf>
    <xf numFmtId="0" fontId="22" fillId="0" borderId="0" xfId="0" applyFont="1" applyAlignment="1">
      <alignment horizontal="center"/>
    </xf>
    <xf numFmtId="0" fontId="0" fillId="0" borderId="0" xfId="0" applyAlignment="1">
      <alignment horizontal="center"/>
    </xf>
    <xf numFmtId="0" fontId="25" fillId="0" borderId="0" xfId="28" applyFont="1" applyFill="1" applyAlignment="1">
      <alignment horizontal="center"/>
    </xf>
    <xf numFmtId="0" fontId="22" fillId="0" borderId="0" xfId="0" applyFont="1" applyAlignment="1">
      <alignment horizontal="center"/>
    </xf>
    <xf numFmtId="0" fontId="22" fillId="0" borderId="0" xfId="0" applyFont="1" applyAlignment="1">
      <alignment horizontal="center"/>
    </xf>
    <xf numFmtId="164" fontId="0" fillId="0" borderId="0" xfId="0" applyNumberFormat="1" applyFill="1" applyAlignment="1"/>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xf>
    <xf numFmtId="0" fontId="21" fillId="0" borderId="0" xfId="0" applyFont="1" applyFill="1" applyAlignment="1">
      <alignment horizontal="left" indent="1"/>
    </xf>
    <xf numFmtId="0" fontId="21" fillId="0" borderId="0" xfId="0" applyFont="1"/>
    <xf numFmtId="0" fontId="21" fillId="0" borderId="0" xfId="0" applyFont="1" applyAlignment="1">
      <alignment horizontal="center"/>
    </xf>
    <xf numFmtId="0" fontId="21" fillId="0" borderId="0" xfId="0" applyFont="1" applyFill="1"/>
    <xf numFmtId="164" fontId="21" fillId="0" borderId="0" xfId="0" applyNumberFormat="1" applyFont="1" applyFill="1" applyBorder="1"/>
    <xf numFmtId="0" fontId="21" fillId="0" borderId="0" xfId="0" applyFont="1" applyAlignment="1">
      <alignment horizontal="left" indent="1"/>
    </xf>
    <xf numFmtId="179" fontId="21" fillId="34" borderId="0" xfId="35" applyNumberFormat="1" applyFont="1" applyFill="1" applyAlignment="1">
      <alignment horizontal="left"/>
    </xf>
    <xf numFmtId="179" fontId="21" fillId="0" borderId="0" xfId="35" applyNumberFormat="1" applyFont="1" applyFill="1" applyAlignment="1">
      <alignment horizontal="left"/>
    </xf>
    <xf numFmtId="164" fontId="21" fillId="0" borderId="0" xfId="0" applyNumberFormat="1" applyFont="1"/>
    <xf numFmtId="179" fontId="21" fillId="0" borderId="0" xfId="35" applyNumberFormat="1" applyFont="1" applyFill="1" applyAlignment="1">
      <alignment horizontal="right"/>
    </xf>
    <xf numFmtId="0" fontId="21" fillId="0" borderId="0" xfId="0" quotePrefix="1" applyFont="1" applyAlignment="1">
      <alignment horizontal="center"/>
    </xf>
    <xf numFmtId="0" fontId="21" fillId="36" borderId="0" xfId="0" applyFont="1" applyFill="1"/>
    <xf numFmtId="0" fontId="21" fillId="0" borderId="0" xfId="28" applyFont="1" applyFill="1"/>
    <xf numFmtId="10" fontId="0" fillId="0" borderId="0" xfId="37" applyNumberFormat="1" applyFont="1"/>
    <xf numFmtId="0" fontId="21" fillId="0" borderId="0" xfId="28" applyFont="1"/>
    <xf numFmtId="164" fontId="21" fillId="0" borderId="0" xfId="0" applyNumberFormat="1" applyFont="1" applyFill="1"/>
    <xf numFmtId="0" fontId="21" fillId="0" borderId="0" xfId="0" quotePrefix="1" applyFont="1"/>
    <xf numFmtId="17" fontId="21" fillId="0" borderId="0" xfId="0" quotePrefix="1" applyNumberFormat="1" applyFont="1" applyAlignment="1">
      <alignment horizontal="center"/>
    </xf>
    <xf numFmtId="0" fontId="21" fillId="0" borderId="0" xfId="0" applyFont="1" applyAlignment="1">
      <alignment wrapText="1"/>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indent="1"/>
    </xf>
    <xf numFmtId="0" fontId="21" fillId="0" borderId="0" xfId="0" applyFont="1" applyAlignment="1">
      <alignment horizontal="left" indent="2"/>
    </xf>
    <xf numFmtId="0" fontId="22" fillId="0" borderId="0" xfId="0" applyFont="1" applyAlignment="1">
      <alignment horizontal="center"/>
    </xf>
    <xf numFmtId="0" fontId="21" fillId="0" borderId="0" xfId="0" quotePrefix="1" applyFont="1" applyAlignment="1">
      <alignment horizontal="center" vertical="justify"/>
    </xf>
    <xf numFmtId="10" fontId="28" fillId="0" borderId="0" xfId="0" applyNumberFormat="1" applyFont="1"/>
    <xf numFmtId="0" fontId="22" fillId="0" borderId="0" xfId="0" applyFont="1" applyAlignment="1">
      <alignment horizontal="center"/>
    </xf>
    <xf numFmtId="166" fontId="21" fillId="0" borderId="0" xfId="0" applyNumberFormat="1" applyFont="1" applyAlignment="1">
      <alignment horizontal="left" indent="1"/>
    </xf>
    <xf numFmtId="166" fontId="25" fillId="0" borderId="0" xfId="0" applyNumberFormat="1" applyFont="1" applyAlignment="1">
      <alignment horizontal="center"/>
    </xf>
    <xf numFmtId="0" fontId="21" fillId="0" borderId="0" xfId="28" applyNumberFormat="1" applyFont="1" applyFill="1" applyBorder="1" applyAlignment="1">
      <alignment horizontal="left"/>
    </xf>
    <xf numFmtId="164" fontId="21" fillId="36" borderId="0" xfId="0" applyNumberFormat="1" applyFont="1" applyFill="1"/>
    <xf numFmtId="0" fontId="21" fillId="0" borderId="0" xfId="28" applyFont="1" applyBorder="1" applyAlignment="1">
      <alignment horizontal="left"/>
    </xf>
    <xf numFmtId="0" fontId="21" fillId="0" borderId="0" xfId="28" applyNumberFormat="1" applyFont="1" applyFill="1" applyBorder="1" applyAlignment="1">
      <alignment horizontal="right"/>
    </xf>
    <xf numFmtId="0" fontId="21" fillId="0" borderId="0" xfId="28" applyFont="1" applyBorder="1"/>
    <xf numFmtId="3" fontId="21" fillId="0" borderId="0" xfId="28" applyNumberFormat="1" applyFont="1" applyFill="1" applyBorder="1" applyAlignment="1">
      <alignment horizontal="left" indent="1"/>
    </xf>
    <xf numFmtId="1" fontId="21" fillId="0" borderId="0" xfId="28" applyNumberFormat="1" applyFont="1" applyFill="1" applyBorder="1" applyAlignment="1">
      <alignment horizontal="center"/>
    </xf>
    <xf numFmtId="37" fontId="21" fillId="0" borderId="0" xfId="36" applyNumberFormat="1" applyFont="1" applyFill="1" applyAlignment="1">
      <alignment horizontal="left" indent="1"/>
    </xf>
    <xf numFmtId="10" fontId="21" fillId="0" borderId="0" xfId="0" applyNumberFormat="1" applyFont="1" applyFill="1"/>
    <xf numFmtId="0" fontId="21" fillId="36" borderId="0" xfId="34" applyFont="1" applyFill="1"/>
    <xf numFmtId="0" fontId="21" fillId="0" borderId="0" xfId="0" quotePrefix="1" applyFont="1" applyAlignment="1"/>
    <xf numFmtId="0" fontId="56" fillId="0" borderId="0" xfId="0" applyFont="1" applyFill="1"/>
    <xf numFmtId="0" fontId="24" fillId="0" borderId="0" xfId="28" applyFont="1" applyFill="1" applyBorder="1" applyAlignment="1"/>
    <xf numFmtId="0" fontId="22" fillId="0" borderId="0" xfId="0" applyFont="1" applyAlignment="1">
      <alignment horizontal="center"/>
    </xf>
    <xf numFmtId="0" fontId="22" fillId="0" borderId="0" xfId="28" applyFont="1" applyBorder="1" applyAlignment="1">
      <alignment horizontal="left"/>
    </xf>
    <xf numFmtId="1" fontId="21" fillId="0" borderId="0" xfId="28" quotePrefix="1" applyNumberFormat="1" applyFont="1" applyFill="1" applyBorder="1" applyAlignment="1">
      <alignment horizontal="right"/>
    </xf>
    <xf numFmtId="164" fontId="21" fillId="0" borderId="0" xfId="0" applyNumberFormat="1" applyFont="1" applyFill="1" applyAlignment="1">
      <alignment horizontal="right"/>
    </xf>
    <xf numFmtId="164" fontId="22" fillId="0" borderId="0" xfId="0" applyNumberFormat="1" applyFont="1" applyFill="1" applyAlignment="1">
      <alignment horizontal="right"/>
    </xf>
    <xf numFmtId="164" fontId="21" fillId="36" borderId="0" xfId="0" applyNumberFormat="1" applyFont="1" applyFill="1" applyAlignment="1">
      <alignment horizontal="right"/>
    </xf>
    <xf numFmtId="0" fontId="21" fillId="36" borderId="0" xfId="0" applyFont="1" applyFill="1" applyAlignment="1">
      <alignment horizontal="left" indent="1"/>
    </xf>
    <xf numFmtId="0" fontId="21" fillId="36" borderId="0" xfId="0" applyFont="1" applyFill="1" applyAlignment="1">
      <alignment horizontal="left"/>
    </xf>
    <xf numFmtId="0" fontId="21" fillId="36" borderId="0" xfId="0" applyFont="1" applyFill="1" applyAlignment="1">
      <alignment horizontal="left" vertical="center"/>
    </xf>
    <xf numFmtId="0" fontId="21" fillId="36" borderId="0" xfId="0" quotePrefix="1" applyFont="1" applyFill="1"/>
    <xf numFmtId="164" fontId="21" fillId="0" borderId="0" xfId="0" applyNumberFormat="1" applyFont="1" applyFill="1" applyAlignment="1">
      <alignment horizontal="left" indent="1"/>
    </xf>
    <xf numFmtId="0" fontId="0" fillId="0" borderId="0" xfId="0" applyFill="1" applyBorder="1"/>
    <xf numFmtId="0" fontId="61" fillId="0" borderId="0" xfId="0" applyFont="1"/>
    <xf numFmtId="37" fontId="54" fillId="0" borderId="0" xfId="0" applyNumberFormat="1" applyFont="1" applyFill="1"/>
    <xf numFmtId="165" fontId="54" fillId="0" borderId="0" xfId="0" applyNumberFormat="1" applyFont="1" applyFill="1"/>
    <xf numFmtId="165" fontId="54" fillId="0" borderId="0" xfId="0" applyNumberFormat="1" applyFont="1" applyFill="1" applyAlignment="1">
      <alignment horizontal="left" indent="1"/>
    </xf>
    <xf numFmtId="164" fontId="56" fillId="0" borderId="0" xfId="0" applyNumberFormat="1" applyFont="1" applyFill="1"/>
    <xf numFmtId="39" fontId="54" fillId="0" borderId="0" xfId="0" applyNumberFormat="1" applyFont="1" applyAlignment="1">
      <alignment horizontal="left" indent="1"/>
    </xf>
    <xf numFmtId="39" fontId="54" fillId="0" borderId="0" xfId="0" applyNumberFormat="1" applyFont="1"/>
    <xf numFmtId="0" fontId="21" fillId="36" borderId="0" xfId="0" quotePrefix="1" applyFont="1" applyFill="1" applyAlignment="1">
      <alignment horizontal="center"/>
    </xf>
    <xf numFmtId="0" fontId="21" fillId="0" borderId="0" xfId="0" quotePrefix="1" applyFont="1" applyFill="1" applyAlignment="1">
      <alignment horizontal="center"/>
    </xf>
    <xf numFmtId="0" fontId="21" fillId="36" borderId="0" xfId="0" applyFont="1" applyFill="1" applyBorder="1" applyProtection="1"/>
    <xf numFmtId="164" fontId="21" fillId="36" borderId="0" xfId="0" applyNumberFormat="1" applyFont="1" applyFill="1" applyBorder="1" applyProtection="1"/>
    <xf numFmtId="170" fontId="21" fillId="0" borderId="0" xfId="0" applyNumberFormat="1" applyFont="1" applyFill="1" applyBorder="1" applyAlignment="1" applyProtection="1">
      <alignment horizontal="center"/>
    </xf>
    <xf numFmtId="0" fontId="21" fillId="0" borderId="0" xfId="0" applyFont="1" applyFill="1" applyBorder="1" applyProtection="1"/>
    <xf numFmtId="164" fontId="21" fillId="0" borderId="0" xfId="0" applyNumberFormat="1" applyFont="1" applyFill="1" applyBorder="1" applyProtection="1"/>
    <xf numFmtId="0" fontId="21" fillId="0" borderId="0" xfId="0" quotePrefix="1" applyFont="1" applyFill="1" applyBorder="1"/>
    <xf numFmtId="0" fontId="21" fillId="0" borderId="0" xfId="0" applyFont="1" applyFill="1" applyBorder="1"/>
    <xf numFmtId="0" fontId="21" fillId="0" borderId="0" xfId="0" applyFont="1" applyAlignment="1">
      <alignment horizontal="left"/>
    </xf>
    <xf numFmtId="164" fontId="28" fillId="0" borderId="0" xfId="28" applyNumberFormat="1" applyFont="1" applyFill="1"/>
    <xf numFmtId="0" fontId="22" fillId="0" borderId="0" xfId="0" applyFont="1" applyFill="1" applyBorder="1" applyAlignment="1">
      <alignment horizontal="center"/>
    </xf>
    <xf numFmtId="37" fontId="21" fillId="0" borderId="0" xfId="0" applyNumberFormat="1" applyFont="1" applyFill="1" applyAlignment="1">
      <alignment horizontal="left" indent="1"/>
    </xf>
    <xf numFmtId="0" fontId="22" fillId="0" borderId="0" xfId="0" applyFont="1" applyAlignment="1">
      <alignment horizontal="center"/>
    </xf>
    <xf numFmtId="0" fontId="22" fillId="0" borderId="0" xfId="0" applyFont="1" applyAlignment="1">
      <alignment horizontal="center"/>
    </xf>
    <xf numFmtId="0" fontId="25" fillId="0" borderId="0" xfId="0" applyFont="1" applyFill="1" applyAlignment="1">
      <alignment horizontal="left"/>
    </xf>
    <xf numFmtId="0" fontId="21" fillId="0" borderId="0" xfId="0" quotePrefix="1" applyFont="1" applyAlignment="1">
      <alignment horizontal="left" indent="1"/>
    </xf>
    <xf numFmtId="0" fontId="21" fillId="0" borderId="3" xfId="0" applyFont="1" applyBorder="1" applyAlignment="1">
      <alignment horizontal="center"/>
    </xf>
    <xf numFmtId="0" fontId="21" fillId="0" borderId="3" xfId="0" applyFont="1" applyFill="1" applyBorder="1" applyAlignment="1">
      <alignment horizontal="center"/>
    </xf>
    <xf numFmtId="0" fontId="21" fillId="0" borderId="3" xfId="0" applyFont="1" applyFill="1" applyBorder="1"/>
    <xf numFmtId="39" fontId="21" fillId="0" borderId="3" xfId="22" applyNumberFormat="1" applyFont="1" applyFill="1" applyBorder="1" applyAlignment="1">
      <alignment horizontal="center"/>
    </xf>
    <xf numFmtId="0" fontId="21" fillId="0" borderId="0" xfId="0" applyFont="1" applyFill="1" applyBorder="1" applyAlignment="1">
      <alignment vertical="top"/>
    </xf>
    <xf numFmtId="37" fontId="54" fillId="36" borderId="0" xfId="81" applyNumberFormat="1" applyFont="1" applyFill="1" applyAlignment="1">
      <alignment horizontal="right"/>
    </xf>
    <xf numFmtId="0" fontId="22" fillId="0" borderId="0" xfId="0" applyFont="1" applyAlignment="1">
      <alignment horizontal="center"/>
    </xf>
    <xf numFmtId="6" fontId="0" fillId="0" borderId="0" xfId="0" applyNumberFormat="1"/>
    <xf numFmtId="0" fontId="22" fillId="0" borderId="0" xfId="0" applyFont="1" applyAlignment="1">
      <alignment horizontal="center"/>
    </xf>
    <xf numFmtId="180" fontId="0" fillId="0" borderId="0" xfId="0" applyNumberFormat="1"/>
    <xf numFmtId="0" fontId="22" fillId="0" borderId="0" xfId="0" quotePrefix="1" applyFont="1" applyFill="1" applyAlignment="1">
      <alignment horizontal="right"/>
    </xf>
    <xf numFmtId="0" fontId="21" fillId="0" borderId="0" xfId="0" quotePrefix="1" applyFont="1" applyAlignment="1">
      <alignment horizontal="center" vertical="center"/>
    </xf>
    <xf numFmtId="0" fontId="22" fillId="0" borderId="0" xfId="108" applyFont="1"/>
    <xf numFmtId="0" fontId="21" fillId="0" borderId="0" xfId="108"/>
    <xf numFmtId="0" fontId="25" fillId="0" borderId="0" xfId="108" applyFont="1"/>
    <xf numFmtId="0" fontId="22" fillId="0" borderId="0" xfId="108" applyFont="1" applyAlignment="1">
      <alignment horizontal="center"/>
    </xf>
    <xf numFmtId="0" fontId="21" fillId="0" borderId="0" xfId="108" applyFont="1"/>
    <xf numFmtId="0" fontId="25" fillId="0" borderId="0" xfId="108" applyFont="1" applyAlignment="1">
      <alignment horizontal="center"/>
    </xf>
    <xf numFmtId="0" fontId="25" fillId="0" borderId="0" xfId="108" applyFont="1" applyAlignment="1">
      <alignment horizontal="left"/>
    </xf>
    <xf numFmtId="164" fontId="21" fillId="0" borderId="0" xfId="108" applyNumberFormat="1" applyFill="1"/>
    <xf numFmtId="0" fontId="21" fillId="36" borderId="0" xfId="108" applyFont="1" applyFill="1"/>
    <xf numFmtId="164" fontId="21" fillId="36" borderId="0" xfId="108" applyNumberFormat="1" applyFill="1"/>
    <xf numFmtId="164" fontId="28" fillId="36" borderId="0" xfId="108" applyNumberFormat="1" applyFont="1" applyFill="1"/>
    <xf numFmtId="164" fontId="21" fillId="0" borderId="0" xfId="108" applyNumberFormat="1"/>
    <xf numFmtId="0" fontId="21" fillId="0" borderId="0" xfId="108" applyFont="1" applyFill="1"/>
    <xf numFmtId="3" fontId="32" fillId="0" borderId="0" xfId="34" applyNumberFormat="1" applyFont="1" applyBorder="1"/>
    <xf numFmtId="39" fontId="24" fillId="36" borderId="0" xfId="22" applyNumberFormat="1" applyFont="1" applyFill="1" applyBorder="1" applyAlignment="1">
      <alignment horizontal="center"/>
    </xf>
    <xf numFmtId="0" fontId="30" fillId="0" borderId="0" xfId="27" applyAlignment="1" applyProtection="1"/>
    <xf numFmtId="164" fontId="0" fillId="36" borderId="0" xfId="0" applyNumberFormat="1" applyFill="1" applyAlignment="1">
      <alignment horizontal="right"/>
    </xf>
    <xf numFmtId="0" fontId="21" fillId="0" borderId="0" xfId="0" quotePrefix="1" applyFont="1" applyFill="1"/>
    <xf numFmtId="171" fontId="0" fillId="36" borderId="0" xfId="0" applyNumberFormat="1" applyFill="1"/>
    <xf numFmtId="167" fontId="21" fillId="0" borderId="0" xfId="28" applyNumberFormat="1" applyFont="1" applyBorder="1"/>
    <xf numFmtId="0" fontId="67" fillId="0" borderId="0" xfId="0" applyFont="1"/>
    <xf numFmtId="0" fontId="21" fillId="0" borderId="0" xfId="28" applyFont="1" applyFill="1" applyBorder="1" applyAlignment="1" applyProtection="1">
      <alignment horizontal="left" indent="1"/>
      <protection locked="0"/>
    </xf>
    <xf numFmtId="0" fontId="21" fillId="0" borderId="0" xfId="100" applyFill="1"/>
    <xf numFmtId="0" fontId="21" fillId="36" borderId="0" xfId="108" applyFill="1"/>
    <xf numFmtId="0" fontId="21" fillId="0" borderId="0" xfId="100" applyFont="1" applyAlignment="1">
      <alignment horizontal="left" indent="1"/>
    </xf>
    <xf numFmtId="164" fontId="21" fillId="0" borderId="0" xfId="100" applyNumberFormat="1"/>
    <xf numFmtId="164" fontId="53" fillId="0" borderId="0" xfId="100" applyNumberFormat="1" applyFont="1" applyFill="1"/>
    <xf numFmtId="0" fontId="22" fillId="0" borderId="0" xfId="100" applyFont="1"/>
    <xf numFmtId="0" fontId="21" fillId="0" borderId="0" xfId="100" applyFont="1"/>
    <xf numFmtId="0" fontId="22" fillId="0" borderId="0" xfId="100" applyFont="1" applyAlignment="1">
      <alignment horizontal="left" indent="1"/>
    </xf>
    <xf numFmtId="0" fontId="62" fillId="0" borderId="0" xfId="100" applyFont="1" applyBorder="1" applyAlignment="1">
      <alignment horizontal="left"/>
    </xf>
    <xf numFmtId="0" fontId="22" fillId="0" borderId="0" xfId="100" applyFont="1" applyBorder="1" applyAlignment="1">
      <alignment horizontal="center"/>
    </xf>
    <xf numFmtId="0" fontId="21" fillId="0" borderId="0" xfId="100" applyFont="1" applyBorder="1" applyAlignment="1">
      <alignment horizontal="right"/>
    </xf>
    <xf numFmtId="0" fontId="22" fillId="0" borderId="0" xfId="100" applyFont="1" applyBorder="1" applyAlignment="1">
      <alignment horizontal="right"/>
    </xf>
    <xf numFmtId="0" fontId="22" fillId="0" borderId="8" xfId="100" applyFont="1" applyBorder="1" applyAlignment="1">
      <alignment horizontal="center"/>
    </xf>
    <xf numFmtId="0" fontId="21" fillId="36" borderId="0" xfId="100" applyFont="1" applyFill="1"/>
    <xf numFmtId="164" fontId="21" fillId="36" borderId="0" xfId="100" applyNumberFormat="1" applyFont="1" applyFill="1"/>
    <xf numFmtId="170" fontId="21" fillId="0" borderId="0" xfId="100" applyNumberFormat="1" applyFont="1" applyFill="1" applyAlignment="1">
      <alignment horizontal="center"/>
    </xf>
    <xf numFmtId="0" fontId="21" fillId="0" borderId="0" xfId="100" applyFont="1" applyFill="1"/>
    <xf numFmtId="164" fontId="21" fillId="0" borderId="0" xfId="100" applyNumberFormat="1" applyFont="1" applyFill="1"/>
    <xf numFmtId="170" fontId="21" fillId="0" borderId="0" xfId="100" quotePrefix="1" applyNumberFormat="1" applyFont="1" applyFill="1" applyAlignment="1">
      <alignment horizontal="center"/>
    </xf>
    <xf numFmtId="164" fontId="21" fillId="0" borderId="0" xfId="100" applyNumberFormat="1" applyFont="1"/>
    <xf numFmtId="164" fontId="21" fillId="0" borderId="0" xfId="96" applyNumberFormat="1" applyFont="1" applyBorder="1"/>
    <xf numFmtId="164" fontId="21" fillId="0" borderId="0" xfId="96" applyNumberFormat="1" applyFont="1"/>
    <xf numFmtId="168" fontId="21" fillId="0" borderId="0" xfId="96" applyNumberFormat="1" applyFont="1" applyBorder="1"/>
    <xf numFmtId="164" fontId="21" fillId="0" borderId="14" xfId="96" applyNumberFormat="1" applyFont="1" applyBorder="1"/>
    <xf numFmtId="0" fontId="21" fillId="0" borderId="0" xfId="100" quotePrefix="1" applyFont="1" applyAlignment="1">
      <alignment horizontal="left" indent="1"/>
    </xf>
    <xf numFmtId="164" fontId="21" fillId="0" borderId="0" xfId="96" applyNumberFormat="1" applyFont="1" applyBorder="1" applyAlignment="1">
      <alignment horizontal="left" indent="1"/>
    </xf>
    <xf numFmtId="39" fontId="21" fillId="0" borderId="0" xfId="96" applyNumberFormat="1" applyFont="1" applyBorder="1"/>
    <xf numFmtId="37" fontId="21" fillId="0" borderId="0" xfId="96" applyNumberFormat="1" applyFont="1" applyBorder="1" applyAlignment="1">
      <alignment horizontal="center"/>
    </xf>
    <xf numFmtId="164" fontId="21" fillId="0" borderId="0" xfId="96" applyNumberFormat="1" applyFont="1" applyFill="1" applyBorder="1"/>
    <xf numFmtId="0" fontId="21" fillId="0" borderId="0" xfId="100" applyFont="1" applyBorder="1"/>
    <xf numFmtId="164" fontId="22" fillId="0" borderId="0" xfId="100" applyNumberFormat="1" applyFont="1" applyBorder="1" applyAlignment="1">
      <alignment horizontal="center"/>
    </xf>
    <xf numFmtId="164" fontId="22" fillId="0" borderId="8" xfId="100" applyNumberFormat="1" applyFont="1" applyBorder="1" applyAlignment="1">
      <alignment horizontal="center"/>
    </xf>
    <xf numFmtId="0" fontId="25" fillId="0" borderId="0" xfId="100" applyFont="1" applyBorder="1" applyAlignment="1">
      <alignment horizontal="center"/>
    </xf>
    <xf numFmtId="0" fontId="21" fillId="0" borderId="0" xfId="100" applyFont="1" applyBorder="1" applyAlignment="1">
      <alignment horizontal="left"/>
    </xf>
    <xf numFmtId="1" fontId="21" fillId="36" borderId="0" xfId="100" applyNumberFormat="1" applyFont="1" applyFill="1" applyBorder="1" applyAlignment="1">
      <alignment horizontal="center"/>
    </xf>
    <xf numFmtId="164" fontId="21" fillId="0" borderId="0" xfId="0" applyNumberFormat="1" applyFont="1" applyFill="1" applyAlignment="1">
      <alignment horizontal="center"/>
    </xf>
    <xf numFmtId="0" fontId="21" fillId="0" borderId="0" xfId="100" applyNumberFormat="1" applyFont="1" applyFill="1" applyBorder="1" applyAlignment="1">
      <alignment horizontal="left"/>
    </xf>
    <xf numFmtId="1" fontId="21" fillId="0" borderId="0" xfId="100" quotePrefix="1" applyNumberFormat="1" applyFont="1" applyFill="1" applyBorder="1" applyAlignment="1">
      <alignment horizontal="right"/>
    </xf>
    <xf numFmtId="164" fontId="21" fillId="0" borderId="0" xfId="0" quotePrefix="1" applyNumberFormat="1" applyFont="1" applyFill="1" applyAlignment="1">
      <alignment horizontal="center"/>
    </xf>
    <xf numFmtId="0" fontId="22" fillId="0" borderId="0" xfId="100" applyFont="1" applyFill="1" applyBorder="1" applyAlignment="1">
      <alignment horizontal="left"/>
    </xf>
    <xf numFmtId="0" fontId="22" fillId="0" borderId="0" xfId="100" applyNumberFormat="1" applyFont="1" applyFill="1" applyBorder="1" applyAlignment="1">
      <alignment horizontal="left"/>
    </xf>
    <xf numFmtId="0" fontId="21" fillId="0" borderId="0" xfId="100"/>
    <xf numFmtId="0" fontId="21" fillId="36" borderId="0" xfId="100" applyFill="1"/>
    <xf numFmtId="0" fontId="25" fillId="0" borderId="0" xfId="100" quotePrefix="1" applyFont="1" applyAlignment="1">
      <alignment horizontal="center"/>
    </xf>
    <xf numFmtId="0" fontId="25" fillId="0" borderId="0" xfId="100" applyFont="1" applyAlignment="1">
      <alignment horizontal="center"/>
    </xf>
    <xf numFmtId="0" fontId="21" fillId="0" borderId="0" xfId="100" quotePrefix="1" applyFont="1" applyAlignment="1">
      <alignment horizontal="center"/>
    </xf>
    <xf numFmtId="0" fontId="21" fillId="0" borderId="0" xfId="100" applyAlignment="1">
      <alignment horizontal="center"/>
    </xf>
    <xf numFmtId="0" fontId="22" fillId="0" borderId="0" xfId="100" applyFont="1" applyAlignment="1">
      <alignment horizontal="center"/>
    </xf>
    <xf numFmtId="0" fontId="22" fillId="0" borderId="0" xfId="100" applyFont="1" applyFill="1" applyAlignment="1">
      <alignment horizontal="center"/>
    </xf>
    <xf numFmtId="0" fontId="25" fillId="0" borderId="0" xfId="100" applyFont="1"/>
    <xf numFmtId="0" fontId="25" fillId="0" borderId="0" xfId="100" applyFont="1" applyFill="1" applyAlignment="1">
      <alignment horizontal="center"/>
    </xf>
    <xf numFmtId="164" fontId="21" fillId="0" borderId="0" xfId="100" applyNumberFormat="1" applyFont="1" applyFill="1" applyAlignment="1"/>
    <xf numFmtId="10" fontId="21" fillId="0" borderId="0" xfId="37" applyNumberFormat="1" applyFont="1" applyFill="1" applyAlignment="1"/>
    <xf numFmtId="167" fontId="21" fillId="0" borderId="0" xfId="100" applyNumberFormat="1"/>
    <xf numFmtId="164" fontId="28" fillId="0" borderId="0" xfId="100" applyNumberFormat="1" applyFont="1"/>
    <xf numFmtId="0" fontId="21" fillId="0" borderId="0" xfId="100" applyFont="1" applyAlignment="1">
      <alignment horizontal="right" indent="1"/>
    </xf>
    <xf numFmtId="167" fontId="0" fillId="0" borderId="0" xfId="19" applyNumberFormat="1" applyFont="1"/>
    <xf numFmtId="164" fontId="21" fillId="0" borderId="0" xfId="100" applyNumberFormat="1" applyFont="1" applyFill="1" applyAlignment="1">
      <alignment horizontal="right"/>
    </xf>
    <xf numFmtId="164" fontId="21" fillId="36" borderId="0" xfId="100" applyNumberFormat="1" applyFont="1" applyFill="1" applyAlignment="1">
      <alignment horizontal="right"/>
    </xf>
    <xf numFmtId="0" fontId="21" fillId="0" borderId="0" xfId="100" applyAlignment="1">
      <alignment horizontal="left" indent="1"/>
    </xf>
    <xf numFmtId="10" fontId="0" fillId="0" borderId="0" xfId="37" applyNumberFormat="1" applyFont="1" applyAlignment="1">
      <alignment horizontal="center"/>
    </xf>
    <xf numFmtId="10" fontId="25" fillId="0" borderId="0" xfId="100" applyNumberFormat="1" applyFont="1" applyAlignment="1">
      <alignment horizontal="center"/>
    </xf>
    <xf numFmtId="0" fontId="21" fillId="0" borderId="0" xfId="100" applyNumberFormat="1"/>
    <xf numFmtId="10" fontId="21" fillId="0" borderId="0" xfId="37" applyNumberFormat="1" applyAlignment="1">
      <alignment horizontal="center"/>
    </xf>
    <xf numFmtId="0" fontId="22" fillId="0" borderId="0" xfId="100" applyFont="1" applyFill="1"/>
    <xf numFmtId="0" fontId="25" fillId="0" borderId="0" xfId="0" applyNumberFormat="1" applyFont="1" applyFill="1" applyAlignment="1">
      <alignment horizontal="center"/>
    </xf>
    <xf numFmtId="0" fontId="23" fillId="0" borderId="0" xfId="0" applyFont="1" applyAlignment="1">
      <alignment horizontal="center"/>
    </xf>
    <xf numFmtId="0" fontId="22" fillId="0" borderId="0" xfId="0" applyNumberFormat="1" applyFont="1" applyFill="1" applyAlignment="1">
      <alignment horizontal="center"/>
    </xf>
    <xf numFmtId="0" fontId="22" fillId="0" borderId="0" xfId="0" applyNumberFormat="1" applyFont="1" applyFill="1" applyAlignment="1">
      <alignment horizontal="center" wrapText="1"/>
    </xf>
    <xf numFmtId="164" fontId="22" fillId="0" borderId="0" xfId="0" applyNumberFormat="1" applyFont="1" applyFill="1" applyAlignment="1">
      <alignment horizontal="right" indent="1"/>
    </xf>
    <xf numFmtId="0" fontId="0" fillId="0" borderId="0" xfId="0" applyNumberFormat="1" applyFill="1"/>
    <xf numFmtId="0" fontId="22" fillId="0" borderId="0" xfId="0" applyNumberFormat="1" applyFont="1" applyFill="1" applyAlignment="1">
      <alignment horizontal="left" indent="2"/>
    </xf>
    <xf numFmtId="0" fontId="25" fillId="0" borderId="0" xfId="0" quotePrefix="1" applyNumberFormat="1" applyFont="1" applyFill="1" applyAlignment="1">
      <alignment horizontal="center"/>
    </xf>
    <xf numFmtId="0" fontId="21" fillId="0" borderId="0" xfId="0" quotePrefix="1" applyNumberFormat="1" applyFont="1" applyFill="1" applyAlignment="1">
      <alignment horizontal="center" wrapText="1"/>
    </xf>
    <xf numFmtId="0" fontId="21" fillId="0" borderId="0" xfId="0" quotePrefix="1" applyNumberFormat="1" applyFont="1" applyFill="1" applyAlignment="1">
      <alignment horizontal="center"/>
    </xf>
    <xf numFmtId="0" fontId="23" fillId="0" borderId="0" xfId="0" quotePrefix="1" applyNumberFormat="1" applyFont="1" applyFill="1" applyAlignment="1">
      <alignment horizontal="center"/>
    </xf>
    <xf numFmtId="0" fontId="21" fillId="0" borderId="0" xfId="100" quotePrefix="1" applyNumberFormat="1" applyFont="1" applyFill="1" applyBorder="1" applyAlignment="1">
      <alignment horizontal="right"/>
    </xf>
    <xf numFmtId="0" fontId="21" fillId="0" borderId="0" xfId="0" applyNumberFormat="1" applyFont="1" applyFill="1" applyAlignment="1">
      <alignment horizontal="left" indent="1"/>
    </xf>
    <xf numFmtId="0" fontId="22" fillId="0" borderId="0" xfId="100" applyFont="1" applyAlignment="1">
      <alignment horizontal="right"/>
    </xf>
    <xf numFmtId="164" fontId="22" fillId="0" borderId="0" xfId="100" applyNumberFormat="1" applyFont="1"/>
    <xf numFmtId="166" fontId="22" fillId="0" borderId="0" xfId="100" applyNumberFormat="1" applyFont="1"/>
    <xf numFmtId="10" fontId="25" fillId="0" borderId="0" xfId="37" applyNumberFormat="1" applyFont="1" applyAlignment="1">
      <alignment horizontal="center"/>
    </xf>
    <xf numFmtId="5" fontId="21"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1" fillId="0" borderId="0" xfId="23" applyNumberFormat="1" applyFont="1"/>
    <xf numFmtId="10" fontId="21" fillId="0" borderId="0" xfId="100" applyNumberFormat="1"/>
    <xf numFmtId="0" fontId="28" fillId="0" borderId="0" xfId="100" applyFont="1" applyAlignment="1">
      <alignment horizontal="center"/>
    </xf>
    <xf numFmtId="5" fontId="21" fillId="0" borderId="0" xfId="19" applyNumberFormat="1"/>
    <xf numFmtId="5" fontId="21" fillId="0" borderId="0" xfId="100" applyNumberFormat="1"/>
    <xf numFmtId="5" fontId="21" fillId="0" borderId="0" xfId="100" applyNumberFormat="1" applyFont="1"/>
    <xf numFmtId="172" fontId="0" fillId="0" borderId="0" xfId="0" applyNumberFormat="1"/>
    <xf numFmtId="0" fontId="21" fillId="36" borderId="0" xfId="0" applyFont="1" applyFill="1" applyAlignment="1">
      <alignment horizontal="center"/>
    </xf>
    <xf numFmtId="0" fontId="22" fillId="0" borderId="0" xfId="108" applyFont="1" applyFill="1"/>
    <xf numFmtId="0" fontId="21" fillId="0" borderId="0" xfId="108" applyFill="1"/>
    <xf numFmtId="0" fontId="25" fillId="0" borderId="0" xfId="108" applyFont="1" applyFill="1"/>
    <xf numFmtId="0" fontId="22" fillId="0" borderId="0" xfId="108" applyFont="1" applyFill="1" applyAlignment="1">
      <alignment horizontal="center"/>
    </xf>
    <xf numFmtId="0" fontId="22" fillId="0" borderId="8" xfId="108" applyFont="1" applyFill="1" applyBorder="1" applyAlignment="1">
      <alignment horizontal="center"/>
    </xf>
    <xf numFmtId="0" fontId="22" fillId="0" borderId="0" xfId="108" applyFont="1" applyFill="1" applyBorder="1" applyAlignment="1">
      <alignment horizontal="center"/>
    </xf>
    <xf numFmtId="0" fontId="22" fillId="0" borderId="8" xfId="108" applyFont="1" applyBorder="1" applyAlignment="1">
      <alignment horizontal="center"/>
    </xf>
    <xf numFmtId="0" fontId="42" fillId="0" borderId="0" xfId="0" applyFont="1"/>
    <xf numFmtId="164" fontId="21" fillId="0" borderId="15" xfId="108" applyNumberFormat="1" applyFill="1" applyBorder="1"/>
    <xf numFmtId="0" fontId="22" fillId="0" borderId="0" xfId="108" quotePrefix="1" applyFont="1" applyFill="1" applyAlignment="1">
      <alignment horizontal="center"/>
    </xf>
    <xf numFmtId="0" fontId="40" fillId="0" borderId="0" xfId="0" applyFont="1" applyFill="1" applyAlignment="1">
      <alignment horizontal="center"/>
    </xf>
    <xf numFmtId="164" fontId="21" fillId="0" borderId="0" xfId="108" applyNumberFormat="1" applyFill="1" applyBorder="1"/>
    <xf numFmtId="164" fontId="21" fillId="0" borderId="8" xfId="108" applyNumberFormat="1" applyFont="1" applyFill="1" applyBorder="1" applyAlignment="1">
      <alignment horizontal="right"/>
    </xf>
    <xf numFmtId="164" fontId="21" fillId="0" borderId="0" xfId="108" applyNumberFormat="1" applyFont="1" applyFill="1" applyBorder="1" applyAlignment="1">
      <alignment horizontal="right"/>
    </xf>
    <xf numFmtId="164" fontId="21" fillId="0" borderId="16" xfId="108" applyNumberFormat="1" applyBorder="1"/>
    <xf numFmtId="0" fontId="21" fillId="0" borderId="0" xfId="108" applyFill="1" applyBorder="1"/>
    <xf numFmtId="0" fontId="0" fillId="0" borderId="0" xfId="0" applyFill="1" applyBorder="1" applyAlignment="1">
      <alignment horizontal="center"/>
    </xf>
    <xf numFmtId="0" fontId="21" fillId="0" borderId="8" xfId="0" applyFont="1" applyBorder="1" applyAlignment="1">
      <alignment horizontal="center"/>
    </xf>
    <xf numFmtId="164" fontId="21" fillId="34" borderId="0" xfId="19" applyNumberFormat="1" applyFont="1" applyFill="1"/>
    <xf numFmtId="164" fontId="21" fillId="0" borderId="0" xfId="19" applyNumberFormat="1" applyFont="1" applyFill="1" applyBorder="1"/>
    <xf numFmtId="37" fontId="21"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2" fillId="0" borderId="0" xfId="0" applyFont="1" applyAlignment="1">
      <alignment wrapText="1"/>
    </xf>
    <xf numFmtId="164" fontId="21" fillId="36" borderId="0" xfId="19" applyNumberFormat="1" applyFont="1" applyFill="1" applyBorder="1"/>
    <xf numFmtId="9" fontId="0" fillId="0" borderId="8" xfId="0" applyNumberFormat="1" applyBorder="1"/>
    <xf numFmtId="164" fontId="0" fillId="0" borderId="0" xfId="0" applyNumberFormat="1" applyFill="1" applyBorder="1"/>
    <xf numFmtId="0" fontId="21" fillId="36" borderId="0" xfId="100" quotePrefix="1" applyNumberFormat="1" applyFont="1" applyFill="1" applyBorder="1" applyAlignment="1">
      <alignment horizontal="left"/>
    </xf>
    <xf numFmtId="0" fontId="21" fillId="36" borderId="0" xfId="100" quotePrefix="1" applyFont="1" applyFill="1" applyBorder="1" applyAlignment="1">
      <alignment horizontal="left"/>
    </xf>
    <xf numFmtId="0" fontId="21" fillId="0" borderId="0" xfId="0" quotePrefix="1" applyFont="1" applyAlignment="1">
      <alignment horizontal="right"/>
    </xf>
    <xf numFmtId="49" fontId="21" fillId="0" borderId="0" xfId="19" applyNumberFormat="1" applyFont="1" applyBorder="1" applyAlignment="1">
      <alignment horizontal="left" indent="1"/>
    </xf>
    <xf numFmtId="5" fontId="21" fillId="36" borderId="0" xfId="19" applyNumberFormat="1" applyFont="1" applyFill="1" applyBorder="1"/>
    <xf numFmtId="0" fontId="24" fillId="36" borderId="4" xfId="0" applyNumberFormat="1" applyFont="1" applyFill="1" applyBorder="1"/>
    <xf numFmtId="37" fontId="21" fillId="36" borderId="3" xfId="0" applyNumberFormat="1" applyFont="1" applyFill="1" applyBorder="1" applyAlignment="1">
      <alignment horizontal="center"/>
    </xf>
    <xf numFmtId="0" fontId="53" fillId="36" borderId="0" xfId="0" applyFont="1" applyFill="1"/>
    <xf numFmtId="164" fontId="54" fillId="36" borderId="0" xfId="125" applyNumberFormat="1" applyFont="1" applyFill="1" applyBorder="1" applyProtection="1"/>
    <xf numFmtId="164" fontId="21" fillId="36" borderId="0" xfId="125" applyNumberFormat="1" applyFont="1" applyFill="1" applyBorder="1" applyProtection="1"/>
    <xf numFmtId="39" fontId="21" fillId="0" borderId="0" xfId="0" applyNumberFormat="1" applyFont="1" applyFill="1" applyAlignment="1">
      <alignment horizontal="left" indent="1"/>
    </xf>
    <xf numFmtId="164" fontId="21" fillId="36" borderId="0" xfId="23" applyNumberFormat="1" applyFont="1" applyFill="1" applyAlignment="1">
      <alignment horizontal="right"/>
    </xf>
    <xf numFmtId="0" fontId="21" fillId="36" borderId="0" xfId="0" applyFont="1" applyFill="1" applyAlignment="1">
      <alignment wrapText="1"/>
    </xf>
    <xf numFmtId="0" fontId="69" fillId="0" borderId="0" xfId="126" applyFont="1"/>
    <xf numFmtId="0" fontId="21" fillId="0" borderId="0" xfId="126" applyFont="1"/>
    <xf numFmtId="0" fontId="21" fillId="0" borderId="0" xfId="126" applyFont="1" applyBorder="1"/>
    <xf numFmtId="0" fontId="21" fillId="0" borderId="0" xfId="126" applyFill="1" applyAlignment="1">
      <alignment horizontal="center"/>
    </xf>
    <xf numFmtId="0" fontId="21" fillId="0" borderId="0" xfId="126"/>
    <xf numFmtId="0" fontId="25" fillId="0" borderId="0" xfId="126" applyFont="1" applyAlignment="1">
      <alignment horizontal="center"/>
    </xf>
    <xf numFmtId="0" fontId="21" fillId="0" borderId="0" xfId="126" applyBorder="1"/>
    <xf numFmtId="0" fontId="22" fillId="0" borderId="0" xfId="126" applyFont="1" applyAlignment="1">
      <alignment horizontal="right"/>
    </xf>
    <xf numFmtId="0" fontId="21" fillId="0" borderId="0" xfId="126" applyFont="1" applyAlignment="1">
      <alignment horizontal="left" indent="1"/>
    </xf>
    <xf numFmtId="0" fontId="22" fillId="34" borderId="0" xfId="127" applyFont="1" applyFill="1"/>
    <xf numFmtId="0" fontId="21" fillId="36" borderId="0" xfId="127" applyFont="1" applyFill="1"/>
    <xf numFmtId="0" fontId="21" fillId="0" borderId="0" xfId="126" applyFill="1"/>
    <xf numFmtId="164" fontId="21" fillId="0" borderId="0" xfId="126" applyNumberFormat="1"/>
    <xf numFmtId="0" fontId="25" fillId="0" borderId="0" xfId="126" quotePrefix="1" applyFont="1" applyAlignment="1">
      <alignment horizontal="center"/>
    </xf>
    <xf numFmtId="0" fontId="21" fillId="0" borderId="0" xfId="126" applyFont="1" applyAlignment="1">
      <alignment horizontal="center"/>
    </xf>
    <xf numFmtId="0" fontId="21" fillId="0" borderId="0" xfId="126" applyAlignment="1"/>
    <xf numFmtId="0" fontId="21" fillId="0" borderId="0" xfId="126" quotePrefix="1" applyFont="1" applyBorder="1" applyAlignment="1">
      <alignment horizontal="center" wrapText="1"/>
    </xf>
    <xf numFmtId="0" fontId="21" fillId="0" borderId="0" xfId="126" applyFill="1" applyAlignment="1"/>
    <xf numFmtId="0" fontId="25" fillId="0" borderId="0" xfId="126" quotePrefix="1" applyFont="1" applyAlignment="1">
      <alignment horizontal="center" vertical="center" wrapText="1"/>
    </xf>
    <xf numFmtId="0" fontId="22" fillId="0" borderId="3" xfId="126" applyFont="1" applyFill="1" applyBorder="1" applyAlignment="1">
      <alignment horizontal="center" wrapText="1"/>
    </xf>
    <xf numFmtId="0" fontId="22" fillId="0" borderId="3" xfId="126" quotePrefix="1" applyFont="1" applyBorder="1" applyAlignment="1">
      <alignment horizontal="center" wrapText="1"/>
    </xf>
    <xf numFmtId="0" fontId="22" fillId="0" borderId="6" xfId="126" applyFont="1" applyBorder="1" applyAlignment="1">
      <alignment horizontal="center" wrapText="1"/>
    </xf>
    <xf numFmtId="0" fontId="22" fillId="0" borderId="3" xfId="126" applyFont="1" applyFill="1" applyBorder="1" applyAlignment="1">
      <alignment horizontal="center"/>
    </xf>
    <xf numFmtId="0" fontId="22" fillId="0" borderId="4" xfId="126" applyFont="1" applyBorder="1" applyAlignment="1">
      <alignment horizontal="center" wrapText="1"/>
    </xf>
    <xf numFmtId="0" fontId="22" fillId="0" borderId="3" xfId="126" applyFont="1" applyBorder="1" applyAlignment="1">
      <alignment horizontal="center" wrapText="1"/>
    </xf>
    <xf numFmtId="0" fontId="22" fillId="0" borderId="0" xfId="126" applyFont="1" applyAlignment="1">
      <alignment horizontal="center"/>
    </xf>
    <xf numFmtId="0" fontId="21" fillId="0" borderId="0" xfId="126" quotePrefix="1" applyNumberFormat="1" applyFont="1" applyAlignment="1">
      <alignment horizontal="center"/>
    </xf>
    <xf numFmtId="0" fontId="21" fillId="0" borderId="0" xfId="126" quotePrefix="1" applyNumberFormat="1" applyFont="1" applyBorder="1" applyAlignment="1">
      <alignment horizontal="center"/>
    </xf>
    <xf numFmtId="164" fontId="21" fillId="0" borderId="0" xfId="126" applyNumberFormat="1" applyFont="1"/>
    <xf numFmtId="179" fontId="21" fillId="34" borderId="0" xfId="35" quotePrefix="1" applyNumberFormat="1" applyFont="1" applyFill="1" applyAlignment="1">
      <alignment horizontal="left"/>
    </xf>
    <xf numFmtId="3" fontId="21" fillId="0" borderId="0" xfId="126" applyNumberFormat="1" applyFill="1"/>
    <xf numFmtId="3" fontId="44" fillId="0" borderId="0" xfId="129" applyNumberFormat="1" applyFill="1"/>
    <xf numFmtId="0" fontId="25" fillId="0" borderId="0" xfId="126" quotePrefix="1" applyFont="1" applyBorder="1" applyAlignment="1">
      <alignment horizontal="center"/>
    </xf>
    <xf numFmtId="2" fontId="22" fillId="0" borderId="3" xfId="126" applyNumberFormat="1" applyFont="1" applyFill="1" applyBorder="1" applyAlignment="1">
      <alignment horizontal="center" wrapText="1"/>
    </xf>
    <xf numFmtId="2" fontId="22" fillId="0" borderId="3" xfId="126" applyNumberFormat="1" applyFont="1" applyBorder="1" applyAlignment="1">
      <alignment horizontal="center" wrapText="1"/>
    </xf>
    <xf numFmtId="2" fontId="21" fillId="0" borderId="0" xfId="126" applyNumberFormat="1" applyFont="1" applyAlignment="1">
      <alignment horizontal="center" wrapText="1"/>
    </xf>
    <xf numFmtId="2" fontId="22" fillId="0" borderId="0" xfId="126" applyNumberFormat="1" applyFont="1" applyAlignment="1">
      <alignment horizontal="center"/>
    </xf>
    <xf numFmtId="2" fontId="21" fillId="0" borderId="0" xfId="126" applyNumberFormat="1" applyFont="1"/>
    <xf numFmtId="2" fontId="21" fillId="0" borderId="0" xfId="126" applyNumberFormat="1" applyFont="1" applyFill="1" applyAlignment="1">
      <alignment horizontal="center"/>
    </xf>
    <xf numFmtId="0" fontId="22" fillId="0" borderId="0" xfId="126" applyFont="1" applyAlignment="1">
      <alignment horizontal="center" vertical="center" wrapText="1"/>
    </xf>
    <xf numFmtId="0" fontId="21" fillId="0" borderId="0" xfId="126" applyFont="1" applyFill="1" applyAlignment="1">
      <alignment horizontal="center"/>
    </xf>
    <xf numFmtId="179" fontId="22" fillId="0" borderId="3" xfId="35" applyNumberFormat="1" applyFont="1" applyFill="1" applyBorder="1" applyAlignment="1">
      <alignment horizontal="center"/>
    </xf>
    <xf numFmtId="0" fontId="25" fillId="0" borderId="0" xfId="126" applyFont="1"/>
    <xf numFmtId="0" fontId="21" fillId="0" borderId="0" xfId="126" applyFont="1" applyFill="1"/>
    <xf numFmtId="0" fontId="21" fillId="0" borderId="0" xfId="126" applyAlignment="1">
      <alignment horizontal="left"/>
    </xf>
    <xf numFmtId="0" fontId="22" fillId="0" borderId="6" xfId="126" applyFont="1" applyFill="1" applyBorder="1"/>
    <xf numFmtId="0" fontId="21" fillId="0" borderId="9" xfId="126" applyFont="1" applyFill="1" applyBorder="1"/>
    <xf numFmtId="179" fontId="21" fillId="36" borderId="0" xfId="35" applyNumberFormat="1" applyFont="1" applyFill="1" applyAlignment="1">
      <alignment horizontal="left"/>
    </xf>
    <xf numFmtId="0" fontId="21" fillId="36" borderId="0" xfId="35" applyFont="1" applyFill="1" applyAlignment="1">
      <alignment horizontal="left" vertical="top" indent="1"/>
    </xf>
    <xf numFmtId="0" fontId="21" fillId="36" borderId="0" xfId="126" applyFont="1" applyFill="1"/>
    <xf numFmtId="179" fontId="21" fillId="36" borderId="0" xfId="35" quotePrefix="1" applyNumberFormat="1" applyFont="1" applyFill="1" applyAlignment="1">
      <alignment horizontal="left"/>
    </xf>
    <xf numFmtId="0" fontId="25" fillId="0" borderId="0" xfId="126" quotePrefix="1" applyFont="1" applyFill="1" applyAlignment="1">
      <alignment horizontal="center"/>
    </xf>
    <xf numFmtId="0" fontId="22" fillId="0" borderId="0" xfId="126" applyFont="1" applyAlignment="1">
      <alignment horizontal="center" vertical="center"/>
    </xf>
    <xf numFmtId="0" fontId="25" fillId="0" borderId="0" xfId="126" quotePrefix="1" applyFont="1" applyFill="1" applyAlignment="1">
      <alignment horizontal="center" vertical="center" wrapText="1"/>
    </xf>
    <xf numFmtId="0" fontId="25" fillId="0" borderId="0" xfId="126" quotePrefix="1" applyFont="1" applyAlignment="1">
      <alignment horizontal="center" wrapText="1"/>
    </xf>
    <xf numFmtId="0" fontId="25" fillId="0" borderId="0" xfId="126" quotePrefix="1" applyFont="1" applyFill="1" applyAlignment="1">
      <alignment horizontal="center" wrapText="1"/>
    </xf>
    <xf numFmtId="0" fontId="22" fillId="34" borderId="7" xfId="126" applyFont="1" applyFill="1" applyBorder="1" applyAlignment="1">
      <alignment horizontal="center" wrapText="1"/>
    </xf>
    <xf numFmtId="0" fontId="25" fillId="0" borderId="7" xfId="126" quotePrefix="1" applyFont="1" applyBorder="1" applyAlignment="1">
      <alignment horizontal="center"/>
    </xf>
    <xf numFmtId="0" fontId="22" fillId="0" borderId="5" xfId="126" applyFont="1" applyFill="1" applyBorder="1" applyAlignment="1">
      <alignment horizontal="center" wrapText="1"/>
    </xf>
    <xf numFmtId="0" fontId="22" fillId="34" borderId="11" xfId="126" applyFont="1" applyFill="1" applyBorder="1" applyAlignment="1">
      <alignment horizontal="center" wrapText="1"/>
    </xf>
    <xf numFmtId="0" fontId="22" fillId="34" borderId="10" xfId="126" applyFont="1" applyFill="1" applyBorder="1" applyAlignment="1">
      <alignment horizontal="center" wrapText="1"/>
    </xf>
    <xf numFmtId="0" fontId="22" fillId="34" borderId="5" xfId="126" applyFont="1" applyFill="1" applyBorder="1" applyAlignment="1">
      <alignment horizontal="center" wrapText="1"/>
    </xf>
    <xf numFmtId="2" fontId="21" fillId="0" borderId="0" xfId="126" applyNumberFormat="1" applyFont="1" applyBorder="1"/>
    <xf numFmtId="164" fontId="53" fillId="0" borderId="0" xfId="135" applyNumberFormat="1" applyFont="1" applyFill="1"/>
    <xf numFmtId="164" fontId="71" fillId="0" borderId="0" xfId="135" applyNumberFormat="1" applyFont="1" applyFill="1"/>
    <xf numFmtId="164" fontId="28" fillId="0" borderId="0" xfId="0" applyNumberFormat="1" applyFont="1" applyFill="1" applyBorder="1"/>
    <xf numFmtId="0" fontId="23" fillId="0" borderId="0" xfId="0" applyFont="1" applyFill="1" applyAlignment="1">
      <alignment horizontal="center"/>
    </xf>
    <xf numFmtId="164" fontId="58" fillId="0" borderId="0" xfId="135" applyNumberFormat="1" applyFont="1" applyFill="1"/>
    <xf numFmtId="0" fontId="22" fillId="0" borderId="3" xfId="28" applyFont="1" applyFill="1" applyBorder="1" applyAlignment="1">
      <alignment horizontal="center"/>
    </xf>
    <xf numFmtId="0" fontId="21" fillId="0" borderId="0" xfId="28" applyNumberFormat="1" applyFont="1" applyFill="1" applyAlignment="1">
      <alignment horizontal="center" vertical="center"/>
    </xf>
    <xf numFmtId="167" fontId="21" fillId="0" borderId="0" xfId="28" applyNumberFormat="1" applyFont="1" applyFill="1"/>
    <xf numFmtId="43" fontId="21" fillId="0" borderId="0" xfId="0" applyNumberFormat="1" applyFont="1"/>
    <xf numFmtId="0" fontId="21" fillId="0" borderId="0" xfId="0" applyNumberFormat="1" applyFont="1"/>
    <xf numFmtId="0" fontId="21" fillId="0" borderId="0" xfId="28" applyFont="1" applyAlignment="1">
      <alignment horizontal="center"/>
    </xf>
    <xf numFmtId="167" fontId="21" fillId="0" borderId="0" xfId="22" applyNumberFormat="1" applyFont="1"/>
    <xf numFmtId="167" fontId="21" fillId="0" borderId="0" xfId="28" applyNumberFormat="1" applyFont="1"/>
    <xf numFmtId="164" fontId="21" fillId="0" borderId="0" xfId="28" applyNumberFormat="1" applyFont="1" applyFill="1" applyBorder="1"/>
    <xf numFmtId="164" fontId="21" fillId="0" borderId="0" xfId="28" applyNumberFormat="1" applyFont="1" applyBorder="1" applyAlignment="1">
      <alignment horizontal="center"/>
    </xf>
    <xf numFmtId="164" fontId="21" fillId="0" borderId="0" xfId="28" applyNumberFormat="1" applyFont="1" applyFill="1" applyBorder="1" applyAlignment="1">
      <alignment horizontal="center"/>
    </xf>
    <xf numFmtId="0" fontId="21" fillId="36" borderId="0" xfId="28" applyFont="1" applyFill="1"/>
    <xf numFmtId="167" fontId="21" fillId="36" borderId="0" xfId="28" quotePrefix="1" applyNumberFormat="1" applyFont="1" applyFill="1" applyBorder="1" applyAlignment="1">
      <alignment horizontal="center"/>
    </xf>
    <xf numFmtId="167" fontId="21" fillId="0" borderId="8" xfId="28" applyNumberFormat="1" applyFont="1" applyBorder="1" applyAlignment="1">
      <alignment horizontal="center"/>
    </xf>
    <xf numFmtId="164" fontId="21" fillId="0" borderId="8" xfId="28" applyNumberFormat="1" applyFont="1" applyFill="1" applyBorder="1" applyAlignment="1">
      <alignment horizontal="center"/>
    </xf>
    <xf numFmtId="5" fontId="21" fillId="0" borderId="8" xfId="28" quotePrefix="1" applyNumberFormat="1" applyFont="1" applyFill="1" applyBorder="1" applyAlignment="1">
      <alignment horizontal="right"/>
    </xf>
    <xf numFmtId="5" fontId="21" fillId="0" borderId="8" xfId="28" applyNumberFormat="1" applyFont="1" applyBorder="1"/>
    <xf numFmtId="164" fontId="21" fillId="0" borderId="0" xfId="22" applyNumberFormat="1" applyFont="1" applyFill="1" applyBorder="1"/>
    <xf numFmtId="164" fontId="21" fillId="0" borderId="0" xfId="22" applyNumberFormat="1" applyFont="1" applyFill="1" applyBorder="1" applyAlignment="1">
      <alignment horizontal="center"/>
    </xf>
    <xf numFmtId="164" fontId="21" fillId="0" borderId="0" xfId="22" applyNumberFormat="1" applyFont="1" applyBorder="1"/>
    <xf numFmtId="0" fontId="21" fillId="0" borderId="0" xfId="28" applyFont="1" applyFill="1" applyBorder="1"/>
    <xf numFmtId="167" fontId="21" fillId="0" borderId="0" xfId="22" applyNumberFormat="1" applyFont="1" applyFill="1" applyBorder="1"/>
    <xf numFmtId="0" fontId="21" fillId="0" borderId="0" xfId="22" applyNumberFormat="1" applyFont="1" applyFill="1" applyBorder="1" applyAlignment="1">
      <alignment horizontal="center"/>
    </xf>
    <xf numFmtId="167" fontId="21" fillId="0" borderId="0" xfId="28" applyNumberFormat="1" applyFont="1" applyBorder="1" applyAlignment="1">
      <alignment horizontal="center"/>
    </xf>
    <xf numFmtId="167" fontId="21" fillId="0" borderId="0" xfId="22" applyNumberFormat="1" applyFont="1" applyBorder="1"/>
    <xf numFmtId="167" fontId="21" fillId="0" borderId="0" xfId="22" applyNumberFormat="1" applyFont="1" applyFill="1" applyBorder="1" applyAlignment="1">
      <alignment horizontal="center"/>
    </xf>
    <xf numFmtId="167" fontId="21" fillId="0" borderId="0" xfId="28" applyNumberFormat="1" applyFont="1" applyFill="1" applyBorder="1"/>
    <xf numFmtId="167" fontId="21" fillId="0" borderId="8" xfId="28" applyNumberFormat="1" applyFont="1" applyFill="1" applyBorder="1" applyAlignment="1">
      <alignment horizontal="center"/>
    </xf>
    <xf numFmtId="167" fontId="21" fillId="0" borderId="8" xfId="28" quotePrefix="1" applyNumberFormat="1" applyFont="1" applyFill="1" applyBorder="1" applyAlignment="1">
      <alignment horizontal="center"/>
    </xf>
    <xf numFmtId="167" fontId="21" fillId="0" borderId="8" xfId="28" applyNumberFormat="1" applyFont="1" applyBorder="1"/>
    <xf numFmtId="0" fontId="21" fillId="0" borderId="0" xfId="22" applyNumberFormat="1" applyFont="1" applyFill="1" applyBorder="1"/>
    <xf numFmtId="0" fontId="21" fillId="0" borderId="0" xfId="28" applyNumberFormat="1" applyFont="1" applyFill="1" applyBorder="1"/>
    <xf numFmtId="0" fontId="21" fillId="0" borderId="0" xfId="28" applyFont="1" applyBorder="1" applyAlignment="1">
      <alignment horizontal="center"/>
    </xf>
    <xf numFmtId="167" fontId="21" fillId="0" borderId="0" xfId="28" applyNumberFormat="1" applyFont="1" applyFill="1" applyBorder="1" applyAlignment="1"/>
    <xf numFmtId="164" fontId="21" fillId="0" borderId="0" xfId="28" applyNumberFormat="1" applyFont="1" applyFill="1" applyBorder="1" applyAlignment="1">
      <alignment vertical="top" wrapText="1"/>
    </xf>
    <xf numFmtId="167" fontId="21" fillId="0" borderId="0" xfId="22" applyNumberFormat="1" applyFont="1" applyFill="1" applyBorder="1" applyAlignment="1">
      <alignment horizontal="center" wrapText="1"/>
    </xf>
    <xf numFmtId="0" fontId="21" fillId="0" borderId="0" xfId="0" quotePrefix="1" applyFont="1" applyFill="1" applyAlignment="1"/>
    <xf numFmtId="167" fontId="21" fillId="0" borderId="0" xfId="22" applyNumberFormat="1" applyFont="1" applyFill="1" applyBorder="1" applyAlignment="1"/>
    <xf numFmtId="167" fontId="21" fillId="0" borderId="8" xfId="28" applyNumberFormat="1" applyFont="1" applyFill="1" applyBorder="1"/>
    <xf numFmtId="171" fontId="21" fillId="0" borderId="8" xfId="37" applyNumberFormat="1" applyFont="1" applyFill="1" applyBorder="1" applyAlignment="1">
      <alignment horizontal="center" wrapText="1"/>
    </xf>
    <xf numFmtId="167" fontId="21" fillId="0" borderId="8" xfId="22" applyNumberFormat="1" applyFont="1" applyFill="1" applyBorder="1" applyAlignment="1">
      <alignment horizontal="center" wrapText="1"/>
    </xf>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0" fontId="21" fillId="0" borderId="0" xfId="28" applyFont="1" applyAlignment="1">
      <alignment vertical="justify"/>
    </xf>
    <xf numFmtId="167" fontId="21" fillId="0" borderId="0" xfId="28" applyNumberFormat="1" applyFont="1" applyBorder="1" applyAlignment="1">
      <alignment vertical="justify"/>
    </xf>
    <xf numFmtId="0" fontId="21" fillId="0" borderId="0" xfId="28" applyNumberFormat="1" applyFont="1" applyFill="1"/>
    <xf numFmtId="0" fontId="21" fillId="0" borderId="0" xfId="28" applyFont="1" applyFill="1" applyBorder="1" applyAlignment="1">
      <alignment vertical="top"/>
    </xf>
    <xf numFmtId="0" fontId="21" fillId="0" borderId="0" xfId="28" applyFont="1" applyFill="1" applyAlignment="1">
      <alignment horizontal="center"/>
    </xf>
    <xf numFmtId="167" fontId="21" fillId="0" borderId="0" xfId="22" applyNumberFormat="1" applyFont="1" applyFill="1"/>
    <xf numFmtId="0" fontId="21" fillId="0" borderId="0" xfId="28" applyFont="1" applyFill="1" applyBorder="1" applyAlignment="1">
      <alignment vertical="top" wrapText="1"/>
    </xf>
    <xf numFmtId="0" fontId="21" fillId="0" borderId="0" xfId="28" applyFont="1" applyFill="1" applyBorder="1" applyAlignment="1" applyProtection="1">
      <alignment horizontal="left" vertical="top" indent="1"/>
      <protection locked="0"/>
    </xf>
    <xf numFmtId="0" fontId="21" fillId="0" borderId="0" xfId="28" applyFont="1" applyFill="1" applyAlignment="1">
      <alignment horizontal="left" indent="1"/>
    </xf>
    <xf numFmtId="165" fontId="21" fillId="0" borderId="0" xfId="28" applyNumberFormat="1" applyFont="1" applyFill="1"/>
    <xf numFmtId="0" fontId="25" fillId="0" borderId="0" xfId="0" applyFont="1" applyFill="1"/>
    <xf numFmtId="10" fontId="21" fillId="0" borderId="0" xfId="0" applyNumberFormat="1" applyFont="1"/>
    <xf numFmtId="0" fontId="22" fillId="0" borderId="3" xfId="28" applyFont="1" applyFill="1" applyBorder="1" applyAlignment="1">
      <alignment horizontal="center"/>
    </xf>
    <xf numFmtId="0" fontId="24" fillId="0" borderId="6" xfId="0" applyFont="1" applyFill="1" applyBorder="1" applyAlignment="1">
      <alignment horizontal="left"/>
    </xf>
    <xf numFmtId="0" fontId="21" fillId="36" borderId="0" xfId="100" applyFill="1" applyAlignment="1">
      <alignment horizontal="center"/>
    </xf>
    <xf numFmtId="0" fontId="0" fillId="0" borderId="0" xfId="0" applyFill="1" applyAlignment="1">
      <alignment horizontal="center"/>
    </xf>
    <xf numFmtId="0" fontId="0" fillId="0" borderId="0" xfId="0" applyFill="1" applyAlignment="1">
      <alignment horizontal="left"/>
    </xf>
    <xf numFmtId="168" fontId="24" fillId="0" borderId="0" xfId="0" applyNumberFormat="1" applyFont="1" applyFill="1"/>
    <xf numFmtId="0" fontId="21" fillId="0" borderId="0" xfId="0" applyFont="1" applyFill="1" applyAlignment="1">
      <alignment horizontal="left"/>
    </xf>
    <xf numFmtId="0" fontId="21" fillId="0" borderId="0" xfId="0" applyFont="1" applyFill="1" applyAlignment="1">
      <alignment horizontal="right"/>
    </xf>
    <xf numFmtId="0" fontId="21" fillId="0" borderId="0" xfId="0" quotePrefix="1" applyFont="1" applyFill="1" applyAlignment="1">
      <alignment horizontal="right"/>
    </xf>
    <xf numFmtId="168" fontId="0" fillId="0" borderId="0" xfId="0" applyNumberFormat="1" applyFill="1"/>
    <xf numFmtId="0" fontId="21" fillId="0" borderId="0" xfId="0" applyFont="1" applyFill="1" applyAlignment="1">
      <alignment horizontal="left" indent="2"/>
    </xf>
    <xf numFmtId="0" fontId="21" fillId="0" borderId="0" xfId="0" quotePrefix="1" applyFont="1" applyFill="1" applyAlignment="1">
      <alignment horizontal="left" indent="2"/>
    </xf>
    <xf numFmtId="0" fontId="21" fillId="0" borderId="0" xfId="0" applyFont="1" applyFill="1" applyAlignment="1">
      <alignment horizontal="left" indent="3"/>
    </xf>
    <xf numFmtId="0" fontId="54" fillId="0" borderId="0" xfId="0" applyFont="1" applyFill="1" applyAlignment="1">
      <alignment horizontal="left"/>
    </xf>
    <xf numFmtId="0" fontId="21" fillId="0" borderId="0" xfId="0" quotePrefix="1" applyFont="1" applyFill="1" applyAlignment="1">
      <alignment horizontal="left" indent="1"/>
    </xf>
    <xf numFmtId="0" fontId="28" fillId="0" borderId="0" xfId="0" applyFont="1" applyFill="1" applyAlignment="1">
      <alignment horizontal="left"/>
    </xf>
    <xf numFmtId="0" fontId="24" fillId="0" borderId="0" xfId="28" applyFont="1" applyFill="1" applyBorder="1" applyAlignment="1">
      <alignment horizontal="left" indent="1"/>
    </xf>
    <xf numFmtId="0" fontId="22" fillId="0" borderId="0" xfId="0" applyNumberFormat="1" applyFont="1" applyFill="1" applyAlignment="1">
      <alignment horizontal="left"/>
    </xf>
    <xf numFmtId="0" fontId="21" fillId="0" borderId="0" xfId="0" applyFont="1" applyFill="1" applyAlignment="1"/>
    <xf numFmtId="0" fontId="22" fillId="0" borderId="0" xfId="0" quotePrefix="1" applyFont="1" applyFill="1" applyAlignment="1">
      <alignment horizontal="center"/>
    </xf>
    <xf numFmtId="10" fontId="21" fillId="0" borderId="0" xfId="0" quotePrefix="1" applyNumberFormat="1" applyFont="1" applyFill="1" applyAlignment="1">
      <alignment horizontal="right"/>
    </xf>
    <xf numFmtId="3" fontId="0" fillId="0" borderId="0" xfId="0" applyNumberFormat="1" applyFill="1" applyAlignment="1">
      <alignment horizontal="center"/>
    </xf>
    <xf numFmtId="0" fontId="55" fillId="36" borderId="0" xfId="0" quotePrefix="1" applyFont="1" applyFill="1" applyAlignment="1">
      <alignment horizontal="center"/>
    </xf>
    <xf numFmtId="0" fontId="54" fillId="0" borderId="0" xfId="0" applyFont="1" applyFill="1" applyAlignment="1">
      <alignment horizontal="right"/>
    </xf>
    <xf numFmtId="0" fontId="65" fillId="0" borderId="0" xfId="0" applyFont="1" applyFill="1" applyAlignment="1">
      <alignment horizontal="left" vertical="center"/>
    </xf>
    <xf numFmtId="0" fontId="22" fillId="0" borderId="0" xfId="34" applyFont="1" applyFill="1"/>
    <xf numFmtId="0" fontId="24" fillId="0" borderId="0" xfId="34" applyFont="1" applyFill="1"/>
    <xf numFmtId="0" fontId="21" fillId="0" borderId="0" xfId="34" applyFont="1" applyFill="1" applyAlignment="1">
      <alignment horizontal="right"/>
    </xf>
    <xf numFmtId="0" fontId="56" fillId="0" borderId="0" xfId="0" applyFont="1" applyFill="1" applyAlignment="1">
      <alignment horizontal="left" indent="1"/>
    </xf>
    <xf numFmtId="0" fontId="21" fillId="0" borderId="0" xfId="100" applyFont="1" applyFill="1" applyAlignment="1">
      <alignment horizontal="left" indent="1"/>
    </xf>
    <xf numFmtId="0" fontId="55" fillId="0" borderId="0" xfId="0" applyFont="1" applyFill="1"/>
    <xf numFmtId="0" fontId="54" fillId="0" borderId="0" xfId="0" quotePrefix="1" applyFont="1" applyFill="1" applyAlignment="1">
      <alignment horizontal="center"/>
    </xf>
    <xf numFmtId="0" fontId="21" fillId="0" borderId="0" xfId="0" applyFont="1" applyFill="1" applyBorder="1" applyAlignment="1">
      <alignment horizontal="left" indent="1"/>
    </xf>
    <xf numFmtId="0" fontId="0" fillId="0" borderId="0" xfId="0" quotePrefix="1" applyFill="1"/>
    <xf numFmtId="0" fontId="21" fillId="0" borderId="0" xfId="100" applyFont="1" applyFill="1" applyBorder="1" applyAlignment="1"/>
    <xf numFmtId="0" fontId="24"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2" fillId="0" borderId="0" xfId="100" applyNumberFormat="1" applyFont="1" applyFill="1"/>
    <xf numFmtId="10" fontId="21" fillId="0" borderId="0" xfId="37" applyNumberFormat="1" applyFont="1" applyFill="1" applyAlignment="1">
      <alignment horizontal="center"/>
    </xf>
    <xf numFmtId="5" fontId="21" fillId="0" borderId="0" xfId="100" applyNumberFormat="1" applyFill="1"/>
    <xf numFmtId="166" fontId="54" fillId="0" borderId="0" xfId="0" applyNumberFormat="1" applyFont="1" applyFill="1"/>
    <xf numFmtId="167" fontId="21" fillId="0" borderId="0" xfId="28" applyNumberFormat="1" applyFont="1" applyFill="1" applyBorder="1" applyAlignment="1">
      <alignment horizontal="center"/>
    </xf>
    <xf numFmtId="0" fontId="25" fillId="0" borderId="0" xfId="0" quotePrefix="1" applyFont="1" applyFill="1" applyAlignment="1">
      <alignment horizontal="center" vertical="top"/>
    </xf>
    <xf numFmtId="0" fontId="22" fillId="0" borderId="7" xfId="28" applyFont="1" applyFill="1" applyBorder="1" applyAlignment="1">
      <alignment horizontal="center"/>
    </xf>
    <xf numFmtId="0" fontId="21" fillId="0" borderId="0" xfId="28" quotePrefix="1" applyFont="1" applyFill="1"/>
    <xf numFmtId="0" fontId="21" fillId="0" borderId="0" xfId="28" applyFont="1" applyFill="1" applyBorder="1" applyAlignment="1" applyProtection="1">
      <alignment horizontal="left" indent="2"/>
      <protection locked="0"/>
    </xf>
    <xf numFmtId="0" fontId="21" fillId="0" borderId="0" xfId="28" applyFont="1" applyFill="1" applyAlignment="1">
      <alignment horizontal="right"/>
    </xf>
    <xf numFmtId="10" fontId="21" fillId="0" borderId="0" xfId="28" applyNumberFormat="1" applyFont="1" applyFill="1"/>
    <xf numFmtId="165" fontId="29" fillId="0" borderId="0" xfId="0" applyNumberFormat="1" applyFont="1" applyFill="1"/>
    <xf numFmtId="0" fontId="64" fillId="0" borderId="0" xfId="0" applyFont="1" applyFill="1"/>
    <xf numFmtId="0" fontId="21" fillId="0" borderId="0" xfId="100" applyFont="1" applyFill="1" applyAlignment="1">
      <alignment horizontal="left"/>
    </xf>
    <xf numFmtId="37" fontId="21" fillId="0" borderId="3" xfId="0" applyNumberFormat="1" applyFont="1" applyFill="1" applyBorder="1" applyAlignment="1">
      <alignment horizontal="center"/>
    </xf>
    <xf numFmtId="37" fontId="21" fillId="0" borderId="3" xfId="97" quotePrefix="1" applyNumberFormat="1" applyFont="1" applyFill="1" applyBorder="1" applyAlignment="1">
      <alignment horizontal="center"/>
    </xf>
    <xf numFmtId="0" fontId="21" fillId="0" borderId="3" xfId="0" quotePrefix="1" applyNumberFormat="1" applyFont="1" applyFill="1" applyBorder="1"/>
    <xf numFmtId="0" fontId="21" fillId="0" borderId="3" xfId="0" quotePrefix="1" applyNumberFormat="1" applyFont="1" applyFill="1" applyBorder="1" applyAlignment="1">
      <alignment horizontal="center"/>
    </xf>
    <xf numFmtId="0" fontId="24" fillId="0" borderId="4" xfId="0" applyFont="1" applyFill="1" applyBorder="1" applyAlignment="1">
      <alignment horizontal="left"/>
    </xf>
    <xf numFmtId="49" fontId="21" fillId="0" borderId="0" xfId="22" applyNumberFormat="1" applyFont="1" applyFill="1" applyBorder="1" applyAlignment="1">
      <alignment horizontal="left"/>
    </xf>
    <xf numFmtId="49" fontId="24" fillId="0" borderId="0" xfId="22" quotePrefix="1" applyNumberFormat="1" applyFont="1" applyFill="1" applyBorder="1" applyAlignment="1">
      <alignment horizontal="left"/>
    </xf>
    <xf numFmtId="49" fontId="24" fillId="0" borderId="0" xfId="22" applyNumberFormat="1" applyFont="1" applyFill="1" applyBorder="1" applyAlignment="1">
      <alignment horizontal="left"/>
    </xf>
    <xf numFmtId="49" fontId="24" fillId="0" borderId="0" xfId="0" applyNumberFormat="1" applyFont="1" applyFill="1" applyBorder="1" applyAlignment="1">
      <alignment horizontal="left"/>
    </xf>
    <xf numFmtId="176" fontId="24" fillId="0" borderId="0" xfId="22" applyNumberFormat="1" applyFont="1" applyFill="1" applyBorder="1" applyAlignment="1">
      <alignment horizontal="center"/>
    </xf>
    <xf numFmtId="0" fontId="25" fillId="0" borderId="0" xfId="108" applyFont="1" applyFill="1" applyAlignment="1">
      <alignment horizontal="center"/>
    </xf>
    <xf numFmtId="0" fontId="25" fillId="0" borderId="0" xfId="108" applyFont="1" applyFill="1" applyAlignment="1">
      <alignment horizontal="left"/>
    </xf>
    <xf numFmtId="0" fontId="52" fillId="0" borderId="0" xfId="0" applyFont="1" applyFill="1"/>
    <xf numFmtId="0" fontId="22" fillId="0" borderId="0" xfId="108" applyFont="1" applyFill="1" applyAlignment="1"/>
    <xf numFmtId="0" fontId="25" fillId="0" borderId="0" xfId="108" applyFont="1" applyFill="1" applyAlignment="1"/>
    <xf numFmtId="0" fontId="21" fillId="0" borderId="0" xfId="108" applyFont="1" applyFill="1" applyAlignment="1">
      <alignment horizontal="left" indent="1"/>
    </xf>
    <xf numFmtId="0" fontId="22" fillId="0" borderId="0" xfId="0" applyFont="1" applyFill="1" applyAlignment="1">
      <alignment horizontal="left" indent="2"/>
    </xf>
    <xf numFmtId="0" fontId="52" fillId="0" borderId="0" xfId="0" applyFont="1" applyFill="1" applyAlignment="1">
      <alignment horizontal="center"/>
    </xf>
    <xf numFmtId="0" fontId="55" fillId="0" borderId="0" xfId="0" applyFont="1" applyFill="1" applyAlignment="1">
      <alignment horizontal="left" indent="1"/>
    </xf>
    <xf numFmtId="0" fontId="54" fillId="0" borderId="0" xfId="0" quotePrefix="1" applyFont="1" applyFill="1"/>
    <xf numFmtId="0" fontId="22" fillId="0" borderId="0" xfId="0" applyFont="1" applyFill="1" applyAlignment="1">
      <alignment horizontal="left" indent="1"/>
    </xf>
    <xf numFmtId="164" fontId="21" fillId="0" borderId="0" xfId="0" applyNumberFormat="1" applyFont="1" applyFill="1" applyAlignment="1"/>
    <xf numFmtId="0" fontId="55" fillId="0" borderId="0" xfId="0" applyFont="1" applyFill="1" applyAlignment="1">
      <alignment horizontal="left"/>
    </xf>
    <xf numFmtId="0" fontId="21" fillId="0" borderId="0" xfId="0" applyNumberFormat="1" applyFont="1" applyFill="1" applyAlignment="1">
      <alignment horizontal="left"/>
    </xf>
    <xf numFmtId="0" fontId="21" fillId="0" borderId="0" xfId="0" applyFont="1" applyFill="1" applyBorder="1" applyAlignment="1">
      <alignment horizontal="left"/>
    </xf>
    <xf numFmtId="171" fontId="0" fillId="0" borderId="0" xfId="0" applyNumberFormat="1" applyFill="1"/>
    <xf numFmtId="0" fontId="25" fillId="0" borderId="0" xfId="0" applyFont="1" applyFill="1" applyAlignment="1"/>
    <xf numFmtId="172" fontId="0" fillId="0" borderId="0" xfId="0" applyNumberFormat="1" applyFill="1"/>
    <xf numFmtId="0" fontId="22" fillId="0" borderId="0" xfId="28" applyFont="1" applyFill="1" applyAlignment="1">
      <alignment horizontal="right"/>
    </xf>
    <xf numFmtId="42" fontId="24" fillId="0" borderId="0" xfId="20" applyNumberFormat="1" applyFont="1" applyFill="1" applyBorder="1"/>
    <xf numFmtId="164" fontId="24" fillId="0" borderId="0" xfId="20" applyNumberFormat="1" applyFont="1" applyFill="1" applyBorder="1"/>
    <xf numFmtId="0" fontId="37" fillId="0" borderId="0" xfId="28" applyFont="1" applyFill="1" applyAlignment="1">
      <alignment vertical="center"/>
    </xf>
    <xf numFmtId="164" fontId="24" fillId="0" borderId="0" xfId="39" applyNumberFormat="1" applyFont="1" applyFill="1"/>
    <xf numFmtId="164" fontId="21" fillId="0" borderId="0" xfId="106" applyNumberFormat="1" applyFont="1" applyFill="1"/>
    <xf numFmtId="0" fontId="32" fillId="0" borderId="0" xfId="100" applyFont="1" applyFill="1"/>
    <xf numFmtId="42" fontId="24" fillId="0" borderId="0" xfId="39" applyNumberFormat="1" applyFont="1" applyFill="1"/>
    <xf numFmtId="42" fontId="24" fillId="0" borderId="0" xfId="28" applyNumberFormat="1" applyFont="1" applyFill="1"/>
    <xf numFmtId="0" fontId="22" fillId="0" borderId="0" xfId="28" applyFont="1" applyFill="1" applyAlignment="1">
      <alignment horizontal="center" wrapText="1"/>
    </xf>
    <xf numFmtId="0" fontId="25" fillId="0" borderId="0" xfId="28" applyFont="1" applyFill="1"/>
    <xf numFmtId="164" fontId="21" fillId="0" borderId="0" xfId="28" applyNumberFormat="1" applyFont="1" applyFill="1"/>
    <xf numFmtId="168" fontId="24" fillId="0" borderId="0" xfId="28" applyNumberFormat="1" applyFont="1" applyFill="1"/>
    <xf numFmtId="0" fontId="21" fillId="0" borderId="0" xfId="28" applyFont="1" applyFill="1" applyAlignment="1">
      <alignment vertical="center"/>
    </xf>
    <xf numFmtId="0" fontId="32" fillId="0" borderId="0" xfId="28" applyFont="1" applyFill="1"/>
    <xf numFmtId="164" fontId="21" fillId="0" borderId="8" xfId="96" applyNumberFormat="1" applyFont="1" applyBorder="1"/>
    <xf numFmtId="17" fontId="21" fillId="36" borderId="0" xfId="100" quotePrefix="1" applyNumberFormat="1" applyFont="1" applyFill="1" applyBorder="1" applyAlignment="1">
      <alignment horizontal="left"/>
    </xf>
    <xf numFmtId="0" fontId="21"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42" fontId="21" fillId="0" borderId="0" xfId="0" applyNumberFormat="1" applyFont="1"/>
    <xf numFmtId="164" fontId="21" fillId="36" borderId="0" xfId="19" applyNumberFormat="1" applyFont="1" applyFill="1" applyBorder="1" applyAlignment="1">
      <alignment wrapText="1"/>
    </xf>
    <xf numFmtId="167" fontId="54" fillId="36" borderId="0" xfId="133" applyNumberFormat="1" applyFont="1" applyFill="1"/>
    <xf numFmtId="167" fontId="54" fillId="36" borderId="0" xfId="133" applyNumberFormat="1" applyFont="1" applyFill="1" applyBorder="1"/>
    <xf numFmtId="3" fontId="21" fillId="36" borderId="0" xfId="128" applyNumberFormat="1" applyFont="1" applyFill="1"/>
    <xf numFmtId="3" fontId="21" fillId="36" borderId="0" xfId="129" applyNumberFormat="1" applyFont="1" applyFill="1"/>
    <xf numFmtId="3" fontId="21" fillId="36" borderId="0" xfId="130" applyNumberFormat="1" applyFont="1" applyFill="1"/>
    <xf numFmtId="3" fontId="21" fillId="36" borderId="0" xfId="126" applyNumberFormat="1" applyFont="1" applyFill="1" applyBorder="1"/>
    <xf numFmtId="3" fontId="21" fillId="36" borderId="0" xfId="128" applyNumberFormat="1" applyFont="1" applyFill="1" applyBorder="1"/>
    <xf numFmtId="3" fontId="21" fillId="36" borderId="0" xfId="129" applyNumberFormat="1" applyFont="1" applyFill="1" applyBorder="1"/>
    <xf numFmtId="3" fontId="21" fillId="36" borderId="0" xfId="130" applyNumberFormat="1" applyFont="1" applyFill="1" applyBorder="1"/>
    <xf numFmtId="3" fontId="21" fillId="36" borderId="0" xfId="128" applyNumberFormat="1" applyFont="1" applyFill="1" applyAlignment="1">
      <alignment horizontal="center"/>
    </xf>
    <xf numFmtId="3" fontId="21" fillId="36" borderId="0" xfId="129" applyNumberFormat="1" applyFont="1" applyFill="1" applyAlignment="1">
      <alignment horizontal="center"/>
    </xf>
    <xf numFmtId="3" fontId="21" fillId="36" borderId="0" xfId="130" applyNumberFormat="1" applyFont="1" applyFill="1" applyAlignment="1">
      <alignment horizontal="center"/>
    </xf>
    <xf numFmtId="164" fontId="21" fillId="36" borderId="0" xfId="255" applyNumberFormat="1" applyFont="1" applyFill="1" applyAlignment="1">
      <alignment horizontal="right"/>
    </xf>
    <xf numFmtId="5" fontId="21" fillId="36" borderId="0" xfId="22" applyNumberFormat="1" applyFont="1" applyFill="1" applyBorder="1"/>
    <xf numFmtId="3" fontId="0" fillId="36" borderId="0" xfId="0" applyNumberFormat="1" applyFill="1"/>
    <xf numFmtId="170" fontId="21" fillId="36" borderId="0" xfId="100" applyNumberFormat="1" applyFont="1" applyFill="1" applyAlignment="1">
      <alignment horizontal="center"/>
    </xf>
    <xf numFmtId="0" fontId="21" fillId="36" borderId="0" xfId="100" applyFont="1" applyFill="1"/>
    <xf numFmtId="164" fontId="21" fillId="36" borderId="0" xfId="100" applyNumberFormat="1" applyFont="1" applyFill="1"/>
    <xf numFmtId="0" fontId="0" fillId="0" borderId="0" xfId="0"/>
    <xf numFmtId="0" fontId="21" fillId="36" borderId="0" xfId="0" applyFont="1" applyFill="1"/>
    <xf numFmtId="164" fontId="54" fillId="36" borderId="0" xfId="0" applyNumberFormat="1" applyFont="1" applyFill="1"/>
    <xf numFmtId="0" fontId="54" fillId="36" borderId="0" xfId="0" applyFont="1" applyFill="1"/>
    <xf numFmtId="170" fontId="21" fillId="36" borderId="0" xfId="100" applyNumberFormat="1" applyFont="1" applyFill="1" applyAlignment="1">
      <alignment horizontal="center"/>
    </xf>
    <xf numFmtId="164" fontId="21" fillId="36" borderId="0" xfId="96" applyNumberFormat="1" applyFont="1" applyFill="1" applyBorder="1"/>
    <xf numFmtId="0" fontId="21" fillId="36" borderId="0" xfId="0" applyFont="1" applyFill="1"/>
    <xf numFmtId="0" fontId="22" fillId="36" borderId="0" xfId="0" applyFont="1" applyFill="1" applyAlignment="1">
      <alignment horizontal="center"/>
    </xf>
    <xf numFmtId="164" fontId="54" fillId="36" borderId="0" xfId="0" applyNumberFormat="1" applyFont="1" applyFill="1"/>
    <xf numFmtId="170" fontId="21" fillId="36" borderId="0" xfId="100" applyNumberFormat="1" applyFont="1" applyFill="1" applyAlignment="1">
      <alignment horizontal="center"/>
    </xf>
    <xf numFmtId="164" fontId="21" fillId="36" borderId="0" xfId="96" applyNumberFormat="1" applyFont="1" applyFill="1" applyBorder="1"/>
    <xf numFmtId="164" fontId="54" fillId="36" borderId="0" xfId="125" applyNumberFormat="1" applyFont="1" applyFill="1"/>
    <xf numFmtId="0" fontId="54" fillId="36" borderId="0" xfId="125" applyFont="1" applyFill="1"/>
    <xf numFmtId="170" fontId="21" fillId="36" borderId="0" xfId="125" quotePrefix="1" applyNumberFormat="1" applyFont="1" applyFill="1" applyAlignment="1">
      <alignment horizontal="center"/>
    </xf>
    <xf numFmtId="0" fontId="21" fillId="36" borderId="0" xfId="125" applyFont="1" applyFill="1"/>
    <xf numFmtId="164" fontId="54" fillId="36" borderId="0" xfId="96" applyNumberFormat="1" applyFont="1" applyFill="1" applyBorder="1"/>
    <xf numFmtId="0" fontId="21" fillId="36" borderId="0" xfId="125" applyFont="1" applyFill="1" applyBorder="1" applyProtection="1"/>
    <xf numFmtId="164" fontId="65" fillId="36" borderId="0" xfId="0" applyNumberFormat="1" applyFont="1" applyFill="1"/>
    <xf numFmtId="0" fontId="24" fillId="0" borderId="4" xfId="0" applyNumberFormat="1" applyFont="1" applyFill="1" applyBorder="1"/>
    <xf numFmtId="37" fontId="21" fillId="36" borderId="3" xfId="97" quotePrefix="1" applyNumberFormat="1" applyFont="1" applyFill="1" applyBorder="1" applyAlignment="1">
      <alignment horizontal="center"/>
    </xf>
    <xf numFmtId="37" fontId="21" fillId="36" borderId="3" xfId="97" applyNumberFormat="1" applyFont="1" applyFill="1" applyBorder="1" applyAlignment="1">
      <alignment horizontal="center"/>
    </xf>
    <xf numFmtId="0" fontId="0" fillId="36" borderId="0" xfId="0" applyFill="1" applyAlignment="1">
      <alignment horizontal="left" vertical="top" wrapText="1"/>
    </xf>
    <xf numFmtId="164" fontId="0" fillId="36" borderId="0" xfId="0" applyNumberFormat="1" applyFill="1"/>
    <xf numFmtId="164" fontId="21" fillId="34" borderId="0" xfId="0" applyNumberFormat="1" applyFont="1" applyFill="1"/>
    <xf numFmtId="164" fontId="21" fillId="0" borderId="14" xfId="96" applyNumberFormat="1" applyFont="1" applyFill="1" applyBorder="1"/>
    <xf numFmtId="164" fontId="21" fillId="36" borderId="0" xfId="0" applyNumberFormat="1" applyFont="1" applyFill="1" applyBorder="1"/>
    <xf numFmtId="0" fontId="25" fillId="0" borderId="0" xfId="0" applyFont="1" applyFill="1" applyBorder="1"/>
    <xf numFmtId="0" fontId="24" fillId="0" borderId="0" xfId="0" applyFont="1" applyBorder="1" applyAlignment="1">
      <alignment horizontal="right"/>
    </xf>
    <xf numFmtId="164" fontId="28" fillId="36" borderId="0" xfId="0" applyNumberFormat="1" applyFont="1" applyFill="1" applyBorder="1" applyAlignment="1"/>
    <xf numFmtId="0" fontId="22" fillId="0" borderId="0" xfId="0" applyFont="1" applyBorder="1"/>
    <xf numFmtId="0" fontId="21" fillId="0" borderId="0" xfId="0" applyFont="1" applyBorder="1" applyAlignment="1">
      <alignment horizontal="left" indent="1"/>
    </xf>
    <xf numFmtId="0" fontId="21" fillId="36" borderId="0" xfId="0" applyFont="1" applyFill="1" applyBorder="1"/>
    <xf numFmtId="0" fontId="21" fillId="0" borderId="0" xfId="0" applyFont="1" applyBorder="1" applyAlignment="1">
      <alignment horizontal="right"/>
    </xf>
    <xf numFmtId="164" fontId="21" fillId="36" borderId="0" xfId="0" applyNumberFormat="1" applyFont="1" applyFill="1" applyBorder="1" applyAlignment="1">
      <alignment horizontal="right"/>
    </xf>
    <xf numFmtId="181" fontId="22" fillId="36" borderId="0" xfId="19" applyNumberFormat="1" applyFont="1" applyFill="1" applyAlignment="1">
      <alignment horizontal="center"/>
    </xf>
    <xf numFmtId="164" fontId="54" fillId="36" borderId="0" xfId="125" applyNumberFormat="1" applyFont="1" applyFill="1" applyBorder="1"/>
    <xf numFmtId="164" fontId="54" fillId="36" borderId="0" xfId="0" applyNumberFormat="1" applyFont="1" applyFill="1" applyBorder="1"/>
    <xf numFmtId="0" fontId="22" fillId="36" borderId="0" xfId="0" applyFont="1" applyFill="1" applyBorder="1" applyAlignment="1">
      <alignment horizontal="center"/>
    </xf>
    <xf numFmtId="170" fontId="21" fillId="36" borderId="0" xfId="0" quotePrefix="1" applyNumberFormat="1" applyFont="1" applyFill="1" applyBorder="1" applyAlignment="1" applyProtection="1">
      <alignment horizontal="center"/>
    </xf>
    <xf numFmtId="0" fontId="54" fillId="36" borderId="0" xfId="125" applyFont="1" applyFill="1" applyBorder="1"/>
    <xf numFmtId="164" fontId="24" fillId="0" borderId="0" xfId="0" applyNumberFormat="1" applyFont="1" applyFill="1" applyBorder="1" applyAlignment="1">
      <alignment horizontal="right"/>
    </xf>
    <xf numFmtId="10" fontId="21" fillId="0" borderId="0" xfId="0" applyNumberFormat="1" applyFont="1" applyAlignment="1">
      <alignment horizontal="right" wrapText="1"/>
    </xf>
    <xf numFmtId="0" fontId="53" fillId="0" borderId="0" xfId="126" applyFont="1" applyFill="1" applyAlignment="1">
      <alignment horizontal="center"/>
    </xf>
    <xf numFmtId="0" fontId="21" fillId="0" borderId="5" xfId="126" applyFont="1" applyFill="1" applyBorder="1" applyAlignment="1">
      <alignment horizontal="center" wrapText="1"/>
    </xf>
    <xf numFmtId="0" fontId="21" fillId="0" borderId="0" xfId="126" applyFont="1" applyFill="1" applyAlignment="1">
      <alignment horizontal="center" wrapText="1"/>
    </xf>
    <xf numFmtId="0" fontId="21" fillId="0" borderId="19" xfId="126" applyFont="1" applyFill="1" applyBorder="1" applyAlignment="1">
      <alignment horizontal="center"/>
    </xf>
    <xf numFmtId="9" fontId="21" fillId="0" borderId="0" xfId="37" applyFont="1" applyFill="1"/>
    <xf numFmtId="0" fontId="159" fillId="0" borderId="0" xfId="126" applyFont="1" applyFill="1" applyAlignment="1">
      <alignment horizontal="center"/>
    </xf>
    <xf numFmtId="0" fontId="21" fillId="0" borderId="0" xfId="126" applyFont="1" applyFill="1" applyAlignment="1">
      <alignment horizontal="left"/>
    </xf>
    <xf numFmtId="179" fontId="21" fillId="36" borderId="0" xfId="35" applyNumberFormat="1" applyFont="1" applyFill="1" applyBorder="1" applyAlignment="1">
      <alignment horizontal="left"/>
    </xf>
    <xf numFmtId="0" fontId="21" fillId="36" borderId="0" xfId="35" applyFont="1" applyFill="1" applyBorder="1" applyAlignment="1">
      <alignment horizontal="left" vertical="top" indent="1"/>
    </xf>
    <xf numFmtId="0" fontId="21" fillId="36" borderId="0" xfId="126" applyFont="1" applyFill="1" applyBorder="1"/>
    <xf numFmtId="3" fontId="21" fillId="0" borderId="0" xfId="126" applyNumberFormat="1" applyFont="1"/>
    <xf numFmtId="0" fontId="22" fillId="0" borderId="4" xfId="126" applyFont="1" applyFill="1" applyBorder="1" applyAlignment="1">
      <alignment horizontal="center"/>
    </xf>
    <xf numFmtId="0" fontId="69" fillId="0" borderId="0" xfId="126" applyFont="1" applyFill="1"/>
    <xf numFmtId="0" fontId="159" fillId="0" borderId="0" xfId="126" quotePrefix="1" applyFont="1" applyAlignment="1">
      <alignment horizontal="center" wrapText="1"/>
    </xf>
    <xf numFmtId="0" fontId="161" fillId="0" borderId="0" xfId="126" quotePrefix="1" applyFont="1" applyAlignment="1">
      <alignment horizontal="center"/>
    </xf>
    <xf numFmtId="0" fontId="161" fillId="0" borderId="0" xfId="126" quotePrefix="1" applyFont="1" applyBorder="1" applyAlignment="1">
      <alignment horizontal="center"/>
    </xf>
    <xf numFmtId="2" fontId="162" fillId="0" borderId="29" xfId="126" applyNumberFormat="1" applyFont="1" applyBorder="1" applyAlignment="1">
      <alignment horizontal="center" wrapText="1"/>
    </xf>
    <xf numFmtId="2" fontId="162" fillId="0" borderId="0" xfId="126" applyNumberFormat="1" applyFont="1" applyBorder="1" applyAlignment="1">
      <alignment horizontal="center" wrapText="1"/>
    </xf>
    <xf numFmtId="164" fontId="21" fillId="0" borderId="0" xfId="126" applyNumberFormat="1" applyFont="1" applyFill="1"/>
    <xf numFmtId="2" fontId="159" fillId="0" borderId="0" xfId="126" applyNumberFormat="1" applyFont="1"/>
    <xf numFmtId="164" fontId="159" fillId="0" borderId="0" xfId="126" applyNumberFormat="1" applyFont="1" applyFill="1"/>
    <xf numFmtId="1" fontId="159" fillId="0" borderId="0" xfId="126" applyNumberFormat="1" applyFont="1"/>
    <xf numFmtId="166" fontId="21" fillId="0" borderId="0" xfId="126" quotePrefix="1" applyNumberFormat="1" applyFont="1" applyFill="1" applyAlignment="1">
      <alignment horizontal="center"/>
    </xf>
    <xf numFmtId="166" fontId="21" fillId="0" borderId="0" xfId="126" applyNumberFormat="1" applyFont="1" applyFill="1" applyAlignment="1">
      <alignment horizontal="center"/>
    </xf>
    <xf numFmtId="0" fontId="21" fillId="0" borderId="0" xfId="126" applyFont="1" applyFill="1" applyAlignment="1">
      <alignment readingOrder="1"/>
    </xf>
    <xf numFmtId="0" fontId="21" fillId="0" borderId="0" xfId="126" applyFont="1" applyAlignment="1">
      <alignment wrapText="1"/>
    </xf>
    <xf numFmtId="0" fontId="22" fillId="0" borderId="5" xfId="126" applyFont="1" applyBorder="1" applyAlignment="1">
      <alignment horizontal="center" wrapText="1"/>
    </xf>
    <xf numFmtId="3" fontId="21" fillId="36" borderId="0" xfId="126" applyNumberFormat="1" applyFont="1" applyFill="1"/>
    <xf numFmtId="10" fontId="21" fillId="0" borderId="0" xfId="126" applyNumberFormat="1" applyFont="1"/>
    <xf numFmtId="3" fontId="21" fillId="0" borderId="0" xfId="126" applyNumberFormat="1" applyFont="1" applyFill="1"/>
    <xf numFmtId="164" fontId="21" fillId="0" borderId="0" xfId="0" applyNumberFormat="1" applyFont="1" applyAlignment="1"/>
    <xf numFmtId="166" fontId="21" fillId="0" borderId="0" xfId="0" applyNumberFormat="1" applyFont="1" applyFill="1" applyAlignment="1">
      <alignment horizontal="left" indent="1"/>
    </xf>
    <xf numFmtId="164" fontId="21" fillId="0" borderId="0" xfId="0" quotePrefix="1" applyNumberFormat="1" applyFont="1" applyAlignment="1">
      <alignment horizontal="center"/>
    </xf>
    <xf numFmtId="0" fontId="21" fillId="0" borderId="0" xfId="100" applyNumberFormat="1" applyFont="1" applyFill="1" applyBorder="1" applyAlignment="1">
      <alignment horizontal="left" indent="2"/>
    </xf>
    <xf numFmtId="0" fontId="21" fillId="0" borderId="0" xfId="0" applyFont="1" applyFill="1" applyAlignment="1">
      <alignment horizontal="left" indent="4"/>
    </xf>
    <xf numFmtId="0" fontId="21" fillId="0" borderId="0" xfId="100" applyNumberFormat="1" applyFont="1" applyFill="1" applyBorder="1" applyAlignment="1">
      <alignment horizontal="left" indent="1"/>
    </xf>
    <xf numFmtId="49" fontId="21" fillId="0" borderId="0" xfId="0" applyNumberFormat="1" applyFont="1" applyAlignment="1">
      <alignment horizontal="left" indent="1"/>
    </xf>
    <xf numFmtId="37" fontId="21" fillId="36" borderId="3" xfId="22" quotePrefix="1" applyNumberFormat="1" applyFont="1" applyFill="1" applyBorder="1" applyAlignment="1">
      <alignment horizontal="center"/>
    </xf>
    <xf numFmtId="0" fontId="21" fillId="0" borderId="0" xfId="0" quotePrefix="1" applyFont="1" applyAlignment="1">
      <alignment horizontal="left" indent="2"/>
    </xf>
    <xf numFmtId="37" fontId="0" fillId="36" borderId="0" xfId="19" applyNumberFormat="1" applyFont="1" applyFill="1"/>
    <xf numFmtId="3" fontId="21" fillId="0" borderId="0" xfId="100" applyNumberFormat="1" applyFont="1" applyFill="1" applyBorder="1" applyAlignment="1">
      <alignment horizontal="left" indent="1"/>
    </xf>
    <xf numFmtId="167" fontId="22" fillId="0" borderId="0" xfId="96" applyNumberFormat="1" applyFont="1" applyFill="1" applyBorder="1" applyAlignment="1">
      <alignment horizontal="center"/>
    </xf>
    <xf numFmtId="0" fontId="21" fillId="0" borderId="0" xfId="100" applyFont="1" applyFill="1" applyBorder="1"/>
    <xf numFmtId="0" fontId="21" fillId="36" borderId="0" xfId="0" applyNumberFormat="1" applyFont="1" applyFill="1" applyAlignment="1"/>
    <xf numFmtId="165" fontId="0" fillId="36" borderId="0" xfId="0" applyNumberFormat="1" applyFill="1"/>
    <xf numFmtId="164" fontId="21" fillId="36" borderId="0" xfId="100" applyNumberFormat="1" applyFont="1" applyFill="1" applyBorder="1" applyAlignment="1">
      <alignment vertical="top" wrapText="1"/>
    </xf>
    <xf numFmtId="5" fontId="21" fillId="36" borderId="0" xfId="22" applyNumberFormat="1" applyFont="1" applyFill="1" applyBorder="1" applyAlignment="1">
      <alignment horizontal="center"/>
    </xf>
    <xf numFmtId="0" fontId="0" fillId="0" borderId="0" xfId="0" applyFill="1" applyAlignment="1"/>
    <xf numFmtId="1" fontId="21" fillId="36" borderId="0" xfId="0" applyNumberFormat="1" applyFont="1" applyFill="1" applyAlignment="1">
      <alignment horizontal="center"/>
    </xf>
    <xf numFmtId="164" fontId="21" fillId="34" borderId="0" xfId="96" applyNumberFormat="1" applyFont="1" applyFill="1" applyBorder="1" applyAlignment="1">
      <alignment horizontal="right"/>
    </xf>
    <xf numFmtId="0" fontId="21" fillId="36" borderId="0" xfId="100" applyFont="1" applyFill="1" applyBorder="1" applyAlignment="1">
      <alignment horizontal="center"/>
    </xf>
    <xf numFmtId="164" fontId="28" fillId="34" borderId="0" xfId="0" applyNumberFormat="1" applyFont="1" applyFill="1" applyAlignment="1"/>
    <xf numFmtId="0" fontId="21" fillId="0" borderId="0" xfId="100" quotePrefix="1" applyNumberFormat="1" applyFont="1" applyFill="1" applyBorder="1" applyAlignment="1">
      <alignment horizontal="left"/>
    </xf>
    <xf numFmtId="0" fontId="21" fillId="0" borderId="0" xfId="100" applyNumberFormat="1" applyFont="1" applyFill="1" applyBorder="1" applyAlignment="1">
      <alignment horizontal="right"/>
    </xf>
    <xf numFmtId="164" fontId="21" fillId="0" borderId="0" xfId="96" applyNumberFormat="1" applyFont="1" applyFill="1" applyBorder="1" applyAlignment="1">
      <alignment horizontal="right"/>
    </xf>
    <xf numFmtId="167" fontId="21" fillId="0" borderId="0" xfId="100" quotePrefix="1" applyNumberFormat="1" applyFont="1" applyFill="1" applyBorder="1" applyAlignment="1">
      <alignment horizontal="left" indent="1"/>
    </xf>
    <xf numFmtId="0" fontId="25" fillId="0" borderId="0" xfId="100" applyNumberFormat="1" applyFont="1" applyFill="1" applyBorder="1" applyAlignment="1">
      <alignment horizontal="left"/>
    </xf>
    <xf numFmtId="0" fontId="25" fillId="0" borderId="0" xfId="100" applyNumberFormat="1" applyFont="1" applyFill="1" applyBorder="1" applyAlignment="1">
      <alignment horizontal="center"/>
    </xf>
    <xf numFmtId="167" fontId="21" fillId="0" borderId="0" xfId="100" applyNumberFormat="1" applyFont="1" applyFill="1" applyBorder="1" applyAlignment="1">
      <alignment horizontal="left" indent="1"/>
    </xf>
    <xf numFmtId="0" fontId="21" fillId="0" borderId="0" xfId="100" applyFont="1" applyBorder="1" applyAlignment="1"/>
    <xf numFmtId="167" fontId="21" fillId="0" borderId="0" xfId="96" applyNumberFormat="1" applyFont="1" applyFill="1" applyBorder="1" applyAlignment="1">
      <alignment horizontal="right"/>
    </xf>
    <xf numFmtId="167" fontId="21" fillId="0" borderId="0" xfId="100" applyNumberFormat="1" applyFont="1" applyFill="1" applyBorder="1" applyAlignment="1">
      <alignment horizontal="right"/>
    </xf>
    <xf numFmtId="0" fontId="25" fillId="0" borderId="0" xfId="100" applyFont="1" applyFill="1" applyBorder="1" applyAlignment="1">
      <alignment horizontal="center"/>
    </xf>
    <xf numFmtId="1" fontId="21" fillId="0" borderId="0" xfId="100" applyNumberFormat="1" applyFont="1" applyFill="1" applyBorder="1" applyAlignment="1">
      <alignment horizontal="center"/>
    </xf>
    <xf numFmtId="3" fontId="21" fillId="0" borderId="0" xfId="100" applyNumberFormat="1" applyFont="1" applyFill="1" applyBorder="1" applyAlignment="1"/>
    <xf numFmtId="3" fontId="25" fillId="0" borderId="0" xfId="100" applyNumberFormat="1" applyFont="1" applyFill="1" applyBorder="1" applyAlignment="1">
      <alignment horizontal="center"/>
    </xf>
    <xf numFmtId="165" fontId="28" fillId="0" borderId="0" xfId="96" applyNumberFormat="1" applyFont="1" applyFill="1" applyBorder="1" applyAlignment="1">
      <alignment horizontal="right"/>
    </xf>
    <xf numFmtId="42" fontId="21" fillId="0" borderId="0" xfId="0" quotePrefix="1" applyNumberFormat="1" applyFont="1" applyAlignment="1">
      <alignment horizontal="center"/>
    </xf>
    <xf numFmtId="0" fontId="22" fillId="0" borderId="0" xfId="0" quotePrefix="1" applyFont="1" applyFill="1"/>
    <xf numFmtId="0" fontId="21" fillId="0" borderId="0" xfId="0" quotePrefix="1" applyFont="1" applyFill="1" applyAlignment="1">
      <alignment horizontal="left"/>
    </xf>
    <xf numFmtId="164" fontId="21" fillId="36" borderId="0" xfId="0" quotePrefix="1" applyNumberFormat="1" applyFont="1" applyFill="1" applyAlignment="1">
      <alignment horizontal="right"/>
    </xf>
    <xf numFmtId="171" fontId="21" fillId="0" borderId="0" xfId="0" quotePrefix="1" applyNumberFormat="1" applyFont="1" applyAlignment="1">
      <alignment horizontal="right"/>
    </xf>
    <xf numFmtId="165" fontId="21" fillId="0" borderId="0" xfId="96" applyNumberFormat="1" applyFont="1" applyFill="1" applyBorder="1" applyAlignment="1">
      <alignment horizontal="right"/>
    </xf>
    <xf numFmtId="3" fontId="21" fillId="0" borderId="0" xfId="100" applyNumberFormat="1" applyFont="1" applyFill="1" applyBorder="1" applyAlignment="1">
      <alignment horizontal="left"/>
    </xf>
    <xf numFmtId="0" fontId="65" fillId="0" borderId="0" xfId="0" applyFont="1" applyFill="1" applyAlignment="1">
      <alignment horizontal="left" vertical="center" indent="1"/>
    </xf>
    <xf numFmtId="171" fontId="21" fillId="0" borderId="0" xfId="0" applyNumberFormat="1" applyFont="1" applyFill="1"/>
    <xf numFmtId="37" fontId="22" fillId="36" borderId="3" xfId="97" quotePrefix="1" applyNumberFormat="1" applyFont="1" applyFill="1" applyBorder="1" applyAlignment="1">
      <alignment horizontal="center"/>
    </xf>
    <xf numFmtId="0" fontId="21" fillId="36" borderId="3" xfId="0" quotePrefix="1" applyNumberFormat="1" applyFont="1" applyFill="1" applyBorder="1" applyAlignment="1">
      <alignment horizontal="center"/>
    </xf>
    <xf numFmtId="0" fontId="21" fillId="36" borderId="3" xfId="0" applyNumberFormat="1" applyFont="1" applyFill="1" applyBorder="1"/>
    <xf numFmtId="0" fontId="21" fillId="36" borderId="3" xfId="0" applyFont="1" applyFill="1" applyBorder="1" applyAlignment="1">
      <alignment horizontal="center"/>
    </xf>
    <xf numFmtId="164" fontId="21" fillId="36" borderId="0" xfId="100" applyNumberFormat="1" applyFont="1" applyFill="1" applyBorder="1" applyAlignment="1">
      <alignment horizontal="right" vertical="center" wrapText="1"/>
    </xf>
    <xf numFmtId="164" fontId="28" fillId="36" borderId="0" xfId="100" applyNumberFormat="1" applyFont="1" applyFill="1" applyBorder="1" applyAlignment="1">
      <alignment horizontal="right" vertical="center" wrapText="1"/>
    </xf>
    <xf numFmtId="164" fontId="21" fillId="36" borderId="0" xfId="96" applyNumberFormat="1" applyFont="1" applyFill="1"/>
    <xf numFmtId="164" fontId="36" fillId="36" borderId="0" xfId="96" applyNumberFormat="1" applyFont="1" applyFill="1"/>
    <xf numFmtId="164" fontId="36" fillId="36" borderId="0" xfId="100" applyNumberFormat="1" applyFont="1" applyFill="1"/>
    <xf numFmtId="1" fontId="21" fillId="36" borderId="0" xfId="126" applyNumberFormat="1" applyFont="1" applyFill="1"/>
    <xf numFmtId="164" fontId="24" fillId="36" borderId="0" xfId="0" applyNumberFormat="1" applyFont="1" applyFill="1" applyBorder="1" applyAlignment="1">
      <alignment horizontal="right"/>
    </xf>
    <xf numFmtId="206" fontId="24" fillId="0" borderId="0" xfId="0" applyNumberFormat="1" applyFont="1" applyFill="1"/>
    <xf numFmtId="0" fontId="53" fillId="0" borderId="0" xfId="0" applyFont="1"/>
    <xf numFmtId="0" fontId="21" fillId="0" borderId="11" xfId="0" applyNumberFormat="1" applyFont="1" applyFill="1" applyBorder="1" applyAlignment="1">
      <alignment horizontal="center"/>
    </xf>
    <xf numFmtId="0" fontId="21" fillId="0" borderId="4" xfId="0" applyNumberFormat="1" applyFont="1" applyFill="1" applyBorder="1" applyAlignment="1">
      <alignment horizontal="center"/>
    </xf>
    <xf numFmtId="0" fontId="21" fillId="0" borderId="57" xfId="0" applyNumberFormat="1" applyFont="1" applyFill="1" applyBorder="1" applyAlignment="1">
      <alignment horizontal="center"/>
    </xf>
    <xf numFmtId="0" fontId="21" fillId="0" borderId="3" xfId="0" applyNumberFormat="1" applyFont="1" applyFill="1" applyBorder="1" applyAlignment="1">
      <alignment horizontal="center"/>
    </xf>
    <xf numFmtId="0" fontId="21" fillId="0" borderId="3" xfId="0" quotePrefix="1" applyNumberFormat="1" applyFont="1" applyBorder="1" applyAlignment="1">
      <alignment horizontal="center"/>
    </xf>
    <xf numFmtId="164" fontId="21" fillId="36" borderId="0" xfId="0" applyNumberFormat="1" applyFont="1" applyFill="1" applyAlignment="1">
      <alignment horizontal="center"/>
    </xf>
    <xf numFmtId="0" fontId="22" fillId="36" borderId="0" xfId="0" applyFont="1" applyFill="1" applyAlignment="1">
      <alignment horizontal="left"/>
    </xf>
    <xf numFmtId="164" fontId="24" fillId="0" borderId="0" xfId="0" applyNumberFormat="1" applyFont="1" applyFill="1" applyAlignment="1"/>
    <xf numFmtId="164" fontId="24" fillId="0" borderId="0" xfId="0" applyNumberFormat="1" applyFont="1" applyFill="1" applyAlignment="1">
      <alignment horizontal="right" indent="1"/>
    </xf>
    <xf numFmtId="3" fontId="54" fillId="0" borderId="0" xfId="0" applyNumberFormat="1" applyFont="1"/>
    <xf numFmtId="0" fontId="21" fillId="0" borderId="0" xfId="28" applyFont="1" applyFill="1" applyBorder="1" applyAlignment="1">
      <alignment horizontal="left"/>
    </xf>
    <xf numFmtId="164" fontId="21" fillId="0" borderId="0" xfId="23" applyNumberFormat="1" applyFont="1" applyFill="1" applyAlignment="1">
      <alignment horizontal="right"/>
    </xf>
    <xf numFmtId="164" fontId="21" fillId="0" borderId="0" xfId="0" applyNumberFormat="1" applyFont="1" applyAlignment="1">
      <alignment horizontal="right"/>
    </xf>
    <xf numFmtId="49" fontId="21" fillId="0" borderId="0" xfId="0" applyNumberFormat="1" applyFont="1" applyAlignment="1">
      <alignment horizontal="center"/>
    </xf>
    <xf numFmtId="0" fontId="21" fillId="0" borderId="0" xfId="0" applyFont="1" applyAlignment="1">
      <alignment horizontal="left" wrapText="1"/>
    </xf>
    <xf numFmtId="0" fontId="73" fillId="0" borderId="0" xfId="0" applyFont="1" applyAlignment="1">
      <alignment horizontal="left" wrapText="1"/>
    </xf>
    <xf numFmtId="49" fontId="73" fillId="0" borderId="0" xfId="0" quotePrefix="1" applyNumberFormat="1" applyFont="1" applyAlignment="1">
      <alignment horizontal="left" indent="1"/>
    </xf>
    <xf numFmtId="0" fontId="73" fillId="0" borderId="0" xfId="0" applyFont="1"/>
    <xf numFmtId="49" fontId="73" fillId="0" borderId="0" xfId="0" applyNumberFormat="1" applyFont="1" applyAlignment="1">
      <alignment horizontal="left" indent="1"/>
    </xf>
    <xf numFmtId="0" fontId="21" fillId="0" borderId="0" xfId="0" applyFont="1" applyBorder="1"/>
    <xf numFmtId="3" fontId="21" fillId="0" borderId="0" xfId="23" applyNumberFormat="1" applyFont="1" applyBorder="1" applyAlignment="1">
      <alignment horizontal="right"/>
    </xf>
    <xf numFmtId="3" fontId="21" fillId="0" borderId="0" xfId="0" applyNumberFormat="1" applyFont="1"/>
    <xf numFmtId="164" fontId="54" fillId="36" borderId="0" xfId="23" applyNumberFormat="1" applyFont="1" applyFill="1" applyAlignment="1">
      <alignment horizontal="right"/>
    </xf>
    <xf numFmtId="49" fontId="56" fillId="0" borderId="0" xfId="0" applyNumberFormat="1" applyFont="1" applyAlignment="1">
      <alignment horizontal="center"/>
    </xf>
    <xf numFmtId="0" fontId="22" fillId="0" borderId="0" xfId="0" applyFont="1" applyAlignment="1">
      <alignment horizontal="center" vertical="top"/>
    </xf>
    <xf numFmtId="3" fontId="21" fillId="36" borderId="0" xfId="0" applyNumberFormat="1" applyFont="1" applyFill="1"/>
    <xf numFmtId="3" fontId="54" fillId="36" borderId="0" xfId="247" applyNumberFormat="1" applyFont="1" applyFill="1"/>
    <xf numFmtId="0" fontId="58" fillId="0" borderId="0" xfId="0" applyFont="1" applyFill="1" applyAlignment="1">
      <alignment horizontal="center"/>
    </xf>
    <xf numFmtId="37" fontId="53" fillId="0" borderId="0" xfId="0" applyNumberFormat="1" applyFont="1" applyFill="1"/>
    <xf numFmtId="0" fontId="21" fillId="0" borderId="3" xfId="0" applyNumberFormat="1" applyFont="1" applyFill="1" applyBorder="1" applyAlignment="1">
      <alignment horizontal="left"/>
    </xf>
    <xf numFmtId="0" fontId="21" fillId="0" borderId="3" xfId="97" applyNumberFormat="1" applyFont="1" applyFill="1" applyBorder="1" applyAlignment="1">
      <alignment horizontal="left"/>
    </xf>
    <xf numFmtId="0" fontId="21" fillId="0" borderId="3" xfId="0" applyNumberFormat="1" applyFont="1" applyFill="1" applyBorder="1"/>
    <xf numFmtId="0" fontId="21" fillId="0" borderId="3" xfId="0" quotePrefix="1" applyNumberFormat="1" applyFont="1" applyFill="1" applyBorder="1" applyAlignment="1">
      <alignment horizontal="left"/>
    </xf>
    <xf numFmtId="207" fontId="21" fillId="36" borderId="0" xfId="0" quotePrefix="1" applyNumberFormat="1" applyFont="1" applyFill="1" applyAlignment="1">
      <alignment horizontal="center"/>
    </xf>
    <xf numFmtId="37" fontId="22" fillId="0" borderId="3" xfId="0" applyNumberFormat="1" applyFont="1" applyFill="1" applyBorder="1" applyAlignment="1">
      <alignment horizontal="center"/>
    </xf>
    <xf numFmtId="10" fontId="21" fillId="36" borderId="0" xfId="0" applyNumberFormat="1" applyFont="1" applyFill="1" applyAlignment="1">
      <alignment horizontal="right"/>
    </xf>
    <xf numFmtId="2" fontId="21" fillId="0" borderId="3" xfId="126" applyNumberFormat="1" applyFont="1" applyBorder="1" applyAlignment="1">
      <alignment horizontal="center" wrapText="1"/>
    </xf>
    <xf numFmtId="165" fontId="21" fillId="0" borderId="0" xfId="0" applyNumberFormat="1" applyFont="1"/>
    <xf numFmtId="0" fontId="71" fillId="0" borderId="0" xfId="0" applyFont="1"/>
    <xf numFmtId="164" fontId="21" fillId="0" borderId="0" xfId="100" applyNumberFormat="1" applyFill="1"/>
    <xf numFmtId="0" fontId="21" fillId="36" borderId="0" xfId="35" applyFont="1" applyFill="1" applyBorder="1" applyAlignment="1">
      <alignment horizontal="left" vertical="top" indent="2"/>
    </xf>
    <xf numFmtId="167" fontId="21" fillId="0" borderId="0" xfId="28" applyNumberFormat="1" applyFont="1" applyBorder="1" applyAlignment="1">
      <alignment vertical="center"/>
    </xf>
    <xf numFmtId="0" fontId="22" fillId="0" borderId="0" xfId="0" applyFont="1" applyFill="1" applyAlignment="1">
      <alignment horizontal="center" vertical="center"/>
    </xf>
    <xf numFmtId="171" fontId="21" fillId="0" borderId="0" xfId="39" applyNumberFormat="1" applyFont="1" applyFill="1" applyBorder="1" applyAlignment="1">
      <alignment horizontal="center" vertical="justify" wrapText="1"/>
    </xf>
    <xf numFmtId="171" fontId="21" fillId="0" borderId="8" xfId="39" applyNumberFormat="1" applyFont="1" applyFill="1" applyBorder="1" applyAlignment="1">
      <alignment horizontal="center" wrapText="1"/>
    </xf>
    <xf numFmtId="0" fontId="21" fillId="0" borderId="0" xfId="100" quotePrefix="1" applyFill="1"/>
    <xf numFmtId="0" fontId="21" fillId="0" borderId="0" xfId="100" applyNumberFormat="1" applyFont="1" applyFill="1" applyAlignment="1">
      <alignment horizontal="center"/>
    </xf>
    <xf numFmtId="0" fontId="21" fillId="0" borderId="0" xfId="100" quotePrefix="1" applyFont="1" applyFill="1" applyAlignment="1">
      <alignment horizontal="center"/>
    </xf>
    <xf numFmtId="0" fontId="21" fillId="0" borderId="0" xfId="100" quotePrefix="1" applyFill="1" applyAlignment="1">
      <alignment horizontal="center" wrapText="1"/>
    </xf>
    <xf numFmtId="0" fontId="21" fillId="0" borderId="0" xfId="100" quotePrefix="1" applyFont="1" applyFill="1" applyAlignment="1">
      <alignment horizontal="center" wrapText="1"/>
    </xf>
    <xf numFmtId="10" fontId="21" fillId="0" borderId="0" xfId="37" quotePrefix="1" applyNumberFormat="1" applyFont="1" applyFill="1" applyAlignment="1">
      <alignment horizontal="center" wrapText="1"/>
    </xf>
    <xf numFmtId="0" fontId="21" fillId="0" borderId="0" xfId="100" applyFill="1" applyAlignment="1">
      <alignment horizontal="center" wrapText="1"/>
    </xf>
    <xf numFmtId="164" fontId="21" fillId="0" borderId="0" xfId="100" quotePrefix="1" applyNumberFormat="1" applyFill="1" applyAlignment="1">
      <alignment horizontal="center"/>
    </xf>
    <xf numFmtId="0" fontId="21" fillId="0" borderId="0" xfId="100" applyFill="1" applyAlignment="1">
      <alignment horizontal="center"/>
    </xf>
    <xf numFmtId="10" fontId="0" fillId="0" borderId="0" xfId="37" applyNumberFormat="1" applyFont="1" applyFill="1" applyAlignment="1">
      <alignment horizontal="center"/>
    </xf>
    <xf numFmtId="1" fontId="24" fillId="0" borderId="0" xfId="28" quotePrefix="1" applyNumberFormat="1" applyFont="1" applyFill="1" applyBorder="1" applyAlignment="1">
      <alignment horizontal="right"/>
    </xf>
    <xf numFmtId="0" fontId="21" fillId="0" borderId="0" xfId="0" applyFont="1" applyFill="1" applyAlignment="1">
      <alignment horizontal="center"/>
    </xf>
    <xf numFmtId="0" fontId="21" fillId="0" borderId="0" xfId="100" applyFont="1" applyFill="1" applyBorder="1" applyAlignment="1">
      <alignment horizontal="left"/>
    </xf>
    <xf numFmtId="0" fontId="61" fillId="0" borderId="0" xfId="0" applyFont="1" applyFill="1"/>
    <xf numFmtId="39" fontId="54" fillId="0" borderId="0" xfId="0" applyNumberFormat="1" applyFont="1" applyFill="1" applyAlignment="1">
      <alignment horizontal="left" indent="1"/>
    </xf>
    <xf numFmtId="0" fontId="21" fillId="0" borderId="0" xfId="100" quotePrefix="1" applyFont="1" applyFill="1" applyAlignment="1">
      <alignment horizontal="left" indent="1"/>
    </xf>
    <xf numFmtId="164" fontId="21" fillId="0" borderId="0" xfId="96" applyNumberFormat="1" applyFont="1" applyFill="1" applyBorder="1" applyAlignment="1">
      <alignment horizontal="left" indent="1"/>
    </xf>
    <xf numFmtId="42" fontId="21" fillId="0" borderId="0" xfId="0" quotePrefix="1" applyNumberFormat="1" applyFont="1" applyFill="1" applyAlignment="1">
      <alignment horizontal="center"/>
    </xf>
    <xf numFmtId="164" fontId="0" fillId="0" borderId="0" xfId="0" quotePrefix="1" applyNumberFormat="1" applyFill="1" applyAlignment="1">
      <alignment horizontal="center"/>
    </xf>
    <xf numFmtId="164" fontId="52" fillId="0" borderId="0" xfId="0" applyNumberFormat="1" applyFont="1" applyFill="1" applyAlignment="1">
      <alignment horizontal="center"/>
    </xf>
    <xf numFmtId="164" fontId="57" fillId="0" borderId="0" xfId="0" applyNumberFormat="1" applyFont="1" applyFill="1" applyAlignment="1">
      <alignment horizontal="center"/>
    </xf>
    <xf numFmtId="164" fontId="24" fillId="0" borderId="0" xfId="0" quotePrefix="1" applyNumberFormat="1" applyFont="1" applyFill="1" applyAlignment="1">
      <alignment horizontal="center"/>
    </xf>
    <xf numFmtId="0" fontId="21" fillId="0" borderId="0" xfId="28" quotePrefix="1" applyFont="1" applyFill="1" applyAlignment="1">
      <alignment horizontal="center" vertical="center"/>
    </xf>
    <xf numFmtId="0" fontId="21" fillId="0" borderId="0" xfId="28" quotePrefix="1" applyFont="1" applyFill="1" applyAlignment="1">
      <alignment horizontal="center"/>
    </xf>
    <xf numFmtId="0" fontId="21" fillId="0" borderId="0" xfId="28" applyFont="1" applyFill="1" applyBorder="1" applyAlignment="1">
      <alignment horizontal="center"/>
    </xf>
    <xf numFmtId="0" fontId="21" fillId="0" borderId="0" xfId="28" quotePrefix="1" applyFont="1" applyFill="1" applyBorder="1" applyAlignment="1">
      <alignment horizontal="center"/>
    </xf>
    <xf numFmtId="0" fontId="21" fillId="0" borderId="0" xfId="100" quotePrefix="1" applyFont="1" applyFill="1"/>
    <xf numFmtId="167" fontId="21" fillId="0" borderId="0" xfId="28" quotePrefix="1" applyNumberFormat="1" applyFont="1" applyFill="1" applyBorder="1" applyAlignment="1">
      <alignment horizontal="center"/>
    </xf>
    <xf numFmtId="0" fontId="21" fillId="0" borderId="0" xfId="28" quotePrefix="1" applyFont="1" applyFill="1" applyAlignment="1">
      <alignment vertical="center"/>
    </xf>
    <xf numFmtId="0" fontId="22" fillId="0" borderId="0" xfId="28" applyFont="1" applyFill="1" applyAlignment="1">
      <alignment horizontal="center" vertical="center"/>
    </xf>
    <xf numFmtId="0" fontId="24" fillId="0" borderId="0" xfId="28" applyFont="1" applyFill="1" applyAlignment="1">
      <alignment vertical="center"/>
    </xf>
    <xf numFmtId="0" fontId="22" fillId="0" borderId="0" xfId="28" applyFont="1" applyFill="1" applyAlignment="1">
      <alignment horizontal="right" vertical="center"/>
    </xf>
    <xf numFmtId="0" fontId="21" fillId="0" borderId="0" xfId="126" applyFont="1" applyAlignment="1">
      <alignment vertical="center" wrapText="1"/>
    </xf>
    <xf numFmtId="0" fontId="21" fillId="0" borderId="0" xfId="126" applyFont="1" applyFill="1" applyAlignment="1">
      <alignment horizontal="center" vertical="center" wrapText="1"/>
    </xf>
    <xf numFmtId="0" fontId="21" fillId="0" borderId="0" xfId="126" applyFont="1" applyFill="1" applyAlignment="1">
      <alignment vertical="center" wrapText="1"/>
    </xf>
    <xf numFmtId="0" fontId="21" fillId="0" borderId="0" xfId="126" applyFont="1" applyFill="1" applyAlignment="1"/>
    <xf numFmtId="173" fontId="21" fillId="0" borderId="0" xfId="126" applyNumberFormat="1" applyFont="1" applyAlignment="1">
      <alignment horizontal="center"/>
    </xf>
    <xf numFmtId="10" fontId="21" fillId="0" borderId="0" xfId="126" applyNumberFormat="1" applyFont="1" applyBorder="1"/>
    <xf numFmtId="166" fontId="21" fillId="0" borderId="17" xfId="126" applyNumberFormat="1" applyFont="1" applyBorder="1" applyAlignment="1">
      <alignment horizontal="center"/>
    </xf>
    <xf numFmtId="0" fontId="21" fillId="0" borderId="18" xfId="0" applyFont="1" applyBorder="1" applyAlignment="1">
      <alignment horizontal="center"/>
    </xf>
    <xf numFmtId="166" fontId="21" fillId="0" borderId="0" xfId="126" applyNumberFormat="1" applyFont="1" applyAlignment="1">
      <alignment horizontal="center"/>
    </xf>
    <xf numFmtId="166" fontId="21" fillId="0" borderId="0" xfId="126" applyNumberFormat="1" applyFont="1"/>
    <xf numFmtId="3" fontId="21" fillId="0" borderId="0" xfId="131" applyNumberFormat="1" applyFont="1" applyFill="1" applyBorder="1"/>
    <xf numFmtId="3" fontId="21" fillId="0" borderId="0" xfId="132" applyNumberFormat="1" applyFont="1" applyFill="1"/>
    <xf numFmtId="0" fontId="21" fillId="0" borderId="0" xfId="126" applyFont="1" applyFill="1" applyBorder="1"/>
    <xf numFmtId="166" fontId="21" fillId="0" borderId="0" xfId="126" applyNumberFormat="1" applyFont="1" applyFill="1"/>
    <xf numFmtId="3" fontId="21" fillId="0" borderId="0" xfId="130" applyNumberFormat="1" applyFont="1" applyFill="1" applyBorder="1" applyAlignment="1">
      <alignment horizontal="center"/>
    </xf>
    <xf numFmtId="0" fontId="21" fillId="0" borderId="0" xfId="126" applyFont="1" applyFill="1" applyBorder="1" applyAlignment="1">
      <alignment horizontal="center"/>
    </xf>
    <xf numFmtId="3" fontId="21" fillId="0" borderId="0" xfId="0" applyNumberFormat="1" applyFont="1" applyFill="1" applyAlignment="1">
      <alignment horizontal="right"/>
    </xf>
    <xf numFmtId="166" fontId="21" fillId="0" borderId="0" xfId="0" applyNumberFormat="1" applyFont="1" applyFill="1" applyAlignment="1">
      <alignment horizontal="right"/>
    </xf>
    <xf numFmtId="173" fontId="21" fillId="0" borderId="0" xfId="126" quotePrefix="1" applyNumberFormat="1" applyFont="1" applyFill="1" applyAlignment="1">
      <alignment horizontal="center"/>
    </xf>
    <xf numFmtId="164" fontId="21" fillId="0" borderId="0" xfId="126" quotePrefix="1" applyNumberFormat="1" applyFont="1" applyFill="1" applyAlignment="1">
      <alignment horizontal="center"/>
    </xf>
    <xf numFmtId="164" fontId="21" fillId="0" borderId="0" xfId="126" applyNumberFormat="1" applyFont="1" applyAlignment="1">
      <alignment horizontal="right"/>
    </xf>
    <xf numFmtId="166" fontId="21" fillId="0" borderId="17" xfId="126" quotePrefix="1" applyNumberFormat="1" applyFont="1" applyFill="1" applyBorder="1" applyAlignment="1">
      <alignment horizontal="center"/>
    </xf>
    <xf numFmtId="166" fontId="21" fillId="0" borderId="18" xfId="126" applyNumberFormat="1" applyFont="1" applyFill="1" applyBorder="1" applyAlignment="1">
      <alignment horizontal="center"/>
    </xf>
    <xf numFmtId="173" fontId="21" fillId="0" borderId="0" xfId="126" applyNumberFormat="1" applyFont="1" applyFill="1" applyAlignment="1">
      <alignment horizontal="center"/>
    </xf>
    <xf numFmtId="164" fontId="21" fillId="0" borderId="0" xfId="126" applyNumberFormat="1" applyFont="1" applyBorder="1"/>
    <xf numFmtId="179" fontId="22" fillId="0" borderId="0" xfId="35" applyNumberFormat="1" applyFont="1" applyFill="1" applyAlignment="1">
      <alignment horizontal="left"/>
    </xf>
    <xf numFmtId="0" fontId="21" fillId="0" borderId="7" xfId="126" applyFont="1" applyFill="1" applyBorder="1"/>
    <xf numFmtId="0" fontId="21" fillId="0" borderId="7" xfId="126" applyFont="1" applyBorder="1"/>
    <xf numFmtId="0" fontId="21" fillId="0" borderId="7" xfId="126" applyFont="1" applyBorder="1" applyAlignment="1">
      <alignment horizontal="center"/>
    </xf>
    <xf numFmtId="174" fontId="21" fillId="36" borderId="0" xfId="0" applyNumberFormat="1" applyFont="1" applyFill="1" applyAlignment="1">
      <alignment horizontal="center"/>
    </xf>
    <xf numFmtId="0" fontId="53" fillId="0" borderId="10" xfId="126" applyFont="1" applyFill="1" applyBorder="1" applyAlignment="1">
      <alignment horizontal="center"/>
    </xf>
    <xf numFmtId="9" fontId="0" fillId="0" borderId="0" xfId="0" applyNumberFormat="1" applyFill="1" applyAlignment="1">
      <alignment horizontal="left"/>
    </xf>
    <xf numFmtId="0" fontId="21" fillId="0" borderId="4" xfId="126" applyFont="1" applyFill="1" applyBorder="1" applyAlignment="1">
      <alignment wrapText="1"/>
    </xf>
    <xf numFmtId="0" fontId="21" fillId="0" borderId="0" xfId="126" quotePrefix="1" applyFont="1" applyFill="1" applyAlignment="1">
      <alignment horizontal="center" vertical="center" wrapText="1"/>
    </xf>
    <xf numFmtId="0" fontId="21" fillId="0" borderId="0" xfId="126" quotePrefix="1" applyFont="1" applyFill="1" applyAlignment="1">
      <alignment horizontal="center" wrapText="1"/>
    </xf>
    <xf numFmtId="0" fontId="21" fillId="0" borderId="0" xfId="126" quotePrefix="1" applyFont="1" applyFill="1" applyAlignment="1">
      <alignment horizontal="center" vertical="top" wrapText="1"/>
    </xf>
    <xf numFmtId="0" fontId="21" fillId="0" borderId="0" xfId="126" applyFont="1" applyFill="1" applyAlignment="1">
      <alignment wrapText="1"/>
    </xf>
    <xf numFmtId="3" fontId="21" fillId="0" borderId="3" xfId="126" applyNumberFormat="1" applyFont="1" applyFill="1" applyBorder="1"/>
    <xf numFmtId="10" fontId="21" fillId="0" borderId="3" xfId="126" applyNumberFormat="1" applyFont="1" applyFill="1" applyBorder="1"/>
    <xf numFmtId="10" fontId="54" fillId="0" borderId="3" xfId="134" applyNumberFormat="1" applyFont="1" applyFill="1" applyBorder="1"/>
    <xf numFmtId="164" fontId="21" fillId="0" borderId="3" xfId="126" applyNumberFormat="1" applyFont="1" applyFill="1" applyBorder="1"/>
    <xf numFmtId="0" fontId="21" fillId="0" borderId="0" xfId="126" quotePrefix="1" applyFont="1" applyFill="1" applyAlignment="1">
      <alignment horizontal="center"/>
    </xf>
    <xf numFmtId="0" fontId="64" fillId="0" borderId="0" xfId="126" quotePrefix="1" applyFont="1" applyFill="1" applyAlignment="1">
      <alignment horizontal="center" vertical="center" wrapText="1"/>
    </xf>
    <xf numFmtId="0" fontId="21" fillId="0" borderId="6" xfId="126" quotePrefix="1" applyFont="1" applyFill="1" applyBorder="1" applyAlignment="1">
      <alignment horizontal="center" wrapText="1"/>
    </xf>
    <xf numFmtId="0" fontId="21" fillId="0" borderId="5" xfId="126" quotePrefix="1" applyFont="1" applyFill="1" applyBorder="1" applyAlignment="1">
      <alignment horizontal="center" wrapText="1"/>
    </xf>
    <xf numFmtId="0" fontId="21" fillId="0" borderId="0" xfId="126" applyFont="1" applyFill="1" applyAlignment="1">
      <alignment horizontal="left" indent="1"/>
    </xf>
    <xf numFmtId="0" fontId="163" fillId="0" borderId="0" xfId="0" applyFont="1" applyAlignment="1">
      <alignment horizontal="center"/>
    </xf>
    <xf numFmtId="164" fontId="21" fillId="36" borderId="0" xfId="125" applyNumberFormat="1" applyFont="1" applyFill="1"/>
    <xf numFmtId="0" fontId="22" fillId="0" borderId="9" xfId="126" applyFont="1" applyFill="1" applyBorder="1"/>
    <xf numFmtId="0" fontId="21" fillId="0" borderId="4" xfId="126" applyFont="1" applyBorder="1"/>
    <xf numFmtId="2" fontId="23" fillId="34" borderId="0" xfId="35" applyNumberFormat="1" applyFont="1" applyFill="1" applyAlignment="1">
      <alignment horizontal="left"/>
    </xf>
    <xf numFmtId="179" fontId="23" fillId="34" borderId="0" xfId="35" quotePrefix="1" applyNumberFormat="1" applyFont="1" applyFill="1" applyAlignment="1">
      <alignment horizontal="left"/>
    </xf>
    <xf numFmtId="0" fontId="54" fillId="36" borderId="0" xfId="0" applyFont="1" applyFill="1" applyBorder="1"/>
    <xf numFmtId="0" fontId="0" fillId="36" borderId="0" xfId="0" applyFill="1" applyBorder="1"/>
    <xf numFmtId="0" fontId="26" fillId="0" borderId="0" xfId="0" applyFont="1"/>
    <xf numFmtId="0" fontId="27" fillId="0" borderId="0" xfId="0" applyFont="1"/>
    <xf numFmtId="164" fontId="21" fillId="0" borderId="14" xfId="0" applyNumberFormat="1" applyFont="1" applyBorder="1"/>
    <xf numFmtId="164" fontId="21" fillId="0" borderId="8" xfId="0" applyNumberFormat="1" applyFont="1" applyBorder="1"/>
    <xf numFmtId="208" fontId="0" fillId="36" borderId="0" xfId="0" applyNumberFormat="1" applyFill="1" applyAlignment="1">
      <alignment horizontal="center"/>
    </xf>
    <xf numFmtId="0" fontId="21" fillId="36" borderId="0" xfId="125" quotePrefix="1" applyFill="1"/>
    <xf numFmtId="208" fontId="21" fillId="36" borderId="0" xfId="0" quotePrefix="1" applyNumberFormat="1" applyFont="1" applyFill="1" applyAlignment="1">
      <alignment horizontal="center"/>
    </xf>
    <xf numFmtId="0" fontId="163" fillId="0" borderId="0" xfId="0" applyFont="1" applyAlignment="1">
      <alignment horizontal="left"/>
    </xf>
    <xf numFmtId="0" fontId="71" fillId="0" borderId="0" xfId="0" applyFont="1" applyAlignment="1">
      <alignment horizontal="left" indent="2"/>
    </xf>
    <xf numFmtId="0" fontId="71" fillId="0" borderId="0" xfId="0" applyFont="1" applyFill="1"/>
    <xf numFmtId="0" fontId="165" fillId="0" borderId="0" xfId="0" applyFont="1"/>
    <xf numFmtId="0" fontId="71" fillId="0" borderId="0" xfId="0" applyFont="1" applyAlignment="1">
      <alignment horizontal="left" indent="1"/>
    </xf>
    <xf numFmtId="0" fontId="0" fillId="0" borderId="0" xfId="0" applyAlignment="1"/>
    <xf numFmtId="0" fontId="26" fillId="37" borderId="0" xfId="0" applyFont="1" applyFill="1"/>
    <xf numFmtId="0" fontId="71" fillId="36" borderId="0" xfId="0" applyFont="1" applyFill="1"/>
    <xf numFmtId="0" fontId="165" fillId="0" borderId="0" xfId="0" applyFont="1" applyAlignment="1">
      <alignment horizontal="right"/>
    </xf>
    <xf numFmtId="0" fontId="166" fillId="36" borderId="0" xfId="0" applyFont="1" applyFill="1"/>
    <xf numFmtId="0" fontId="51" fillId="36" borderId="0" xfId="28" applyFont="1" applyFill="1" applyAlignment="1">
      <alignment horizontal="center"/>
    </xf>
    <xf numFmtId="0" fontId="165" fillId="0" borderId="0" xfId="0" applyFont="1" applyFill="1" applyAlignment="1">
      <alignment horizontal="right"/>
    </xf>
    <xf numFmtId="0" fontId="65" fillId="0" borderId="0" xfId="0" applyFont="1"/>
    <xf numFmtId="10" fontId="24" fillId="0" borderId="0" xfId="0" applyNumberFormat="1" applyFont="1" applyFill="1"/>
    <xf numFmtId="10" fontId="54" fillId="0" borderId="0" xfId="0" applyNumberFormat="1" applyFont="1" applyFill="1" applyBorder="1"/>
    <xf numFmtId="0" fontId="167" fillId="0" borderId="0" xfId="0" applyFont="1"/>
    <xf numFmtId="0" fontId="22" fillId="0" borderId="0" xfId="100" applyFont="1" applyFill="1" applyAlignment="1">
      <alignment horizontal="left" indent="1"/>
    </xf>
    <xf numFmtId="164" fontId="21" fillId="0" borderId="0" xfId="100" applyNumberFormat="1" applyFont="1" applyFill="1" applyBorder="1" applyAlignment="1">
      <alignment horizontal="right"/>
    </xf>
    <xf numFmtId="0" fontId="0" fillId="0" borderId="0" xfId="0" applyFill="1" applyAlignment="1">
      <alignment horizontal="left" vertical="center" indent="1"/>
    </xf>
    <xf numFmtId="3" fontId="61" fillId="0" borderId="0" xfId="0" applyNumberFormat="1" applyFont="1"/>
    <xf numFmtId="0" fontId="168" fillId="0" borderId="0" xfId="0" applyFont="1" applyAlignment="1">
      <alignment horizontal="center"/>
    </xf>
    <xf numFmtId="0" fontId="169" fillId="0" borderId="0" xfId="0" quotePrefix="1" applyFont="1" applyAlignment="1">
      <alignment horizontal="center"/>
    </xf>
    <xf numFmtId="0" fontId="22" fillId="0" borderId="0" xfId="34" applyFont="1" applyAlignment="1">
      <alignment horizontal="right"/>
    </xf>
    <xf numFmtId="0" fontId="22" fillId="0" borderId="0" xfId="0" applyFont="1" applyAlignment="1">
      <alignment horizontal="right" indent="1"/>
    </xf>
    <xf numFmtId="0" fontId="22" fillId="0" borderId="0" xfId="0" applyFont="1" applyFill="1" applyAlignment="1">
      <alignment horizontal="right"/>
    </xf>
    <xf numFmtId="170" fontId="21" fillId="36" borderId="0" xfId="100" quotePrefix="1" applyNumberFormat="1" applyFont="1" applyFill="1" applyAlignment="1">
      <alignment horizontal="center"/>
    </xf>
    <xf numFmtId="3" fontId="21" fillId="36" borderId="62" xfId="19" applyNumberFormat="1" applyFont="1" applyFill="1" applyBorder="1" applyAlignment="1">
      <alignment horizontal="center"/>
    </xf>
    <xf numFmtId="3" fontId="21" fillId="36" borderId="11" xfId="19" applyNumberFormat="1" applyFont="1" applyFill="1" applyBorder="1" applyAlignment="1">
      <alignment horizontal="center"/>
    </xf>
    <xf numFmtId="0" fontId="21" fillId="0" borderId="4" xfId="0" applyNumberFormat="1" applyFont="1" applyFill="1" applyBorder="1"/>
    <xf numFmtId="167" fontId="55" fillId="0" borderId="0" xfId="19" quotePrefix="1" applyNumberFormat="1" applyFont="1"/>
    <xf numFmtId="167" fontId="55" fillId="0" borderId="0" xfId="19" applyNumberFormat="1" applyFont="1" applyBorder="1" applyAlignment="1">
      <alignment horizontal="center"/>
    </xf>
    <xf numFmtId="167" fontId="52" fillId="0" borderId="0" xfId="19" applyNumberFormat="1" applyFont="1" applyBorder="1" applyAlignment="1"/>
    <xf numFmtId="167" fontId="54" fillId="0" borderId="0" xfId="19" applyNumberFormat="1" applyFont="1"/>
    <xf numFmtId="167" fontId="55" fillId="0" borderId="0" xfId="19" quotePrefix="1" applyNumberFormat="1" applyFont="1" applyAlignment="1">
      <alignment horizontal="right"/>
    </xf>
    <xf numFmtId="181" fontId="55" fillId="36" borderId="0" xfId="19" quotePrefix="1" applyNumberFormat="1" applyFont="1" applyFill="1" applyAlignment="1">
      <alignment horizontal="center"/>
    </xf>
    <xf numFmtId="167" fontId="54" fillId="0" borderId="0" xfId="19" applyNumberFormat="1" applyFont="1" applyAlignment="1">
      <alignment horizontal="center"/>
    </xf>
    <xf numFmtId="167" fontId="55" fillId="0" borderId="0" xfId="19" quotePrefix="1" applyNumberFormat="1" applyFont="1" applyAlignment="1">
      <alignment horizontal="center"/>
    </xf>
    <xf numFmtId="167" fontId="0" fillId="0" borderId="0" xfId="19" applyNumberFormat="1" applyFont="1" applyAlignment="1">
      <alignment horizontal="center"/>
    </xf>
    <xf numFmtId="167" fontId="61" fillId="0" borderId="0" xfId="19" applyNumberFormat="1" applyFont="1" applyAlignment="1">
      <alignment horizontal="center"/>
    </xf>
    <xf numFmtId="167" fontId="55" fillId="0" borderId="63" xfId="19" applyNumberFormat="1" applyFont="1" applyBorder="1" applyAlignment="1">
      <alignment horizontal="center" vertical="center"/>
    </xf>
    <xf numFmtId="167" fontId="55" fillId="0" borderId="63" xfId="19" quotePrefix="1" applyNumberFormat="1" applyFont="1" applyBorder="1" applyAlignment="1">
      <alignment horizontal="center" vertical="center"/>
    </xf>
    <xf numFmtId="167" fontId="171" fillId="0" borderId="0" xfId="19" applyNumberFormat="1" applyFont="1" applyAlignment="1">
      <alignment horizontal="center"/>
    </xf>
    <xf numFmtId="167" fontId="55" fillId="0" borderId="0" xfId="19" applyNumberFormat="1" applyFont="1" applyFill="1" applyBorder="1" applyAlignment="1">
      <alignment horizontal="center" wrapText="1"/>
    </xf>
    <xf numFmtId="167" fontId="55" fillId="0" borderId="63" xfId="19" applyNumberFormat="1" applyFont="1" applyBorder="1" applyAlignment="1">
      <alignment horizontal="center" vertical="center" wrapText="1"/>
    </xf>
    <xf numFmtId="167" fontId="60" fillId="0" borderId="63" xfId="19" applyNumberFormat="1" applyFont="1" applyBorder="1" applyAlignment="1">
      <alignment horizontal="center" vertical="center" wrapText="1"/>
    </xf>
    <xf numFmtId="167" fontId="52" fillId="0" borderId="18" xfId="19" applyNumberFormat="1" applyFont="1" applyBorder="1" applyAlignment="1">
      <alignment horizontal="center" vertical="center" wrapText="1"/>
    </xf>
    <xf numFmtId="167" fontId="52" fillId="0" borderId="63" xfId="19" applyNumberFormat="1" applyFont="1" applyBorder="1" applyAlignment="1">
      <alignment horizontal="center" vertical="center" wrapText="1"/>
    </xf>
    <xf numFmtId="167" fontId="0" fillId="0" borderId="0" xfId="19" applyNumberFormat="1" applyFont="1" applyFill="1" applyBorder="1" applyAlignment="1">
      <alignment horizontal="center" vertical="center" wrapText="1"/>
    </xf>
    <xf numFmtId="0" fontId="55" fillId="0" borderId="0" xfId="19" applyNumberFormat="1" applyFont="1" applyAlignment="1">
      <alignment horizontal="center"/>
    </xf>
    <xf numFmtId="167" fontId="56" fillId="0" borderId="0" xfId="19" applyNumberFormat="1" applyFont="1"/>
    <xf numFmtId="167" fontId="172" fillId="0" borderId="0" xfId="19" applyNumberFormat="1" applyFont="1"/>
    <xf numFmtId="167" fontId="54" fillId="0" borderId="0" xfId="19" applyNumberFormat="1" applyFont="1" applyFill="1"/>
    <xf numFmtId="0" fontId="54" fillId="0" borderId="0" xfId="19" applyNumberFormat="1" applyFont="1" applyFill="1" applyAlignment="1">
      <alignment horizontal="center"/>
    </xf>
    <xf numFmtId="167" fontId="54" fillId="36" borderId="0" xfId="19" applyNumberFormat="1" applyFont="1" applyFill="1"/>
    <xf numFmtId="167" fontId="54" fillId="36" borderId="0" xfId="19" quotePrefix="1" applyNumberFormat="1" applyFont="1" applyFill="1" applyAlignment="1">
      <alignment vertical="center"/>
    </xf>
    <xf numFmtId="0" fontId="54" fillId="36" borderId="0" xfId="19" applyNumberFormat="1" applyFont="1" applyFill="1"/>
    <xf numFmtId="0" fontId="55" fillId="0" borderId="0" xfId="19" quotePrefix="1" applyNumberFormat="1" applyFont="1" applyAlignment="1">
      <alignment horizontal="center"/>
    </xf>
    <xf numFmtId="167" fontId="54" fillId="0" borderId="0" xfId="19" applyNumberFormat="1" applyFont="1" applyFill="1" applyAlignment="1">
      <alignment horizontal="right"/>
    </xf>
    <xf numFmtId="0" fontId="54" fillId="0" borderId="0" xfId="19" applyNumberFormat="1" applyFont="1" applyFill="1"/>
    <xf numFmtId="167" fontId="172" fillId="0" borderId="0" xfId="19" applyNumberFormat="1" applyFont="1" applyFill="1"/>
    <xf numFmtId="0" fontId="172" fillId="0" borderId="0" xfId="19" applyNumberFormat="1" applyFont="1" applyFill="1"/>
    <xf numFmtId="41" fontId="54" fillId="0" borderId="0" xfId="0" applyNumberFormat="1" applyFont="1"/>
    <xf numFmtId="167" fontId="173" fillId="0" borderId="0" xfId="19" applyNumberFormat="1" applyFont="1" applyFill="1"/>
    <xf numFmtId="41" fontId="54" fillId="36" borderId="9" xfId="0" applyNumberFormat="1" applyFont="1" applyFill="1" applyBorder="1"/>
    <xf numFmtId="167" fontId="55" fillId="0" borderId="0" xfId="19" applyNumberFormat="1" applyFont="1" applyFill="1"/>
    <xf numFmtId="0" fontId="55" fillId="0" borderId="0" xfId="19" applyNumberFormat="1" applyFont="1" applyFill="1"/>
    <xf numFmtId="167" fontId="53" fillId="0" borderId="0" xfId="19" applyNumberFormat="1" applyFont="1" applyFill="1"/>
    <xf numFmtId="0" fontId="53" fillId="0" borderId="0" xfId="19" applyNumberFormat="1" applyFont="1" applyFill="1"/>
    <xf numFmtId="167" fontId="55" fillId="0" borderId="0" xfId="19" applyNumberFormat="1" applyFont="1"/>
    <xf numFmtId="41" fontId="54" fillId="0" borderId="0" xfId="53892" applyFont="1"/>
    <xf numFmtId="167" fontId="53" fillId="0" borderId="0" xfId="19" applyNumberFormat="1" applyFont="1"/>
    <xf numFmtId="167" fontId="54" fillId="0" borderId="0" xfId="19" applyNumberFormat="1" applyFont="1" applyBorder="1"/>
    <xf numFmtId="167" fontId="25" fillId="0" borderId="0" xfId="19" applyNumberFormat="1" applyFont="1"/>
    <xf numFmtId="167" fontId="174" fillId="0" borderId="0" xfId="19" applyNumberFormat="1" applyFont="1"/>
    <xf numFmtId="167" fontId="21" fillId="0" borderId="0" xfId="19" applyNumberFormat="1" applyFont="1" applyAlignment="1">
      <alignment horizontal="left" indent="1"/>
    </xf>
    <xf numFmtId="167" fontId="54" fillId="0" borderId="0" xfId="19" applyNumberFormat="1" applyFont="1" applyAlignment="1">
      <alignment horizontal="left" indent="1"/>
    </xf>
    <xf numFmtId="167" fontId="54" fillId="0" borderId="0" xfId="19" applyNumberFormat="1" applyFont="1" applyAlignment="1">
      <alignment horizontal="right"/>
    </xf>
    <xf numFmtId="167" fontId="54" fillId="36" borderId="0" xfId="19" quotePrefix="1" applyNumberFormat="1" applyFont="1" applyFill="1" applyAlignment="1">
      <alignment horizontal="right"/>
    </xf>
    <xf numFmtId="181" fontId="54" fillId="36" borderId="0" xfId="19" applyNumberFormat="1" applyFont="1" applyFill="1" applyAlignment="1">
      <alignment horizontal="right"/>
    </xf>
    <xf numFmtId="167" fontId="55" fillId="0" borderId="0" xfId="19" quotePrefix="1" applyNumberFormat="1" applyFont="1" applyBorder="1" applyAlignment="1">
      <alignment horizontal="center"/>
    </xf>
    <xf numFmtId="167" fontId="55" fillId="36" borderId="0" xfId="19" quotePrefix="1" applyNumberFormat="1" applyFont="1" applyFill="1" applyAlignment="1">
      <alignment horizontal="center"/>
    </xf>
    <xf numFmtId="167" fontId="55" fillId="0" borderId="0" xfId="19" applyNumberFormat="1" applyFont="1" applyAlignment="1">
      <alignment horizontal="right"/>
    </xf>
    <xf numFmtId="10" fontId="54" fillId="36" borderId="0" xfId="19" applyNumberFormat="1" applyFont="1" applyFill="1" applyAlignment="1">
      <alignment horizontal="center"/>
    </xf>
    <xf numFmtId="167" fontId="55" fillId="0" borderId="68" xfId="19" applyNumberFormat="1" applyFont="1" applyBorder="1" applyAlignment="1">
      <alignment horizontal="center"/>
    </xf>
    <xf numFmtId="167" fontId="55" fillId="0" borderId="41" xfId="19" applyNumberFormat="1" applyFont="1" applyBorder="1" applyAlignment="1">
      <alignment horizontal="center"/>
    </xf>
    <xf numFmtId="167" fontId="55" fillId="0" borderId="63" xfId="19" quotePrefix="1" applyNumberFormat="1" applyFont="1" applyBorder="1" applyAlignment="1">
      <alignment horizontal="center"/>
    </xf>
    <xf numFmtId="167" fontId="55" fillId="0" borderId="41" xfId="19" quotePrefix="1" applyNumberFormat="1" applyFont="1" applyBorder="1" applyAlignment="1">
      <alignment horizontal="center"/>
    </xf>
    <xf numFmtId="167" fontId="55" fillId="0" borderId="63" xfId="19" applyNumberFormat="1" applyFont="1" applyFill="1" applyBorder="1" applyAlignment="1">
      <alignment horizontal="center" wrapText="1"/>
    </xf>
    <xf numFmtId="167" fontId="22" fillId="0" borderId="63" xfId="19" applyNumberFormat="1" applyFont="1" applyFill="1" applyBorder="1" applyAlignment="1">
      <alignment horizontal="center" vertical="center" wrapText="1"/>
    </xf>
    <xf numFmtId="167" fontId="55" fillId="0" borderId="63" xfId="19" applyNumberFormat="1" applyFont="1" applyFill="1" applyBorder="1" applyAlignment="1">
      <alignment horizontal="center" vertical="center" wrapText="1"/>
    </xf>
    <xf numFmtId="41" fontId="54" fillId="36" borderId="0" xfId="53892" applyFont="1" applyFill="1"/>
    <xf numFmtId="167" fontId="56" fillId="0" borderId="0" xfId="19" applyNumberFormat="1" applyFont="1" applyFill="1"/>
    <xf numFmtId="167" fontId="54" fillId="0" borderId="0" xfId="19" applyNumberFormat="1" applyFont="1" applyFill="1" applyAlignment="1">
      <alignment horizontal="left" indent="1"/>
    </xf>
    <xf numFmtId="167" fontId="22" fillId="0" borderId="0" xfId="19" quotePrefix="1" applyNumberFormat="1" applyFont="1"/>
    <xf numFmtId="0" fontId="55" fillId="0" borderId="0" xfId="0" applyFont="1" applyAlignment="1">
      <alignment horizontal="right"/>
    </xf>
    <xf numFmtId="5" fontId="54" fillId="0" borderId="0" xfId="19" applyNumberFormat="1" applyFont="1" applyFill="1"/>
    <xf numFmtId="5" fontId="54" fillId="0" borderId="64" xfId="19" applyNumberFormat="1" applyFont="1" applyFill="1" applyBorder="1"/>
    <xf numFmtId="5" fontId="54" fillId="0" borderId="9" xfId="53892" applyNumberFormat="1" applyFont="1" applyFill="1" applyBorder="1"/>
    <xf numFmtId="5" fontId="54" fillId="0" borderId="9" xfId="19" applyNumberFormat="1" applyFont="1" applyFill="1" applyBorder="1"/>
    <xf numFmtId="5" fontId="54" fillId="0" borderId="16" xfId="0" applyNumberFormat="1" applyFont="1" applyBorder="1"/>
    <xf numFmtId="5" fontId="54" fillId="0" borderId="0" xfId="19" applyNumberFormat="1" applyFont="1"/>
    <xf numFmtId="5" fontId="54" fillId="0" borderId="16" xfId="53892" applyNumberFormat="1" applyFont="1" applyBorder="1"/>
    <xf numFmtId="5" fontId="54" fillId="0" borderId="16" xfId="53892" applyNumberFormat="1" applyFont="1" applyFill="1" applyBorder="1"/>
    <xf numFmtId="5" fontId="54" fillId="0" borderId="16" xfId="19" applyNumberFormat="1" applyFont="1" applyBorder="1"/>
    <xf numFmtId="5" fontId="54" fillId="0" borderId="64" xfId="19" applyNumberFormat="1" applyFont="1" applyBorder="1"/>
    <xf numFmtId="164" fontId="54" fillId="0" borderId="9" xfId="19" applyNumberFormat="1" applyFont="1" applyFill="1" applyBorder="1"/>
    <xf numFmtId="164" fontId="54" fillId="0" borderId="9" xfId="0" applyNumberFormat="1" applyFont="1" applyBorder="1"/>
    <xf numFmtId="0" fontId="21" fillId="0" borderId="3" xfId="126" applyFont="1" applyFill="1" applyBorder="1" applyAlignment="1">
      <alignment horizontal="center" wrapText="1"/>
    </xf>
    <xf numFmtId="0" fontId="21" fillId="0" borderId="3" xfId="126" applyFont="1" applyFill="1" applyBorder="1" applyAlignment="1">
      <alignment wrapText="1"/>
    </xf>
    <xf numFmtId="0" fontId="21" fillId="0" borderId="3" xfId="0" applyFont="1" applyBorder="1" applyAlignment="1">
      <alignment horizontal="left" vertical="center" wrapText="1"/>
    </xf>
    <xf numFmtId="0" fontId="21" fillId="0" borderId="3" xfId="0" applyFont="1" applyBorder="1" applyAlignment="1">
      <alignment vertical="center" wrapText="1"/>
    </xf>
    <xf numFmtId="0" fontId="21" fillId="0" borderId="0" xfId="0" applyFont="1" applyAlignment="1">
      <alignment horizontal="left" vertical="center" wrapText="1"/>
    </xf>
    <xf numFmtId="0" fontId="21" fillId="0" borderId="0" xfId="0" applyFont="1" applyAlignment="1">
      <alignment vertical="center" wrapText="1"/>
    </xf>
    <xf numFmtId="0" fontId="21" fillId="36" borderId="3" xfId="0" applyFont="1" applyFill="1" applyBorder="1" applyAlignment="1">
      <alignment horizontal="center" vertical="center" wrapText="1"/>
    </xf>
    <xf numFmtId="0" fontId="21" fillId="0" borderId="4" xfId="0" applyFont="1" applyBorder="1" applyAlignment="1">
      <alignment vertical="center" wrapText="1"/>
    </xf>
    <xf numFmtId="0" fontId="21" fillId="0" borderId="5" xfId="0" applyFont="1" applyBorder="1" applyAlignment="1">
      <alignment horizontal="left" vertical="center" wrapText="1"/>
    </xf>
    <xf numFmtId="0" fontId="21" fillId="0" borderId="3" xfId="0" quotePrefix="1" applyFont="1" applyFill="1" applyBorder="1" applyAlignment="1">
      <alignment horizontal="center"/>
    </xf>
    <xf numFmtId="0" fontId="21" fillId="0" borderId="3" xfId="0" applyFont="1" applyFill="1" applyBorder="1" applyAlignment="1">
      <alignment horizontal="left" vertical="center" wrapText="1"/>
    </xf>
    <xf numFmtId="0" fontId="21" fillId="0" borderId="3" xfId="0" applyFont="1" applyFill="1" applyBorder="1" applyAlignment="1">
      <alignment vertical="center" wrapText="1"/>
    </xf>
    <xf numFmtId="0" fontId="21" fillId="0" borderId="3" xfId="0" quotePrefix="1" applyFont="1" applyFill="1" applyBorder="1" applyAlignment="1">
      <alignment horizontal="left" vertical="center" wrapText="1"/>
    </xf>
    <xf numFmtId="0" fontId="21" fillId="0" borderId="3" xfId="0" quotePrefix="1" applyFont="1" applyBorder="1" applyAlignment="1">
      <alignment horizontal="center"/>
    </xf>
    <xf numFmtId="0" fontId="25" fillId="0" borderId="0" xfId="0" applyFont="1" applyAlignment="1">
      <alignment horizontal="center" vertical="center" wrapText="1"/>
    </xf>
    <xf numFmtId="0" fontId="22" fillId="0" borderId="0" xfId="0" applyFont="1" applyAlignment="1">
      <alignment horizontal="center" vertical="center" wrapText="1"/>
    </xf>
    <xf numFmtId="0" fontId="22" fillId="0" borderId="0" xfId="28" applyFont="1" applyFill="1" applyAlignment="1">
      <alignment horizontal="left"/>
    </xf>
    <xf numFmtId="0" fontId="0" fillId="0" borderId="0" xfId="0" quotePrefix="1" applyFont="1" applyFill="1" applyAlignment="1">
      <alignment horizontal="left" indent="1"/>
    </xf>
    <xf numFmtId="3" fontId="54" fillId="36" borderId="0" xfId="19" applyNumberFormat="1" applyFont="1" applyFill="1"/>
    <xf numFmtId="0" fontId="175" fillId="36" borderId="0" xfId="0" applyFont="1" applyFill="1" applyAlignment="1">
      <alignment horizontal="center"/>
    </xf>
    <xf numFmtId="0" fontId="65" fillId="36" borderId="0" xfId="0" applyFont="1" applyFill="1" applyAlignment="1">
      <alignment vertical="center"/>
    </xf>
    <xf numFmtId="10" fontId="21" fillId="36" borderId="0" xfId="131" quotePrefix="1" applyNumberFormat="1" applyFont="1" applyFill="1"/>
    <xf numFmtId="10" fontId="21" fillId="36" borderId="0" xfId="131" quotePrefix="1" applyNumberFormat="1" applyFont="1" applyFill="1" applyAlignment="1">
      <alignment horizontal="left"/>
    </xf>
    <xf numFmtId="168" fontId="21" fillId="36" borderId="0" xfId="131" quotePrefix="1" applyNumberFormat="1" applyFont="1" applyFill="1" applyAlignment="1">
      <alignment horizontal="left"/>
    </xf>
    <xf numFmtId="0" fontId="21" fillId="36" borderId="0" xfId="131" applyFont="1" applyFill="1"/>
    <xf numFmtId="0" fontId="21" fillId="36" borderId="3" xfId="22" applyNumberFormat="1" applyFont="1" applyFill="1" applyBorder="1" applyAlignment="1">
      <alignment horizontal="left"/>
    </xf>
    <xf numFmtId="39" fontId="22" fillId="0" borderId="8" xfId="22" quotePrefix="1" applyNumberFormat="1" applyFont="1" applyBorder="1" applyAlignment="1">
      <alignment horizontal="center"/>
    </xf>
    <xf numFmtId="37" fontId="53" fillId="36" borderId="3" xfId="22" quotePrefix="1" applyNumberFormat="1" applyFont="1" applyFill="1" applyBorder="1" applyAlignment="1">
      <alignment horizontal="center"/>
    </xf>
    <xf numFmtId="0" fontId="53" fillId="36" borderId="3" xfId="0" applyFont="1" applyFill="1" applyBorder="1" applyAlignment="1">
      <alignment horizontal="center"/>
    </xf>
    <xf numFmtId="0" fontId="21" fillId="36" borderId="3" xfId="0" applyNumberFormat="1" applyFont="1" applyFill="1" applyBorder="1" applyAlignment="1">
      <alignment horizontal="left"/>
    </xf>
    <xf numFmtId="177" fontId="21" fillId="36" borderId="3" xfId="22" applyNumberFormat="1" applyFont="1" applyFill="1" applyBorder="1"/>
    <xf numFmtId="177" fontId="53" fillId="36" borderId="3" xfId="22" applyNumberFormat="1" applyFont="1" applyFill="1" applyBorder="1"/>
    <xf numFmtId="3" fontId="21" fillId="36" borderId="57" xfId="19" applyNumberFormat="1" applyFont="1" applyFill="1" applyBorder="1" applyAlignment="1">
      <alignment horizontal="center"/>
    </xf>
    <xf numFmtId="37" fontId="21" fillId="36" borderId="57" xfId="19" applyNumberFormat="1" applyFont="1" applyFill="1" applyBorder="1" applyAlignment="1">
      <alignment horizontal="center" vertical="center"/>
    </xf>
    <xf numFmtId="3" fontId="21" fillId="36" borderId="3" xfId="19" applyNumberFormat="1" applyFont="1" applyFill="1" applyBorder="1" applyAlignment="1">
      <alignment horizontal="center"/>
    </xf>
    <xf numFmtId="37" fontId="21" fillId="36" borderId="57" xfId="19" applyNumberFormat="1" applyFont="1" applyFill="1" applyBorder="1" applyAlignment="1">
      <alignment horizontal="center"/>
    </xf>
    <xf numFmtId="177" fontId="21" fillId="36" borderId="3" xfId="97" applyNumberFormat="1" applyFont="1" applyFill="1" applyBorder="1" applyAlignment="1">
      <alignment horizontal="center"/>
    </xf>
    <xf numFmtId="10" fontId="21" fillId="34" borderId="0" xfId="0" applyNumberFormat="1" applyFont="1" applyFill="1"/>
    <xf numFmtId="3" fontId="21" fillId="36" borderId="3" xfId="97" quotePrefix="1" applyNumberFormat="1" applyFont="1" applyFill="1" applyBorder="1" applyAlignment="1">
      <alignment horizontal="center"/>
    </xf>
    <xf numFmtId="3" fontId="24" fillId="36" borderId="3" xfId="22" quotePrefix="1" applyNumberFormat="1" applyFont="1" applyFill="1" applyBorder="1" applyAlignment="1">
      <alignment horizontal="center"/>
    </xf>
    <xf numFmtId="3" fontId="24" fillId="0" borderId="3" xfId="22" quotePrefix="1" applyNumberFormat="1" applyFont="1" applyFill="1" applyBorder="1" applyAlignment="1">
      <alignment horizontal="center"/>
    </xf>
    <xf numFmtId="3" fontId="24" fillId="0" borderId="3" xfId="0" applyNumberFormat="1" applyFont="1" applyFill="1" applyBorder="1" applyAlignment="1">
      <alignment horizontal="center"/>
    </xf>
    <xf numFmtId="3" fontId="21" fillId="36" borderId="3" xfId="0" applyNumberFormat="1" applyFont="1" applyFill="1" applyBorder="1" applyAlignment="1">
      <alignment horizontal="center"/>
    </xf>
    <xf numFmtId="3" fontId="24" fillId="0" borderId="3" xfId="22" applyNumberFormat="1" applyFont="1" applyFill="1" applyBorder="1" applyAlignment="1">
      <alignment horizontal="center"/>
    </xf>
    <xf numFmtId="3" fontId="24" fillId="36" borderId="3" xfId="0" applyNumberFormat="1" applyFont="1" applyFill="1" applyBorder="1" applyAlignment="1">
      <alignment horizontal="center"/>
    </xf>
    <xf numFmtId="3" fontId="22" fillId="0" borderId="3" xfId="22" quotePrefix="1" applyNumberFormat="1" applyFont="1" applyFill="1" applyBorder="1" applyAlignment="1">
      <alignment horizontal="center"/>
    </xf>
    <xf numFmtId="3" fontId="22" fillId="0" borderId="3" xfId="0" applyNumberFormat="1" applyFont="1" applyFill="1" applyBorder="1" applyAlignment="1">
      <alignment horizontal="center"/>
    </xf>
    <xf numFmtId="3" fontId="22" fillId="37" borderId="3" xfId="22" quotePrefix="1" applyNumberFormat="1" applyFont="1" applyFill="1" applyBorder="1" applyAlignment="1">
      <alignment horizontal="center"/>
    </xf>
    <xf numFmtId="3" fontId="21" fillId="36" borderId="3" xfId="22" quotePrefix="1" applyNumberFormat="1" applyFont="1" applyFill="1" applyBorder="1" applyAlignment="1">
      <alignment horizontal="center"/>
    </xf>
    <xf numFmtId="3" fontId="21" fillId="0" borderId="3" xfId="22" quotePrefix="1" applyNumberFormat="1" applyFont="1" applyFill="1" applyBorder="1" applyAlignment="1">
      <alignment horizontal="center"/>
    </xf>
    <xf numFmtId="3" fontId="21" fillId="0" borderId="3" xfId="0" applyNumberFormat="1" applyFont="1" applyFill="1" applyBorder="1" applyAlignment="1">
      <alignment horizontal="center"/>
    </xf>
    <xf numFmtId="3" fontId="21" fillId="36" borderId="3" xfId="97" applyNumberFormat="1" applyFont="1" applyFill="1" applyBorder="1" applyAlignment="1">
      <alignment horizontal="center"/>
    </xf>
    <xf numFmtId="3" fontId="21" fillId="0" borderId="3" xfId="97" applyNumberFormat="1" applyFont="1" applyFill="1" applyBorder="1" applyAlignment="1">
      <alignment horizontal="center"/>
    </xf>
    <xf numFmtId="3" fontId="21" fillId="0" borderId="3" xfId="97" quotePrefix="1" applyNumberFormat="1" applyFont="1" applyFill="1" applyBorder="1" applyAlignment="1">
      <alignment horizontal="center"/>
    </xf>
    <xf numFmtId="164" fontId="0" fillId="0" borderId="0" xfId="0" applyNumberFormat="1" applyBorder="1" applyAlignment="1"/>
    <xf numFmtId="164" fontId="42" fillId="0" borderId="0" xfId="0" applyNumberFormat="1" applyFont="1"/>
    <xf numFmtId="0" fontId="0" fillId="0" borderId="0" xfId="0" applyAlignment="1">
      <alignment horizontal="center"/>
    </xf>
    <xf numFmtId="3" fontId="24" fillId="36" borderId="3" xfId="22" applyNumberFormat="1" applyFont="1" applyFill="1" applyBorder="1" applyAlignment="1">
      <alignment horizontal="center"/>
    </xf>
    <xf numFmtId="3" fontId="22" fillId="0" borderId="3" xfId="22" applyNumberFormat="1" applyFont="1" applyFill="1" applyBorder="1" applyAlignment="1">
      <alignment horizontal="center"/>
    </xf>
    <xf numFmtId="3" fontId="22" fillId="37" borderId="7" xfId="22" applyNumberFormat="1" applyFont="1" applyFill="1" applyBorder="1" applyAlignment="1">
      <alignment horizontal="center"/>
    </xf>
    <xf numFmtId="3" fontId="22" fillId="36" borderId="3" xfId="97" quotePrefix="1" applyNumberFormat="1" applyFont="1" applyFill="1" applyBorder="1" applyAlignment="1">
      <alignment horizontal="center"/>
    </xf>
    <xf numFmtId="3" fontId="22" fillId="0" borderId="0" xfId="22" applyNumberFormat="1" applyFont="1" applyFill="1" applyBorder="1" applyAlignment="1">
      <alignment horizontal="center"/>
    </xf>
    <xf numFmtId="3" fontId="22" fillId="0" borderId="0" xfId="22" applyNumberFormat="1" applyFont="1" applyBorder="1" applyAlignment="1">
      <alignment horizontal="center"/>
    </xf>
    <xf numFmtId="3" fontId="22" fillId="36" borderId="3" xfId="97" applyNumberFormat="1" applyFont="1" applyFill="1" applyBorder="1" applyAlignment="1">
      <alignment horizontal="center"/>
    </xf>
    <xf numFmtId="170" fontId="21" fillId="36" borderId="0" xfId="100" applyNumberFormat="1" applyFill="1" applyAlignment="1">
      <alignment horizontal="center"/>
    </xf>
    <xf numFmtId="0" fontId="163" fillId="0" borderId="0" xfId="0" applyFont="1" applyFill="1" applyAlignment="1"/>
    <xf numFmtId="37" fontId="21" fillId="36" borderId="62" xfId="19" applyNumberFormat="1" applyFont="1" applyFill="1" applyBorder="1" applyAlignment="1">
      <alignment horizontal="center"/>
    </xf>
    <xf numFmtId="3" fontId="21" fillId="36" borderId="0" xfId="129" applyNumberFormat="1" applyFont="1" applyFill="1" applyAlignment="1">
      <alignment horizontal="right"/>
    </xf>
    <xf numFmtId="0" fontId="21" fillId="36" borderId="0" xfId="100" applyFont="1" applyFill="1" applyBorder="1" applyAlignment="1" applyProtection="1">
      <alignment horizontal="left" indent="1"/>
      <protection locked="0"/>
    </xf>
    <xf numFmtId="0" fontId="21" fillId="36" borderId="0" xfId="28" applyNumberFormat="1" applyFont="1" applyFill="1"/>
    <xf numFmtId="0" fontId="21" fillId="36" borderId="0" xfId="28" applyFont="1" applyFill="1" applyAlignment="1">
      <alignment horizontal="center"/>
    </xf>
    <xf numFmtId="167" fontId="21" fillId="36" borderId="0" xfId="22" applyNumberFormat="1" applyFont="1" applyFill="1"/>
    <xf numFmtId="0" fontId="24" fillId="36" borderId="0" xfId="0" quotePrefix="1" applyFont="1" applyFill="1" applyAlignment="1">
      <alignment horizontal="center"/>
    </xf>
    <xf numFmtId="164" fontId="21" fillId="0" borderId="0" xfId="0" applyNumberFormat="1" applyFont="1" applyBorder="1"/>
    <xf numFmtId="0" fontId="24" fillId="36" borderId="0" xfId="0" applyFont="1" applyFill="1" applyAlignment="1">
      <alignment horizontal="center"/>
    </xf>
    <xf numFmtId="10" fontId="54" fillId="36" borderId="0" xfId="0" applyNumberFormat="1" applyFont="1" applyFill="1" applyBorder="1" applyAlignment="1">
      <alignment horizontal="center"/>
    </xf>
    <xf numFmtId="165" fontId="0" fillId="0" borderId="0" xfId="0" applyNumberFormat="1" applyFill="1" applyAlignment="1">
      <alignment horizontal="center"/>
    </xf>
    <xf numFmtId="165" fontId="28" fillId="0" borderId="0" xfId="0" applyNumberFormat="1" applyFont="1" applyFill="1" applyAlignment="1">
      <alignment horizontal="center"/>
    </xf>
    <xf numFmtId="165" fontId="24" fillId="0" borderId="0" xfId="0" applyNumberFormat="1" applyFont="1" applyFill="1" applyAlignment="1">
      <alignment horizontal="center"/>
    </xf>
    <xf numFmtId="164" fontId="0" fillId="36" borderId="0" xfId="0" applyNumberFormat="1" applyFill="1" applyBorder="1"/>
    <xf numFmtId="164" fontId="0" fillId="0" borderId="0" xfId="19" applyNumberFormat="1" applyFont="1"/>
    <xf numFmtId="164" fontId="54" fillId="0" borderId="0" xfId="0" applyNumberFormat="1" applyFont="1" applyFill="1" applyBorder="1"/>
    <xf numFmtId="164" fontId="22" fillId="36" borderId="0" xfId="0" applyNumberFormat="1" applyFont="1" applyFill="1" applyAlignment="1">
      <alignment horizontal="center"/>
    </xf>
    <xf numFmtId="164" fontId="28" fillId="36" borderId="0" xfId="0" quotePrefix="1" applyNumberFormat="1" applyFont="1" applyFill="1" applyAlignment="1">
      <alignment horizontal="right"/>
    </xf>
    <xf numFmtId="164" fontId="21" fillId="0" borderId="0" xfId="0" quotePrefix="1" applyNumberFormat="1" applyFont="1" applyFill="1" applyAlignment="1">
      <alignment horizontal="right"/>
    </xf>
    <xf numFmtId="164" fontId="28" fillId="0" borderId="0" xfId="0" quotePrefix="1" applyNumberFormat="1" applyFont="1" applyFill="1" applyAlignment="1">
      <alignment horizontal="right"/>
    </xf>
    <xf numFmtId="164" fontId="54" fillId="0" borderId="0" xfId="0" applyNumberFormat="1" applyFont="1" applyFill="1" applyAlignment="1">
      <alignment horizontal="right"/>
    </xf>
    <xf numFmtId="164" fontId="36" fillId="0" borderId="0" xfId="0" quotePrefix="1" applyNumberFormat="1" applyFont="1" applyFill="1" applyAlignment="1">
      <alignment horizontal="right"/>
    </xf>
    <xf numFmtId="164" fontId="21" fillId="0" borderId="14" xfId="0" applyNumberFormat="1" applyFont="1" applyFill="1" applyBorder="1"/>
    <xf numFmtId="164" fontId="21" fillId="34" borderId="0" xfId="0" applyNumberFormat="1" applyFont="1" applyFill="1" applyBorder="1"/>
    <xf numFmtId="164" fontId="21" fillId="36" borderId="0" xfId="0" quotePrefix="1" applyNumberFormat="1" applyFont="1" applyFill="1" applyBorder="1" applyAlignment="1">
      <alignment horizontal="right"/>
    </xf>
    <xf numFmtId="164" fontId="28" fillId="36" borderId="0" xfId="0" quotePrefix="1" applyNumberFormat="1" applyFont="1" applyFill="1" applyBorder="1" applyAlignment="1">
      <alignment horizontal="right"/>
    </xf>
    <xf numFmtId="164" fontId="28" fillId="36" borderId="0" xfId="0" applyNumberFormat="1" applyFont="1" applyFill="1" applyBorder="1" applyAlignment="1">
      <alignment horizontal="right"/>
    </xf>
    <xf numFmtId="169" fontId="0" fillId="0" borderId="0" xfId="0" applyNumberFormat="1" applyFill="1"/>
    <xf numFmtId="167" fontId="21" fillId="0" borderId="0" xfId="19" applyNumberFormat="1" applyFont="1" applyFill="1"/>
    <xf numFmtId="164" fontId="21" fillId="0" borderId="0" xfId="126" applyNumberFormat="1" applyFont="1" applyFill="1" applyAlignment="1">
      <alignment horizontal="right"/>
    </xf>
    <xf numFmtId="173" fontId="53" fillId="0" borderId="0" xfId="126" applyNumberFormat="1" applyFont="1" applyFill="1" applyAlignment="1">
      <alignment horizontal="center"/>
    </xf>
    <xf numFmtId="173" fontId="21" fillId="0" borderId="59" xfId="126" applyNumberFormat="1" applyFont="1" applyFill="1" applyBorder="1" applyAlignment="1">
      <alignment horizontal="center"/>
    </xf>
    <xf numFmtId="173" fontId="21" fillId="0" borderId="61" xfId="126" applyNumberFormat="1" applyFont="1" applyFill="1" applyBorder="1" applyAlignment="1">
      <alignment horizontal="center"/>
    </xf>
    <xf numFmtId="164" fontId="21" fillId="0" borderId="0" xfId="126" applyNumberFormat="1" applyFont="1" applyFill="1" applyBorder="1" applyAlignment="1">
      <alignment horizontal="right"/>
    </xf>
    <xf numFmtId="166" fontId="21" fillId="0" borderId="17" xfId="126" applyNumberFormat="1" applyFont="1" applyFill="1" applyBorder="1" applyAlignment="1">
      <alignment horizontal="center"/>
    </xf>
    <xf numFmtId="0" fontId="25" fillId="36" borderId="0" xfId="0" quotePrefix="1" applyFont="1" applyFill="1" applyAlignment="1">
      <alignment horizontal="center"/>
    </xf>
    <xf numFmtId="0" fontId="21" fillId="36" borderId="0" xfId="0" applyFont="1" applyFill="1" applyAlignment="1">
      <alignment horizontal="right"/>
    </xf>
    <xf numFmtId="1" fontId="21" fillId="36" borderId="0" xfId="100" applyNumberFormat="1" applyFill="1" applyBorder="1" applyAlignment="1">
      <alignment horizontal="center"/>
    </xf>
    <xf numFmtId="0" fontId="22" fillId="36" borderId="0" xfId="100" applyFont="1" applyFill="1" applyAlignment="1">
      <alignment horizontal="left"/>
    </xf>
    <xf numFmtId="17" fontId="21" fillId="36" borderId="0" xfId="100" quotePrefix="1" applyNumberFormat="1" applyFill="1" applyAlignment="1">
      <alignment horizontal="left"/>
    </xf>
    <xf numFmtId="0" fontId="21" fillId="36" borderId="3" xfId="0" quotePrefix="1" applyFont="1" applyFill="1" applyBorder="1" applyAlignment="1">
      <alignment horizontal="center"/>
    </xf>
    <xf numFmtId="0" fontId="21" fillId="36" borderId="3" xfId="0" quotePrefix="1" applyFont="1" applyFill="1" applyBorder="1" applyAlignment="1">
      <alignment horizontal="left"/>
    </xf>
    <xf numFmtId="0" fontId="21" fillId="36" borderId="4" xfId="0" applyFont="1" applyFill="1" applyBorder="1"/>
    <xf numFmtId="0" fontId="21" fillId="36" borderId="3" xfId="0" quotePrefix="1" applyFont="1" applyFill="1" applyBorder="1"/>
    <xf numFmtId="0" fontId="21" fillId="36" borderId="3" xfId="0" applyFont="1" applyFill="1" applyBorder="1"/>
    <xf numFmtId="0" fontId="21" fillId="36" borderId="3" xfId="0" applyFont="1" applyFill="1" applyBorder="1" applyAlignment="1">
      <alignment horizontal="left"/>
    </xf>
    <xf numFmtId="0" fontId="21" fillId="36" borderId="3" xfId="97" applyNumberFormat="1" applyFont="1" applyFill="1" applyBorder="1" applyAlignment="1">
      <alignment horizontal="left"/>
    </xf>
    <xf numFmtId="10" fontId="54" fillId="36" borderId="0" xfId="0" applyNumberFormat="1" applyFont="1" applyFill="1" applyAlignment="1">
      <alignment horizontal="center"/>
    </xf>
    <xf numFmtId="0" fontId="21" fillId="36" borderId="0" xfId="34" applyFont="1" applyFill="1" applyAlignment="1"/>
    <xf numFmtId="164" fontId="21" fillId="36" borderId="0" xfId="0" quotePrefix="1" applyNumberFormat="1" applyFont="1" applyFill="1" applyBorder="1"/>
    <xf numFmtId="37" fontId="21" fillId="36" borderId="0" xfId="0" applyNumberFormat="1" applyFont="1" applyFill="1" applyAlignment="1">
      <alignment horizontal="center"/>
    </xf>
    <xf numFmtId="0" fontId="22" fillId="0" borderId="0" xfId="100" applyFont="1" applyFill="1" applyAlignment="1">
      <alignment horizontal="left"/>
    </xf>
    <xf numFmtId="0" fontId="54" fillId="36" borderId="0" xfId="0" applyFont="1" applyFill="1" applyAlignment="1">
      <alignment horizontal="left"/>
    </xf>
    <xf numFmtId="164" fontId="21" fillId="36" borderId="0" xfId="96" applyNumberFormat="1" applyFont="1" applyFill="1" applyBorder="1" applyAlignment="1">
      <alignment horizontal="right"/>
    </xf>
    <xf numFmtId="164" fontId="176" fillId="36" borderId="0" xfId="0" applyNumberFormat="1" applyFont="1" applyFill="1"/>
    <xf numFmtId="10" fontId="54" fillId="36" borderId="0" xfId="100" applyNumberFormat="1" applyFont="1" applyFill="1"/>
    <xf numFmtId="164" fontId="54" fillId="36" borderId="0" xfId="0" applyNumberFormat="1" applyFont="1" applyFill="1" applyAlignment="1">
      <alignment wrapText="1"/>
    </xf>
    <xf numFmtId="164" fontId="54" fillId="36" borderId="0" xfId="19" applyNumberFormat="1" applyFont="1" applyFill="1" applyBorder="1"/>
    <xf numFmtId="5" fontId="54" fillId="36" borderId="0" xfId="19" applyNumberFormat="1" applyFont="1" applyFill="1" applyBorder="1"/>
    <xf numFmtId="5" fontId="59" fillId="36" borderId="0" xfId="19" applyNumberFormat="1" applyFont="1" applyFill="1" applyBorder="1"/>
    <xf numFmtId="0" fontId="21" fillId="0" borderId="3" xfId="0" quotePrefix="1" applyFont="1" applyFill="1" applyBorder="1" applyAlignment="1">
      <alignment horizontal="left"/>
    </xf>
    <xf numFmtId="0" fontId="21" fillId="0" borderId="4" xfId="0" applyFont="1" applyFill="1" applyBorder="1"/>
    <xf numFmtId="3" fontId="53" fillId="36" borderId="3" xfId="22" quotePrefix="1" applyNumberFormat="1" applyFont="1" applyFill="1" applyBorder="1" applyAlignment="1">
      <alignment horizontal="center"/>
    </xf>
    <xf numFmtId="3" fontId="53" fillId="36" borderId="3" xfId="0" applyNumberFormat="1" applyFont="1" applyFill="1" applyBorder="1" applyAlignment="1">
      <alignment horizontal="center"/>
    </xf>
    <xf numFmtId="37" fontId="53" fillId="36" borderId="3" xfId="97" quotePrefix="1" applyNumberFormat="1" applyFont="1" applyFill="1" applyBorder="1" applyAlignment="1">
      <alignment horizontal="center"/>
    </xf>
    <xf numFmtId="3" fontId="53" fillId="36" borderId="3" xfId="97" quotePrefix="1" applyNumberFormat="1" applyFont="1" applyFill="1" applyBorder="1" applyAlignment="1">
      <alignment horizontal="center"/>
    </xf>
    <xf numFmtId="37" fontId="53" fillId="36" borderId="3" xfId="0" applyNumberFormat="1" applyFont="1" applyFill="1" applyBorder="1" applyAlignment="1">
      <alignment horizontal="center"/>
    </xf>
    <xf numFmtId="0" fontId="21" fillId="36" borderId="6" xfId="0" quotePrefix="1" applyFont="1" applyFill="1" applyBorder="1" applyAlignment="1">
      <alignment horizontal="left"/>
    </xf>
    <xf numFmtId="39" fontId="21" fillId="0" borderId="0" xfId="97" applyNumberFormat="1" applyFont="1" applyFill="1" applyBorder="1" applyAlignment="1">
      <alignment horizontal="right"/>
    </xf>
    <xf numFmtId="37" fontId="54" fillId="36" borderId="3" xfId="97" quotePrefix="1" applyNumberFormat="1" applyFont="1" applyFill="1" applyBorder="1" applyAlignment="1">
      <alignment horizontal="center"/>
    </xf>
    <xf numFmtId="0" fontId="54" fillId="36" borderId="3" xfId="0" quotePrefix="1" applyFont="1" applyFill="1" applyBorder="1" applyAlignment="1">
      <alignment horizontal="center"/>
    </xf>
    <xf numFmtId="0" fontId="21" fillId="0" borderId="3" xfId="0" quotePrefix="1" applyFont="1" applyFill="1" applyBorder="1"/>
    <xf numFmtId="177" fontId="21" fillId="36" borderId="3" xfId="97" applyNumberFormat="1" applyFont="1" applyFill="1" applyBorder="1"/>
    <xf numFmtId="37" fontId="21" fillId="36" borderId="3" xfId="19" applyNumberFormat="1" applyFont="1" applyFill="1" applyBorder="1" applyAlignment="1">
      <alignment horizontal="center"/>
    </xf>
    <xf numFmtId="0" fontId="21" fillId="0" borderId="3" xfId="0" applyFont="1" applyFill="1" applyBorder="1" applyAlignment="1">
      <alignment horizontal="left"/>
    </xf>
    <xf numFmtId="0" fontId="21" fillId="36" borderId="9" xfId="0" quotePrefix="1" applyFont="1" applyFill="1" applyBorder="1"/>
    <xf numFmtId="37" fontId="53" fillId="36" borderId="3" xfId="97" applyNumberFormat="1" applyFont="1" applyFill="1" applyBorder="1" applyAlignment="1">
      <alignment horizontal="center"/>
    </xf>
    <xf numFmtId="165" fontId="54" fillId="34" borderId="0" xfId="0" applyNumberFormat="1" applyFont="1" applyFill="1" applyAlignment="1">
      <alignment wrapText="1"/>
    </xf>
    <xf numFmtId="172" fontId="24" fillId="0" borderId="0" xfId="0" applyNumberFormat="1" applyFont="1" applyFill="1" applyAlignment="1">
      <alignment horizontal="right"/>
    </xf>
    <xf numFmtId="0" fontId="21" fillId="36" borderId="0" xfId="0" applyFont="1" applyFill="1" applyAlignment="1">
      <alignment horizontal="center"/>
    </xf>
    <xf numFmtId="164" fontId="21" fillId="0" borderId="0" xfId="19" applyNumberFormat="1" applyFont="1"/>
    <xf numFmtId="166" fontId="21" fillId="0" borderId="18" xfId="126" applyNumberFormat="1" applyFont="1" applyBorder="1" applyAlignment="1">
      <alignment horizontal="center"/>
    </xf>
    <xf numFmtId="164" fontId="21" fillId="0" borderId="18" xfId="126" applyNumberFormat="1" applyFont="1" applyFill="1" applyBorder="1"/>
    <xf numFmtId="0" fontId="21" fillId="36" borderId="0" xfId="0" applyFont="1" applyFill="1" applyAlignment="1"/>
    <xf numFmtId="0" fontId="55" fillId="36" borderId="0" xfId="0" applyFont="1" applyFill="1" applyAlignment="1">
      <alignment horizontal="center"/>
    </xf>
    <xf numFmtId="0" fontId="22" fillId="36" borderId="0" xfId="34" applyFont="1" applyFill="1" applyAlignment="1">
      <alignment horizontal="center"/>
    </xf>
    <xf numFmtId="10" fontId="21" fillId="0" borderId="0" xfId="0" applyNumberFormat="1" applyFont="1" applyAlignment="1">
      <alignment horizontal="left" indent="1"/>
    </xf>
    <xf numFmtId="10" fontId="21" fillId="0" borderId="0" xfId="0" applyNumberFormat="1" applyFont="1" applyFill="1" applyAlignment="1">
      <alignment horizontal="left" indent="1"/>
    </xf>
    <xf numFmtId="0" fontId="21" fillId="36" borderId="0" xfId="28" applyFont="1" applyFill="1" applyAlignment="1">
      <alignment horizontal="left"/>
    </xf>
    <xf numFmtId="5" fontId="21" fillId="0" borderId="0" xfId="0" quotePrefix="1" applyNumberFormat="1" applyFont="1" applyAlignment="1">
      <alignment horizontal="right"/>
    </xf>
    <xf numFmtId="5" fontId="28" fillId="0" borderId="0" xfId="0" quotePrefix="1" applyNumberFormat="1" applyFont="1" applyAlignment="1">
      <alignment horizontal="right"/>
    </xf>
    <xf numFmtId="164" fontId="21" fillId="0" borderId="0" xfId="0" quotePrefix="1" applyNumberFormat="1" applyFont="1" applyAlignment="1">
      <alignment horizontal="right"/>
    </xf>
    <xf numFmtId="164" fontId="28" fillId="0" borderId="0" xfId="0" quotePrefix="1" applyNumberFormat="1" applyFont="1" applyAlignment="1">
      <alignment horizontal="right"/>
    </xf>
    <xf numFmtId="164" fontId="54" fillId="0" borderId="0" xfId="125" applyNumberFormat="1" applyFont="1" applyFill="1" applyBorder="1"/>
    <xf numFmtId="164" fontId="28" fillId="0" borderId="0" xfId="19" applyNumberFormat="1" applyFont="1"/>
    <xf numFmtId="164" fontId="21" fillId="0" borderId="0" xfId="53893" applyNumberFormat="1" applyFont="1" applyFill="1" applyBorder="1"/>
    <xf numFmtId="164" fontId="59" fillId="36" borderId="0" xfId="0" applyNumberFormat="1" applyFont="1" applyFill="1" applyBorder="1"/>
    <xf numFmtId="164" fontId="54" fillId="36" borderId="0" xfId="0" applyNumberFormat="1" applyFont="1" applyFill="1" applyBorder="1" applyAlignment="1">
      <alignment horizontal="right"/>
    </xf>
    <xf numFmtId="164" fontId="21" fillId="36" borderId="0" xfId="53893" applyNumberFormat="1" applyFont="1" applyFill="1" applyBorder="1"/>
    <xf numFmtId="0" fontId="22" fillId="0" borderId="0" xfId="125" applyFont="1" applyFill="1" applyBorder="1" applyAlignment="1">
      <alignment horizontal="center"/>
    </xf>
    <xf numFmtId="164" fontId="21" fillId="0" borderId="0" xfId="125" applyNumberFormat="1" applyFill="1" applyBorder="1"/>
    <xf numFmtId="164" fontId="36" fillId="0" borderId="0" xfId="19" applyNumberFormat="1" applyFont="1" applyFill="1" applyBorder="1" applyAlignment="1">
      <alignment horizontal="right"/>
    </xf>
    <xf numFmtId="164" fontId="0" fillId="0" borderId="0" xfId="0" applyNumberFormat="1" applyFill="1" applyAlignment="1">
      <alignment horizontal="right" indent="1"/>
    </xf>
    <xf numFmtId="164" fontId="21" fillId="36" borderId="0" xfId="100" applyNumberFormat="1" applyFill="1" applyBorder="1"/>
    <xf numFmtId="164" fontId="28" fillId="36" borderId="0" xfId="100" applyNumberFormat="1" applyFont="1" applyFill="1" applyBorder="1"/>
    <xf numFmtId="172" fontId="54" fillId="34" borderId="0" xfId="0" applyNumberFormat="1" applyFont="1" applyFill="1" applyBorder="1"/>
    <xf numFmtId="164" fontId="54" fillId="34" borderId="0" xfId="0" applyNumberFormat="1" applyFont="1" applyFill="1" applyBorder="1"/>
    <xf numFmtId="0" fontId="164" fillId="0" borderId="0" xfId="0" applyFont="1" applyAlignment="1">
      <alignment horizontal="center"/>
    </xf>
    <xf numFmtId="0" fontId="0" fillId="0" borderId="0" xfId="0" applyAlignment="1">
      <alignment horizontal="center"/>
    </xf>
    <xf numFmtId="0" fontId="68" fillId="0" borderId="0" xfId="0" applyFont="1" applyAlignment="1">
      <alignment horizontal="center"/>
    </xf>
    <xf numFmtId="0" fontId="163" fillId="0" borderId="0" xfId="0" applyFont="1" applyAlignment="1">
      <alignment horizontal="center"/>
    </xf>
    <xf numFmtId="0" fontId="51" fillId="0" borderId="0" xfId="0" applyFont="1" applyAlignment="1">
      <alignment horizontal="center"/>
    </xf>
    <xf numFmtId="0" fontId="163" fillId="0" borderId="0" xfId="0" applyFont="1" applyFill="1" applyAlignment="1">
      <alignment horizontal="center"/>
    </xf>
    <xf numFmtId="0" fontId="65" fillId="36" borderId="0" xfId="0" applyFont="1" applyFill="1" applyAlignment="1">
      <alignment vertical="center"/>
    </xf>
    <xf numFmtId="167" fontId="55" fillId="0" borderId="65" xfId="19" applyNumberFormat="1" applyFont="1" applyBorder="1" applyAlignment="1">
      <alignment horizontal="center"/>
    </xf>
    <xf numFmtId="167" fontId="55" fillId="0" borderId="66" xfId="19" applyNumberFormat="1" applyFont="1" applyBorder="1" applyAlignment="1">
      <alignment horizontal="center"/>
    </xf>
    <xf numFmtId="167" fontId="55" fillId="0" borderId="67" xfId="19" applyNumberFormat="1" applyFont="1" applyBorder="1" applyAlignment="1">
      <alignment horizontal="center"/>
    </xf>
    <xf numFmtId="0" fontId="21" fillId="36" borderId="0" xfId="0" applyFont="1" applyFill="1" applyAlignment="1">
      <alignment horizontal="center"/>
    </xf>
    <xf numFmtId="0" fontId="21" fillId="0" borderId="0" xfId="0" applyNumberFormat="1" applyFont="1" applyFill="1" applyAlignment="1">
      <alignment horizontal="left"/>
    </xf>
    <xf numFmtId="0" fontId="22" fillId="0" borderId="6" xfId="28" applyFont="1" applyFill="1" applyBorder="1" applyAlignment="1">
      <alignment horizontal="center"/>
    </xf>
    <xf numFmtId="0" fontId="22" fillId="0" borderId="9" xfId="28" applyFont="1" applyFill="1" applyBorder="1" applyAlignment="1">
      <alignment horizontal="center"/>
    </xf>
    <xf numFmtId="0" fontId="22" fillId="0" borderId="4" xfId="28" applyFont="1" applyFill="1" applyBorder="1" applyAlignment="1">
      <alignment horizontal="center"/>
    </xf>
    <xf numFmtId="0" fontId="22" fillId="0" borderId="7" xfId="28" applyFont="1" applyBorder="1" applyAlignment="1">
      <alignment horizontal="center"/>
    </xf>
    <xf numFmtId="0" fontId="22" fillId="0" borderId="5" xfId="28" applyFont="1" applyBorder="1" applyAlignment="1">
      <alignment horizontal="center"/>
    </xf>
    <xf numFmtId="0" fontId="22" fillId="0" borderId="3" xfId="28" applyFont="1" applyFill="1" applyBorder="1" applyAlignment="1">
      <alignment horizontal="center"/>
    </xf>
    <xf numFmtId="0" fontId="22" fillId="0" borderId="9" xfId="28" applyFont="1" applyBorder="1" applyAlignment="1">
      <alignment horizontal="center"/>
    </xf>
    <xf numFmtId="0" fontId="22" fillId="0" borderId="4" xfId="28" applyFont="1" applyBorder="1" applyAlignment="1">
      <alignment horizontal="center"/>
    </xf>
    <xf numFmtId="0" fontId="22" fillId="0" borderId="3" xfId="28" applyFont="1" applyBorder="1" applyAlignment="1"/>
    <xf numFmtId="0" fontId="22" fillId="0" borderId="6" xfId="28" applyFont="1" applyBorder="1" applyAlignment="1">
      <alignment horizontal="center"/>
    </xf>
    <xf numFmtId="0" fontId="21"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xf numFmtId="39" fontId="24" fillId="0" borderId="6" xfId="22" applyNumberFormat="1" applyFont="1" applyBorder="1" applyAlignment="1">
      <alignment horizontal="center"/>
    </xf>
    <xf numFmtId="0" fontId="0" fillId="0" borderId="9" xfId="0" applyBorder="1"/>
    <xf numFmtId="0" fontId="0" fillId="0" borderId="4" xfId="0" applyBorder="1"/>
    <xf numFmtId="0" fontId="22"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2" fillId="0" borderId="3" xfId="0" applyNumberFormat="1" applyFont="1" applyFill="1" applyBorder="1" applyAlignment="1">
      <alignment wrapText="1"/>
    </xf>
    <xf numFmtId="0" fontId="0" fillId="0" borderId="3" xfId="0" applyBorder="1" applyAlignment="1">
      <alignment wrapText="1"/>
    </xf>
    <xf numFmtId="0" fontId="22" fillId="0" borderId="6" xfId="0" applyFont="1" applyFill="1" applyBorder="1" applyAlignment="1"/>
    <xf numFmtId="0" fontId="0" fillId="0" borderId="9" xfId="0" applyFill="1" applyBorder="1" applyAlignment="1"/>
    <xf numFmtId="0" fontId="0" fillId="0" borderId="4" xfId="0" applyFill="1" applyBorder="1" applyAlignment="1"/>
    <xf numFmtId="0" fontId="22" fillId="0" borderId="6" xfId="0" applyNumberFormat="1" applyFont="1" applyFill="1" applyBorder="1" applyAlignment="1"/>
    <xf numFmtId="0" fontId="24"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24" fillId="0" borderId="6" xfId="0" applyFont="1" applyFill="1" applyBorder="1" applyAlignment="1">
      <alignment horizontal="left"/>
    </xf>
    <xf numFmtId="0" fontId="24" fillId="0" borderId="4" xfId="0" applyFont="1" applyFill="1" applyBorder="1" applyAlignment="1">
      <alignment horizontal="left"/>
    </xf>
    <xf numFmtId="0" fontId="22" fillId="0" borderId="3" xfId="0" applyFont="1" applyFill="1" applyBorder="1" applyAlignment="1">
      <alignment wrapText="1"/>
    </xf>
    <xf numFmtId="0" fontId="0" fillId="0" borderId="0" xfId="0" applyFill="1" applyAlignment="1">
      <alignment wrapText="1"/>
    </xf>
    <xf numFmtId="0" fontId="22"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1" fillId="0" borderId="0" xfId="0" applyFont="1" applyFill="1" applyBorder="1" applyAlignment="1">
      <alignment wrapText="1"/>
    </xf>
    <xf numFmtId="0" fontId="0" fillId="0" borderId="0" xfId="0" applyAlignment="1">
      <alignment wrapText="1"/>
    </xf>
    <xf numFmtId="0" fontId="21" fillId="0" borderId="12" xfId="126" applyFont="1" applyFill="1" applyBorder="1" applyAlignment="1">
      <alignment horizontal="center"/>
    </xf>
    <xf numFmtId="0" fontId="21" fillId="0" borderId="14" xfId="126" applyFont="1" applyFill="1" applyBorder="1" applyAlignment="1">
      <alignment horizontal="center"/>
    </xf>
    <xf numFmtId="0" fontId="0" fillId="0" borderId="14" xfId="0" applyBorder="1" applyAlignment="1"/>
    <xf numFmtId="0" fontId="0" fillId="0" borderId="13" xfId="0" applyBorder="1" applyAlignment="1"/>
    <xf numFmtId="0" fontId="21" fillId="0" borderId="13" xfId="126" applyFont="1" applyFill="1" applyBorder="1" applyAlignment="1">
      <alignment horizontal="center"/>
    </xf>
    <xf numFmtId="173" fontId="21" fillId="0" borderId="58" xfId="126" quotePrefix="1" applyNumberFormat="1" applyFont="1" applyFill="1" applyBorder="1" applyAlignment="1">
      <alignment horizontal="center" vertical="center"/>
    </xf>
    <xf numFmtId="173" fontId="21" fillId="0" borderId="60" xfId="126" quotePrefix="1" applyNumberFormat="1" applyFont="1" applyFill="1" applyBorder="1" applyAlignment="1">
      <alignment horizontal="center" vertical="center"/>
    </xf>
  </cellXfs>
  <cellStyles count="53897">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xfId="53892" builtinId="6"/>
    <cellStyle name="Comma [0] 2" xfId="8718" xr:uid="{00000000-0005-0000-0000-0000811F0000}"/>
    <cellStyle name="Comma [0] 3" xfId="8719" xr:uid="{00000000-0005-0000-0000-0000821F0000}"/>
    <cellStyle name="Comma [0] 4" xfId="53888" xr:uid="{00000000-0005-0000-0000-0000831F0000}"/>
    <cellStyle name="Comma 10" xfId="8720" xr:uid="{00000000-0005-0000-0000-0000841F0000}"/>
    <cellStyle name="Comma 11" xfId="8721" xr:uid="{00000000-0005-0000-0000-0000851F0000}"/>
    <cellStyle name="Comma 12" xfId="8722" xr:uid="{00000000-0005-0000-0000-0000861F0000}"/>
    <cellStyle name="Comma 13" xfId="8723" xr:uid="{00000000-0005-0000-0000-0000871F0000}"/>
    <cellStyle name="Comma 14" xfId="8724" xr:uid="{00000000-0005-0000-0000-0000881F0000}"/>
    <cellStyle name="Comma 15" xfId="8725" xr:uid="{00000000-0005-0000-0000-0000891F0000}"/>
    <cellStyle name="Comma 16" xfId="8726" xr:uid="{00000000-0005-0000-0000-00008A1F0000}"/>
    <cellStyle name="Comma 17" xfId="8727" xr:uid="{00000000-0005-0000-0000-00008B1F0000}"/>
    <cellStyle name="Comma 176" xfId="8728" xr:uid="{00000000-0005-0000-0000-00008C1F0000}"/>
    <cellStyle name="Comma 18" xfId="8729" xr:uid="{00000000-0005-0000-0000-00008D1F0000}"/>
    <cellStyle name="Comma 19" xfId="8730" xr:uid="{00000000-0005-0000-0000-00008E1F0000}"/>
    <cellStyle name="Comma 2" xfId="20" xr:uid="{00000000-0005-0000-0000-00008F1F0000}"/>
    <cellStyle name="Comma 2 2" xfId="21" xr:uid="{00000000-0005-0000-0000-0000901F0000}"/>
    <cellStyle name="Comma 2 2 2" xfId="96" xr:uid="{00000000-0005-0000-0000-0000911F0000}"/>
    <cellStyle name="Comma 2 2 2 2" xfId="8731" xr:uid="{00000000-0005-0000-0000-0000921F0000}"/>
    <cellStyle name="Comma 2 2 3" xfId="8732" xr:uid="{00000000-0005-0000-0000-0000931F0000}"/>
    <cellStyle name="Comma 2 3" xfId="95" xr:uid="{00000000-0005-0000-0000-0000941F0000}"/>
    <cellStyle name="Comma 2 3 2" xfId="8734" xr:uid="{00000000-0005-0000-0000-0000951F0000}"/>
    <cellStyle name="Comma 2 3 3" xfId="8733" xr:uid="{00000000-0005-0000-0000-0000961F0000}"/>
    <cellStyle name="Comma 2 4" xfId="83" xr:uid="{00000000-0005-0000-0000-0000971F0000}"/>
    <cellStyle name="Comma 2 4 2" xfId="8736" xr:uid="{00000000-0005-0000-0000-0000981F0000}"/>
    <cellStyle name="Comma 2 4 3" xfId="8737" xr:uid="{00000000-0005-0000-0000-0000991F0000}"/>
    <cellStyle name="Comma 2 4 3 2" xfId="8738" xr:uid="{00000000-0005-0000-0000-00009A1F0000}"/>
    <cellStyle name="Comma 2 4 4" xfId="8735" xr:uid="{00000000-0005-0000-0000-00009B1F0000}"/>
    <cellStyle name="Comma 2 5" xfId="8739" xr:uid="{00000000-0005-0000-0000-00009C1F0000}"/>
    <cellStyle name="Comma 20" xfId="8740" xr:uid="{00000000-0005-0000-0000-00009D1F0000}"/>
    <cellStyle name="Comma 21" xfId="8741" xr:uid="{00000000-0005-0000-0000-00009E1F0000}"/>
    <cellStyle name="Comma 22" xfId="8742" xr:uid="{00000000-0005-0000-0000-00009F1F0000}"/>
    <cellStyle name="Comma 23" xfId="668" xr:uid="{00000000-0005-0000-0000-0000A01F0000}"/>
    <cellStyle name="Comma 24" xfId="53871" xr:uid="{00000000-0005-0000-0000-0000A11F0000}"/>
    <cellStyle name="Comma 25" xfId="53875" xr:uid="{00000000-0005-0000-0000-0000A21F0000}"/>
    <cellStyle name="Comma 26" xfId="53878" xr:uid="{00000000-0005-0000-0000-0000A31F0000}"/>
    <cellStyle name="Comma 27" xfId="53881" xr:uid="{00000000-0005-0000-0000-0000A41F0000}"/>
    <cellStyle name="Comma 28" xfId="53884" xr:uid="{00000000-0005-0000-0000-0000A51F0000}"/>
    <cellStyle name="Comma 29" xfId="53887" xr:uid="{00000000-0005-0000-0000-0000A61F0000}"/>
    <cellStyle name="Comma 3" xfId="22" xr:uid="{00000000-0005-0000-0000-0000A71F0000}"/>
    <cellStyle name="Comma 3 2" xfId="97" xr:uid="{00000000-0005-0000-0000-0000A81F0000}"/>
    <cellStyle name="Comma 3 2 2" xfId="8744" xr:uid="{00000000-0005-0000-0000-0000A91F0000}"/>
    <cellStyle name="Comma 3 2 2 2" xfId="8745" xr:uid="{00000000-0005-0000-0000-0000AA1F0000}"/>
    <cellStyle name="Comma 3 2 2 3" xfId="8746" xr:uid="{00000000-0005-0000-0000-0000AB1F0000}"/>
    <cellStyle name="Comma 3 2 2 3 2" xfId="8747" xr:uid="{00000000-0005-0000-0000-0000AC1F0000}"/>
    <cellStyle name="Comma 3 2 2 4" xfId="8748" xr:uid="{00000000-0005-0000-0000-0000AD1F0000}"/>
    <cellStyle name="Comma 3 2 2 4 2" xfId="8749" xr:uid="{00000000-0005-0000-0000-0000AE1F0000}"/>
    <cellStyle name="Comma 3 2 3" xfId="8750" xr:uid="{00000000-0005-0000-0000-0000AF1F0000}"/>
    <cellStyle name="Comma 3 2 3 2" xfId="8751" xr:uid="{00000000-0005-0000-0000-0000B01F0000}"/>
    <cellStyle name="Comma 3 2 4" xfId="8752" xr:uid="{00000000-0005-0000-0000-0000B11F0000}"/>
    <cellStyle name="Comma 3 2 5" xfId="8743" xr:uid="{00000000-0005-0000-0000-0000B21F0000}"/>
    <cellStyle name="Comma 3 3" xfId="8753" xr:uid="{00000000-0005-0000-0000-0000B31F0000}"/>
    <cellStyle name="Comma 3 3 2" xfId="8754" xr:uid="{00000000-0005-0000-0000-0000B41F0000}"/>
    <cellStyle name="Comma 3 4" xfId="8755" xr:uid="{00000000-0005-0000-0000-0000B51F0000}"/>
    <cellStyle name="Comma 3 4 2" xfId="8756" xr:uid="{00000000-0005-0000-0000-0000B61F0000}"/>
    <cellStyle name="Comma 3 5" xfId="8757" xr:uid="{00000000-0005-0000-0000-0000B71F0000}"/>
    <cellStyle name="Comma 3 5 2" xfId="8758" xr:uid="{00000000-0005-0000-0000-0000B81F0000}"/>
    <cellStyle name="Comma 3 5 3" xfId="8759" xr:uid="{00000000-0005-0000-0000-0000B91F0000}"/>
    <cellStyle name="Comma 3 5 3 2" xfId="8760" xr:uid="{00000000-0005-0000-0000-0000BA1F0000}"/>
    <cellStyle name="Comma 3 5 4" xfId="8761" xr:uid="{00000000-0005-0000-0000-0000BB1F0000}"/>
    <cellStyle name="Comma 3 5 4 2" xfId="8762" xr:uid="{00000000-0005-0000-0000-0000BC1F0000}"/>
    <cellStyle name="Comma 3 6" xfId="8763" xr:uid="{00000000-0005-0000-0000-0000BD1F0000}"/>
    <cellStyle name="Comma 3 6 2" xfId="8764" xr:uid="{00000000-0005-0000-0000-0000BE1F0000}"/>
    <cellStyle name="Comma 3 7" xfId="8765" xr:uid="{00000000-0005-0000-0000-0000BF1F0000}"/>
    <cellStyle name="Comma 3 8" xfId="671" xr:uid="{00000000-0005-0000-0000-0000C01F0000}"/>
    <cellStyle name="Comma 30" xfId="53891" xr:uid="{00000000-0005-0000-0000-0000C11F0000}"/>
    <cellStyle name="Comma 4" xfId="94" xr:uid="{00000000-0005-0000-0000-0000C21F0000}"/>
    <cellStyle name="Comma 4 2" xfId="8767" xr:uid="{00000000-0005-0000-0000-0000C31F0000}"/>
    <cellStyle name="Comma 4 2 2" xfId="8768" xr:uid="{00000000-0005-0000-0000-0000C41F0000}"/>
    <cellStyle name="Comma 4 3" xfId="8766" xr:uid="{00000000-0005-0000-0000-0000C51F0000}"/>
    <cellStyle name="Comma 5" xfId="139" xr:uid="{00000000-0005-0000-0000-0000C61F0000}"/>
    <cellStyle name="Comma 5 2" xfId="8769" xr:uid="{00000000-0005-0000-0000-0000C71F0000}"/>
    <cellStyle name="Comma 5 2 2" xfId="8770" xr:uid="{00000000-0005-0000-0000-0000C81F0000}"/>
    <cellStyle name="Comma 6" xfId="245" xr:uid="{00000000-0005-0000-0000-0000C91F0000}"/>
    <cellStyle name="Comma 6 2" xfId="254" xr:uid="{00000000-0005-0000-0000-0000CA1F0000}"/>
    <cellStyle name="Comma 6 3" xfId="8771" xr:uid="{00000000-0005-0000-0000-0000CB1F0000}"/>
    <cellStyle name="Comma 6 3 3" xfId="53896" xr:uid="{4C1C0A83-A128-4EA0-9D67-5E1A235371E0}"/>
    <cellStyle name="Comma 7" xfId="8772" xr:uid="{00000000-0005-0000-0000-0000CC1F0000}"/>
    <cellStyle name="Comma 7 2" xfId="8773" xr:uid="{00000000-0005-0000-0000-0000CD1F0000}"/>
    <cellStyle name="Comma 7 3" xfId="8774" xr:uid="{00000000-0005-0000-0000-0000CE1F0000}"/>
    <cellStyle name="Comma 7 3 2" xfId="8775" xr:uid="{00000000-0005-0000-0000-0000CF1F0000}"/>
    <cellStyle name="Comma 7 4" xfId="8776" xr:uid="{00000000-0005-0000-0000-0000D01F0000}"/>
    <cellStyle name="Comma 7 4 2" xfId="8777" xr:uid="{00000000-0005-0000-0000-0000D11F0000}"/>
    <cellStyle name="Comma 8" xfId="133" xr:uid="{00000000-0005-0000-0000-0000D21F0000}"/>
    <cellStyle name="Comma 8 2" xfId="8779" xr:uid="{00000000-0005-0000-0000-0000D31F0000}"/>
    <cellStyle name="Comma 8 2 2" xfId="8780" xr:uid="{00000000-0005-0000-0000-0000D41F0000}"/>
    <cellStyle name="Comma 8 3" xfId="8781" xr:uid="{00000000-0005-0000-0000-0000D51F0000}"/>
    <cellStyle name="Comma 8 4" xfId="8782" xr:uid="{00000000-0005-0000-0000-0000D61F0000}"/>
    <cellStyle name="Comma 8 4 2" xfId="8783" xr:uid="{00000000-0005-0000-0000-0000D71F0000}"/>
    <cellStyle name="Comma 8 5" xfId="8784" xr:uid="{00000000-0005-0000-0000-0000D81F0000}"/>
    <cellStyle name="Comma 8 6" xfId="8778" xr:uid="{00000000-0005-0000-0000-0000D91F0000}"/>
    <cellStyle name="Comma 9" xfId="8785" xr:uid="{00000000-0005-0000-0000-0000DA1F0000}"/>
    <cellStyle name="Comma 9 2" xfId="8786" xr:uid="{00000000-0005-0000-0000-0000DB1F0000}"/>
    <cellStyle name="Comma 9 3" xfId="8787" xr:uid="{00000000-0005-0000-0000-0000DC1F0000}"/>
    <cellStyle name="Comma 9 3 2" xfId="8788" xr:uid="{00000000-0005-0000-0000-0000DD1F0000}"/>
    <cellStyle name="Comma 9 4" xfId="8789" xr:uid="{00000000-0005-0000-0000-0000DE1F0000}"/>
    <cellStyle name="Comma 9 4 2" xfId="8790" xr:uid="{00000000-0005-0000-0000-0000DF1F0000}"/>
    <cellStyle name="Copied" xfId="8791" xr:uid="{00000000-0005-0000-0000-0000E01F0000}"/>
    <cellStyle name="Copied 2" xfId="8792" xr:uid="{00000000-0005-0000-0000-0000E11F0000}"/>
    <cellStyle name="Copied 2 2" xfId="8793" xr:uid="{00000000-0005-0000-0000-0000E21F0000}"/>
    <cellStyle name="Copied 2 2 2" xfId="8794" xr:uid="{00000000-0005-0000-0000-0000E31F0000}"/>
    <cellStyle name="Copied 2 3" xfId="8795" xr:uid="{00000000-0005-0000-0000-0000E41F0000}"/>
    <cellStyle name="Copied 2 3 2" xfId="8796" xr:uid="{00000000-0005-0000-0000-0000E51F0000}"/>
    <cellStyle name="Copied 2 3 2 2" xfId="8797" xr:uid="{00000000-0005-0000-0000-0000E61F0000}"/>
    <cellStyle name="Copied 2 3 3" xfId="8798" xr:uid="{00000000-0005-0000-0000-0000E71F0000}"/>
    <cellStyle name="Copied 2 4" xfId="8799" xr:uid="{00000000-0005-0000-0000-0000E81F0000}"/>
    <cellStyle name="Copied 3" xfId="8800" xr:uid="{00000000-0005-0000-0000-0000E91F0000}"/>
    <cellStyle name="Copied 3 2" xfId="8801" xr:uid="{00000000-0005-0000-0000-0000EA1F0000}"/>
    <cellStyle name="Copied 3 2 2" xfId="8802" xr:uid="{00000000-0005-0000-0000-0000EB1F0000}"/>
    <cellStyle name="Copied 3 3" xfId="8803" xr:uid="{00000000-0005-0000-0000-0000EC1F0000}"/>
    <cellStyle name="Copied 4" xfId="8804" xr:uid="{00000000-0005-0000-0000-0000ED1F0000}"/>
    <cellStyle name="Copied 4 2" xfId="8805" xr:uid="{00000000-0005-0000-0000-0000EE1F0000}"/>
    <cellStyle name="Copied 4 2 2" xfId="8806" xr:uid="{00000000-0005-0000-0000-0000EF1F0000}"/>
    <cellStyle name="Copied 4 3" xfId="8807" xr:uid="{00000000-0005-0000-0000-0000F01F0000}"/>
    <cellStyle name="Copied 5" xfId="8808" xr:uid="{00000000-0005-0000-0000-0000F11F0000}"/>
    <cellStyle name="Copied 5 2" xfId="8809" xr:uid="{00000000-0005-0000-0000-0000F21F0000}"/>
    <cellStyle name="Copied 6" xfId="8810" xr:uid="{00000000-0005-0000-0000-0000F31F0000}"/>
    <cellStyle name="Copied 6 2" xfId="8811" xr:uid="{00000000-0005-0000-0000-0000F41F0000}"/>
    <cellStyle name="Copied 7" xfId="8812" xr:uid="{00000000-0005-0000-0000-0000F51F0000}"/>
    <cellStyle name="CostNoZero" xfId="8813" xr:uid="{00000000-0005-0000-0000-0000F61F0000}"/>
    <cellStyle name="Currency" xfId="23" builtinId="4"/>
    <cellStyle name="Currency 10" xfId="53703" xr:uid="{00000000-0005-0000-0000-0000F81F0000}"/>
    <cellStyle name="Currency 11" xfId="53873" xr:uid="{00000000-0005-0000-0000-0000F91F0000}"/>
    <cellStyle name="Currency 2" xfId="98" xr:uid="{00000000-0005-0000-0000-0000FA1F0000}"/>
    <cellStyle name="Currency 2 2" xfId="8815" xr:uid="{00000000-0005-0000-0000-0000FB1F0000}"/>
    <cellStyle name="Currency 2 2 2" xfId="8816" xr:uid="{00000000-0005-0000-0000-0000FC1F0000}"/>
    <cellStyle name="Currency 2 2 2 2" xfId="8817" xr:uid="{00000000-0005-0000-0000-0000FD1F0000}"/>
    <cellStyle name="Currency 2 2 2 3" xfId="8818" xr:uid="{00000000-0005-0000-0000-0000FE1F0000}"/>
    <cellStyle name="Currency 2 2 2 3 2" xfId="8819" xr:uid="{00000000-0005-0000-0000-0000FF1F0000}"/>
    <cellStyle name="Currency 2 2 2 4" xfId="8820" xr:uid="{00000000-0005-0000-0000-000000200000}"/>
    <cellStyle name="Currency 2 2 2 4 2" xfId="8821" xr:uid="{00000000-0005-0000-0000-000001200000}"/>
    <cellStyle name="Currency 2 2 3" xfId="8822" xr:uid="{00000000-0005-0000-0000-000002200000}"/>
    <cellStyle name="Currency 2 2 3 2" xfId="8823" xr:uid="{00000000-0005-0000-0000-000003200000}"/>
    <cellStyle name="Currency 2 2 4" xfId="8824" xr:uid="{00000000-0005-0000-0000-000004200000}"/>
    <cellStyle name="Currency 2 3" xfId="8825" xr:uid="{00000000-0005-0000-0000-000005200000}"/>
    <cellStyle name="Currency 2 3 2" xfId="8826" xr:uid="{00000000-0005-0000-0000-000006200000}"/>
    <cellStyle name="Currency 2 3 3" xfId="8827" xr:uid="{00000000-0005-0000-0000-000007200000}"/>
    <cellStyle name="Currency 2 3 3 2" xfId="8828" xr:uid="{00000000-0005-0000-0000-000008200000}"/>
    <cellStyle name="Currency 2 3 4" xfId="8829" xr:uid="{00000000-0005-0000-0000-000009200000}"/>
    <cellStyle name="Currency 2 3 4 2" xfId="8830" xr:uid="{00000000-0005-0000-0000-00000A200000}"/>
    <cellStyle name="Currency 2 4" xfId="8831" xr:uid="{00000000-0005-0000-0000-00000B200000}"/>
    <cellStyle name="Currency 2 4 2" xfId="8832" xr:uid="{00000000-0005-0000-0000-00000C200000}"/>
    <cellStyle name="Currency 2 5" xfId="8833" xr:uid="{00000000-0005-0000-0000-00000D200000}"/>
    <cellStyle name="Currency 2 6" xfId="8834" xr:uid="{00000000-0005-0000-0000-00000E200000}"/>
    <cellStyle name="Currency 2 7" xfId="8814" xr:uid="{00000000-0005-0000-0000-00000F200000}"/>
    <cellStyle name="Currency 3" xfId="140" xr:uid="{00000000-0005-0000-0000-000010200000}"/>
    <cellStyle name="Currency 3 2" xfId="8836" xr:uid="{00000000-0005-0000-0000-000011200000}"/>
    <cellStyle name="Currency 3 2 2" xfId="8837" xr:uid="{00000000-0005-0000-0000-000012200000}"/>
    <cellStyle name="Currency 3 3" xfId="8838" xr:uid="{00000000-0005-0000-0000-000013200000}"/>
    <cellStyle name="Currency 3 3 2" xfId="8839" xr:uid="{00000000-0005-0000-0000-000014200000}"/>
    <cellStyle name="Currency 3 3 3" xfId="8840" xr:uid="{00000000-0005-0000-0000-000015200000}"/>
    <cellStyle name="Currency 3 3 3 2" xfId="8841" xr:uid="{00000000-0005-0000-0000-000016200000}"/>
    <cellStyle name="Currency 3 3 4" xfId="8842" xr:uid="{00000000-0005-0000-0000-000017200000}"/>
    <cellStyle name="Currency 3 3 4 2" xfId="8843" xr:uid="{00000000-0005-0000-0000-000018200000}"/>
    <cellStyle name="Currency 3 4" xfId="8844" xr:uid="{00000000-0005-0000-0000-000019200000}"/>
    <cellStyle name="Currency 3 5" xfId="8835" xr:uid="{00000000-0005-0000-0000-00001A200000}"/>
    <cellStyle name="Currency 4" xfId="255" xr:uid="{00000000-0005-0000-0000-00001B200000}"/>
    <cellStyle name="Currency 4 2" xfId="8846" xr:uid="{00000000-0005-0000-0000-00001C200000}"/>
    <cellStyle name="Currency 4 2 2" xfId="8847" xr:uid="{00000000-0005-0000-0000-00001D200000}"/>
    <cellStyle name="Currency 4 3" xfId="8848" xr:uid="{00000000-0005-0000-0000-00001E200000}"/>
    <cellStyle name="Currency 4 3 2" xfId="8849" xr:uid="{00000000-0005-0000-0000-00001F200000}"/>
    <cellStyle name="Currency 4 4" xfId="8845" xr:uid="{00000000-0005-0000-0000-000020200000}"/>
    <cellStyle name="Currency 5" xfId="8850" xr:uid="{00000000-0005-0000-0000-000021200000}"/>
    <cellStyle name="Currency 5 2" xfId="8851" xr:uid="{00000000-0005-0000-0000-000022200000}"/>
    <cellStyle name="Currency 6" xfId="8852" xr:uid="{00000000-0005-0000-0000-000023200000}"/>
    <cellStyle name="Currency 6 2" xfId="8853" xr:uid="{00000000-0005-0000-0000-000024200000}"/>
    <cellStyle name="Currency 6 2 2" xfId="8854" xr:uid="{00000000-0005-0000-0000-000025200000}"/>
    <cellStyle name="Currency 6 3" xfId="8855" xr:uid="{00000000-0005-0000-0000-000026200000}"/>
    <cellStyle name="Currency 6 3 2" xfId="8856" xr:uid="{00000000-0005-0000-0000-000027200000}"/>
    <cellStyle name="Currency 6 4" xfId="8857" xr:uid="{00000000-0005-0000-0000-000028200000}"/>
    <cellStyle name="Currency 7" xfId="8858" xr:uid="{00000000-0005-0000-0000-000029200000}"/>
    <cellStyle name="Currency 7 2" xfId="8859" xr:uid="{00000000-0005-0000-0000-00002A200000}"/>
    <cellStyle name="Currency 8" xfId="8860" xr:uid="{00000000-0005-0000-0000-00002B200000}"/>
    <cellStyle name="Currency 9" xfId="8861" xr:uid="{00000000-0005-0000-0000-00002C200000}"/>
    <cellStyle name="Currency.00" xfId="8862" xr:uid="{00000000-0005-0000-0000-00002D200000}"/>
    <cellStyle name="Date" xfId="8863" xr:uid="{00000000-0005-0000-0000-00002E200000}"/>
    <cellStyle name="Date (m/d/yy)" xfId="8864" xr:uid="{00000000-0005-0000-0000-00002F200000}"/>
    <cellStyle name="Date (m/d/yy) 2" xfId="8865" xr:uid="{00000000-0005-0000-0000-000030200000}"/>
    <cellStyle name="Date_~6497230" xfId="8866" xr:uid="{00000000-0005-0000-0000-000031200000}"/>
    <cellStyle name="Decimal" xfId="8867" xr:uid="{00000000-0005-0000-0000-000032200000}"/>
    <cellStyle name="Emphasis 1" xfId="24" xr:uid="{00000000-0005-0000-0000-000033200000}"/>
    <cellStyle name="Emphasis 1 10" xfId="8868" xr:uid="{00000000-0005-0000-0000-000034200000}"/>
    <cellStyle name="Emphasis 1 2" xfId="8869" xr:uid="{00000000-0005-0000-0000-000035200000}"/>
    <cellStyle name="Emphasis 1 2 2" xfId="8870" xr:uid="{00000000-0005-0000-0000-000036200000}"/>
    <cellStyle name="Emphasis 1 2 2 2" xfId="8871" xr:uid="{00000000-0005-0000-0000-000037200000}"/>
    <cellStyle name="Emphasis 1 2 3" xfId="8872" xr:uid="{00000000-0005-0000-0000-000038200000}"/>
    <cellStyle name="Emphasis 1 2 3 2" xfId="8873" xr:uid="{00000000-0005-0000-0000-000039200000}"/>
    <cellStyle name="Emphasis 1 2 3 2 2" xfId="8874" xr:uid="{00000000-0005-0000-0000-00003A200000}"/>
    <cellStyle name="Emphasis 1 2 3 3" xfId="8875" xr:uid="{00000000-0005-0000-0000-00003B200000}"/>
    <cellStyle name="Emphasis 1 2 4" xfId="8876" xr:uid="{00000000-0005-0000-0000-00003C200000}"/>
    <cellStyle name="Emphasis 1 2 4 2" xfId="8877" xr:uid="{00000000-0005-0000-0000-00003D200000}"/>
    <cellStyle name="Emphasis 1 2 4 2 2" xfId="8878" xr:uid="{00000000-0005-0000-0000-00003E200000}"/>
    <cellStyle name="Emphasis 1 2 4 3" xfId="8879" xr:uid="{00000000-0005-0000-0000-00003F200000}"/>
    <cellStyle name="Emphasis 1 2 5" xfId="8880" xr:uid="{00000000-0005-0000-0000-000040200000}"/>
    <cellStyle name="Emphasis 1 3" xfId="8881" xr:uid="{00000000-0005-0000-0000-000041200000}"/>
    <cellStyle name="Emphasis 1 3 2" xfId="8882" xr:uid="{00000000-0005-0000-0000-000042200000}"/>
    <cellStyle name="Emphasis 1 3 2 2" xfId="8883" xr:uid="{00000000-0005-0000-0000-000043200000}"/>
    <cellStyle name="Emphasis 1 3 3" xfId="8884" xr:uid="{00000000-0005-0000-0000-000044200000}"/>
    <cellStyle name="Emphasis 1 4" xfId="8885" xr:uid="{00000000-0005-0000-0000-000045200000}"/>
    <cellStyle name="Emphasis 1 4 2" xfId="8886" xr:uid="{00000000-0005-0000-0000-000046200000}"/>
    <cellStyle name="Emphasis 1 5" xfId="8887" xr:uid="{00000000-0005-0000-0000-000047200000}"/>
    <cellStyle name="Emphasis 1 5 2" xfId="8888" xr:uid="{00000000-0005-0000-0000-000048200000}"/>
    <cellStyle name="Emphasis 1 6" xfId="8889" xr:uid="{00000000-0005-0000-0000-000049200000}"/>
    <cellStyle name="Emphasis 1 6 2" xfId="8890" xr:uid="{00000000-0005-0000-0000-00004A200000}"/>
    <cellStyle name="Emphasis 1 6 2 2" xfId="8891" xr:uid="{00000000-0005-0000-0000-00004B200000}"/>
    <cellStyle name="Emphasis 1 6 3" xfId="8892" xr:uid="{00000000-0005-0000-0000-00004C200000}"/>
    <cellStyle name="Emphasis 1 7" xfId="8893" xr:uid="{00000000-0005-0000-0000-00004D200000}"/>
    <cellStyle name="Emphasis 1 7 2" xfId="8894" xr:uid="{00000000-0005-0000-0000-00004E200000}"/>
    <cellStyle name="Emphasis 1 8" xfId="8895" xr:uid="{00000000-0005-0000-0000-00004F200000}"/>
    <cellStyle name="Emphasis 1 8 2" xfId="8896" xr:uid="{00000000-0005-0000-0000-000050200000}"/>
    <cellStyle name="Emphasis 1 9" xfId="8897" xr:uid="{00000000-0005-0000-0000-000051200000}"/>
    <cellStyle name="Emphasis 2" xfId="25" xr:uid="{00000000-0005-0000-0000-000052200000}"/>
    <cellStyle name="Emphasis 2 10" xfId="8898" xr:uid="{00000000-0005-0000-0000-000053200000}"/>
    <cellStyle name="Emphasis 2 2" xfId="8899" xr:uid="{00000000-0005-0000-0000-000054200000}"/>
    <cellStyle name="Emphasis 2 2 2" xfId="8900" xr:uid="{00000000-0005-0000-0000-000055200000}"/>
    <cellStyle name="Emphasis 2 2 2 2" xfId="8901" xr:uid="{00000000-0005-0000-0000-000056200000}"/>
    <cellStyle name="Emphasis 2 2 3" xfId="8902" xr:uid="{00000000-0005-0000-0000-000057200000}"/>
    <cellStyle name="Emphasis 2 2 3 2" xfId="8903" xr:uid="{00000000-0005-0000-0000-000058200000}"/>
    <cellStyle name="Emphasis 2 2 3 2 2" xfId="8904" xr:uid="{00000000-0005-0000-0000-000059200000}"/>
    <cellStyle name="Emphasis 2 2 3 3" xfId="8905" xr:uid="{00000000-0005-0000-0000-00005A200000}"/>
    <cellStyle name="Emphasis 2 2 4" xfId="8906" xr:uid="{00000000-0005-0000-0000-00005B200000}"/>
    <cellStyle name="Emphasis 2 2 4 2" xfId="8907" xr:uid="{00000000-0005-0000-0000-00005C200000}"/>
    <cellStyle name="Emphasis 2 2 4 2 2" xfId="8908" xr:uid="{00000000-0005-0000-0000-00005D200000}"/>
    <cellStyle name="Emphasis 2 2 4 3" xfId="8909" xr:uid="{00000000-0005-0000-0000-00005E200000}"/>
    <cellStyle name="Emphasis 2 2 5" xfId="8910" xr:uid="{00000000-0005-0000-0000-00005F200000}"/>
    <cellStyle name="Emphasis 2 3" xfId="8911" xr:uid="{00000000-0005-0000-0000-000060200000}"/>
    <cellStyle name="Emphasis 2 3 2" xfId="8912" xr:uid="{00000000-0005-0000-0000-000061200000}"/>
    <cellStyle name="Emphasis 2 3 2 2" xfId="8913" xr:uid="{00000000-0005-0000-0000-000062200000}"/>
    <cellStyle name="Emphasis 2 3 3" xfId="8914" xr:uid="{00000000-0005-0000-0000-000063200000}"/>
    <cellStyle name="Emphasis 2 4" xfId="8915" xr:uid="{00000000-0005-0000-0000-000064200000}"/>
    <cellStyle name="Emphasis 2 4 2" xfId="8916" xr:uid="{00000000-0005-0000-0000-000065200000}"/>
    <cellStyle name="Emphasis 2 5" xfId="8917" xr:uid="{00000000-0005-0000-0000-000066200000}"/>
    <cellStyle name="Emphasis 2 5 2" xfId="8918" xr:uid="{00000000-0005-0000-0000-000067200000}"/>
    <cellStyle name="Emphasis 2 6" xfId="8919" xr:uid="{00000000-0005-0000-0000-000068200000}"/>
    <cellStyle name="Emphasis 2 6 2" xfId="8920" xr:uid="{00000000-0005-0000-0000-000069200000}"/>
    <cellStyle name="Emphasis 2 6 2 2" xfId="8921" xr:uid="{00000000-0005-0000-0000-00006A200000}"/>
    <cellStyle name="Emphasis 2 6 3" xfId="8922" xr:uid="{00000000-0005-0000-0000-00006B200000}"/>
    <cellStyle name="Emphasis 2 7" xfId="8923" xr:uid="{00000000-0005-0000-0000-00006C200000}"/>
    <cellStyle name="Emphasis 2 7 2" xfId="8924" xr:uid="{00000000-0005-0000-0000-00006D200000}"/>
    <cellStyle name="Emphasis 2 8" xfId="8925" xr:uid="{00000000-0005-0000-0000-00006E200000}"/>
    <cellStyle name="Emphasis 2 8 2" xfId="8926" xr:uid="{00000000-0005-0000-0000-00006F200000}"/>
    <cellStyle name="Emphasis 2 9" xfId="8927" xr:uid="{00000000-0005-0000-0000-000070200000}"/>
    <cellStyle name="Emphasis 3" xfId="26" xr:uid="{00000000-0005-0000-0000-000071200000}"/>
    <cellStyle name="Emphasis 3 2" xfId="8928" xr:uid="{00000000-0005-0000-0000-000072200000}"/>
    <cellStyle name="Emphasis 3 2 2" xfId="8929" xr:uid="{00000000-0005-0000-0000-000073200000}"/>
    <cellStyle name="Emphasis 3 2 2 2" xfId="8930" xr:uid="{00000000-0005-0000-0000-000074200000}"/>
    <cellStyle name="Emphasis 3 2 3" xfId="8931" xr:uid="{00000000-0005-0000-0000-000075200000}"/>
    <cellStyle name="Emphasis 3 2 3 2" xfId="8932" xr:uid="{00000000-0005-0000-0000-000076200000}"/>
    <cellStyle name="Emphasis 3 2 3 2 2" xfId="8933" xr:uid="{00000000-0005-0000-0000-000077200000}"/>
    <cellStyle name="Emphasis 3 2 3 3" xfId="8934" xr:uid="{00000000-0005-0000-0000-000078200000}"/>
    <cellStyle name="Emphasis 3 2 4" xfId="8935" xr:uid="{00000000-0005-0000-0000-000079200000}"/>
    <cellStyle name="Emphasis 3 3" xfId="8936" xr:uid="{00000000-0005-0000-0000-00007A200000}"/>
    <cellStyle name="Emphasis 3 3 2" xfId="8937" xr:uid="{00000000-0005-0000-0000-00007B200000}"/>
    <cellStyle name="Emphasis 3 3 2 2" xfId="8938" xr:uid="{00000000-0005-0000-0000-00007C200000}"/>
    <cellStyle name="Emphasis 3 3 3" xfId="8939" xr:uid="{00000000-0005-0000-0000-00007D200000}"/>
    <cellStyle name="Emphasis 3 4" xfId="8940" xr:uid="{00000000-0005-0000-0000-00007E200000}"/>
    <cellStyle name="Emphasis 3 4 2" xfId="8941" xr:uid="{00000000-0005-0000-0000-00007F200000}"/>
    <cellStyle name="Emphasis 3 5" xfId="8942" xr:uid="{00000000-0005-0000-0000-000080200000}"/>
    <cellStyle name="Emphasis 3 5 2" xfId="8943" xr:uid="{00000000-0005-0000-0000-000081200000}"/>
    <cellStyle name="Emphasis 3 6" xfId="8944" xr:uid="{00000000-0005-0000-0000-000082200000}"/>
    <cellStyle name="Emphasis 3 7" xfId="8945" xr:uid="{00000000-0005-0000-0000-000083200000}"/>
    <cellStyle name="Entered" xfId="8946" xr:uid="{00000000-0005-0000-0000-000084200000}"/>
    <cellStyle name="Entered 2" xfId="8947" xr:uid="{00000000-0005-0000-0000-000085200000}"/>
    <cellStyle name="Entered 2 2" xfId="8948" xr:uid="{00000000-0005-0000-0000-000086200000}"/>
    <cellStyle name="Entered 2 2 2" xfId="8949" xr:uid="{00000000-0005-0000-0000-000087200000}"/>
    <cellStyle name="Entered 2 3" xfId="8950" xr:uid="{00000000-0005-0000-0000-000088200000}"/>
    <cellStyle name="Entered 2 3 2" xfId="8951" xr:uid="{00000000-0005-0000-0000-000089200000}"/>
    <cellStyle name="Entered 2 3 2 2" xfId="8952" xr:uid="{00000000-0005-0000-0000-00008A200000}"/>
    <cellStyle name="Entered 2 3 3" xfId="8953" xr:uid="{00000000-0005-0000-0000-00008B200000}"/>
    <cellStyle name="Entered 2 4" xfId="8954" xr:uid="{00000000-0005-0000-0000-00008C200000}"/>
    <cellStyle name="Entered 3" xfId="8955" xr:uid="{00000000-0005-0000-0000-00008D200000}"/>
    <cellStyle name="Entered 3 2" xfId="8956" xr:uid="{00000000-0005-0000-0000-00008E200000}"/>
    <cellStyle name="Entered 3 2 2" xfId="8957" xr:uid="{00000000-0005-0000-0000-00008F200000}"/>
    <cellStyle name="Entered 3 3" xfId="8958" xr:uid="{00000000-0005-0000-0000-000090200000}"/>
    <cellStyle name="Entered 4" xfId="8959" xr:uid="{00000000-0005-0000-0000-000091200000}"/>
    <cellStyle name="Entered 4 2" xfId="8960" xr:uid="{00000000-0005-0000-0000-000092200000}"/>
    <cellStyle name="Entered 4 2 2" xfId="8961" xr:uid="{00000000-0005-0000-0000-000093200000}"/>
    <cellStyle name="Entered 4 3" xfId="8962" xr:uid="{00000000-0005-0000-0000-000094200000}"/>
    <cellStyle name="Entered 5" xfId="8963" xr:uid="{00000000-0005-0000-0000-000095200000}"/>
    <cellStyle name="Entered 5 2" xfId="8964" xr:uid="{00000000-0005-0000-0000-000096200000}"/>
    <cellStyle name="Entered 6" xfId="8965" xr:uid="{00000000-0005-0000-0000-000097200000}"/>
    <cellStyle name="Entered 6 2" xfId="8966" xr:uid="{00000000-0005-0000-0000-000098200000}"/>
    <cellStyle name="Entered 7" xfId="8967" xr:uid="{00000000-0005-0000-0000-000099200000}"/>
    <cellStyle name="Euro" xfId="8968" xr:uid="{00000000-0005-0000-0000-00009A200000}"/>
    <cellStyle name="Euro 2" xfId="8969" xr:uid="{00000000-0005-0000-0000-00009B200000}"/>
    <cellStyle name="Euro 2 2" xfId="8970" xr:uid="{00000000-0005-0000-0000-00009C200000}"/>
    <cellStyle name="Euro 2 2 2" xfId="8971" xr:uid="{00000000-0005-0000-0000-00009D200000}"/>
    <cellStyle name="Euro 2 2 2 2" xfId="8972" xr:uid="{00000000-0005-0000-0000-00009E200000}"/>
    <cellStyle name="Euro 2 2 3" xfId="8973" xr:uid="{00000000-0005-0000-0000-00009F200000}"/>
    <cellStyle name="Euro 2 3" xfId="8974" xr:uid="{00000000-0005-0000-0000-0000A0200000}"/>
    <cellStyle name="Euro 2 3 2" xfId="8975" xr:uid="{00000000-0005-0000-0000-0000A1200000}"/>
    <cellStyle name="Euro 2 3 2 2" xfId="8976" xr:uid="{00000000-0005-0000-0000-0000A2200000}"/>
    <cellStyle name="Euro 2 3 3" xfId="8977" xr:uid="{00000000-0005-0000-0000-0000A3200000}"/>
    <cellStyle name="Euro 2 4" xfId="8978" xr:uid="{00000000-0005-0000-0000-0000A4200000}"/>
    <cellStyle name="Euro 3" xfId="8979" xr:uid="{00000000-0005-0000-0000-0000A5200000}"/>
    <cellStyle name="Euro 3 2" xfId="8980" xr:uid="{00000000-0005-0000-0000-0000A6200000}"/>
    <cellStyle name="Euro 3 2 2" xfId="8981" xr:uid="{00000000-0005-0000-0000-0000A7200000}"/>
    <cellStyle name="Euro 3 3" xfId="8982" xr:uid="{00000000-0005-0000-0000-0000A8200000}"/>
    <cellStyle name="Euro 4" xfId="8983" xr:uid="{00000000-0005-0000-0000-0000A9200000}"/>
    <cellStyle name="Euro 4 2" xfId="8984" xr:uid="{00000000-0005-0000-0000-0000AA200000}"/>
    <cellStyle name="Euro 4 2 2" xfId="8985" xr:uid="{00000000-0005-0000-0000-0000AB200000}"/>
    <cellStyle name="Euro 4 3" xfId="8986" xr:uid="{00000000-0005-0000-0000-0000AC200000}"/>
    <cellStyle name="Euro 5" xfId="8987" xr:uid="{00000000-0005-0000-0000-0000AD200000}"/>
    <cellStyle name="Euro 5 2" xfId="8988" xr:uid="{00000000-0005-0000-0000-0000AE200000}"/>
    <cellStyle name="Euro 6" xfId="8989" xr:uid="{00000000-0005-0000-0000-0000AF200000}"/>
    <cellStyle name="Explanatory Text 2" xfId="8990" xr:uid="{00000000-0005-0000-0000-0000B0200000}"/>
    <cellStyle name="Explanatory Text 2 10" xfId="8991" xr:uid="{00000000-0005-0000-0000-0000B1200000}"/>
    <cellStyle name="Explanatory Text 2 2" xfId="8992" xr:uid="{00000000-0005-0000-0000-0000B2200000}"/>
    <cellStyle name="Explanatory Text 2 2 2" xfId="8993" xr:uid="{00000000-0005-0000-0000-0000B3200000}"/>
    <cellStyle name="Explanatory Text 2 2 2 2" xfId="8994" xr:uid="{00000000-0005-0000-0000-0000B4200000}"/>
    <cellStyle name="Explanatory Text 2 2 3" xfId="8995" xr:uid="{00000000-0005-0000-0000-0000B5200000}"/>
    <cellStyle name="Explanatory Text 2 2 3 2" xfId="8996" xr:uid="{00000000-0005-0000-0000-0000B6200000}"/>
    <cellStyle name="Explanatory Text 2 2 3 2 2" xfId="8997" xr:uid="{00000000-0005-0000-0000-0000B7200000}"/>
    <cellStyle name="Explanatory Text 2 2 3 3" xfId="8998" xr:uid="{00000000-0005-0000-0000-0000B8200000}"/>
    <cellStyle name="Explanatory Text 2 2 4" xfId="8999" xr:uid="{00000000-0005-0000-0000-0000B9200000}"/>
    <cellStyle name="Explanatory Text 2 3" xfId="9000" xr:uid="{00000000-0005-0000-0000-0000BA200000}"/>
    <cellStyle name="Explanatory Text 2 3 2" xfId="9001" xr:uid="{00000000-0005-0000-0000-0000BB200000}"/>
    <cellStyle name="Explanatory Text 2 3 2 2" xfId="9002" xr:uid="{00000000-0005-0000-0000-0000BC200000}"/>
    <cellStyle name="Explanatory Text 2 3 3" xfId="9003" xr:uid="{00000000-0005-0000-0000-0000BD200000}"/>
    <cellStyle name="Explanatory Text 2 3 3 2" xfId="9004" xr:uid="{00000000-0005-0000-0000-0000BE200000}"/>
    <cellStyle name="Explanatory Text 2 3 3 2 2" xfId="9005" xr:uid="{00000000-0005-0000-0000-0000BF200000}"/>
    <cellStyle name="Explanatory Text 2 3 3 3" xfId="9006" xr:uid="{00000000-0005-0000-0000-0000C0200000}"/>
    <cellStyle name="Explanatory Text 2 3 4" xfId="9007" xr:uid="{00000000-0005-0000-0000-0000C1200000}"/>
    <cellStyle name="Explanatory Text 2 4" xfId="9008" xr:uid="{00000000-0005-0000-0000-0000C2200000}"/>
    <cellStyle name="Explanatory Text 2 4 2" xfId="9009" xr:uid="{00000000-0005-0000-0000-0000C3200000}"/>
    <cellStyle name="Explanatory Text 2 4 2 2" xfId="9010" xr:uid="{00000000-0005-0000-0000-0000C4200000}"/>
    <cellStyle name="Explanatory Text 2 4 3" xfId="9011" xr:uid="{00000000-0005-0000-0000-0000C5200000}"/>
    <cellStyle name="Explanatory Text 2 5" xfId="9012" xr:uid="{00000000-0005-0000-0000-0000C6200000}"/>
    <cellStyle name="Explanatory Text 2 5 2" xfId="9013" xr:uid="{00000000-0005-0000-0000-0000C7200000}"/>
    <cellStyle name="Explanatory Text 2 5 2 2" xfId="9014" xr:uid="{00000000-0005-0000-0000-0000C8200000}"/>
    <cellStyle name="Explanatory Text 2 5 3" xfId="9015" xr:uid="{00000000-0005-0000-0000-0000C9200000}"/>
    <cellStyle name="Explanatory Text 2 5 3 2" xfId="9016" xr:uid="{00000000-0005-0000-0000-0000CA200000}"/>
    <cellStyle name="Explanatory Text 2 5 3 2 2" xfId="9017" xr:uid="{00000000-0005-0000-0000-0000CB200000}"/>
    <cellStyle name="Explanatory Text 2 5 3 3" xfId="9018" xr:uid="{00000000-0005-0000-0000-0000CC200000}"/>
    <cellStyle name="Explanatory Text 2 5 4" xfId="9019" xr:uid="{00000000-0005-0000-0000-0000CD200000}"/>
    <cellStyle name="Explanatory Text 2 6" xfId="9020" xr:uid="{00000000-0005-0000-0000-0000CE200000}"/>
    <cellStyle name="Explanatory Text 2 6 2" xfId="9021" xr:uid="{00000000-0005-0000-0000-0000CF200000}"/>
    <cellStyle name="Explanatory Text 2 7" xfId="9022" xr:uid="{00000000-0005-0000-0000-0000D0200000}"/>
    <cellStyle name="Explanatory Text 2 7 2" xfId="9023" xr:uid="{00000000-0005-0000-0000-0000D1200000}"/>
    <cellStyle name="Explanatory Text 2 8" xfId="9024" xr:uid="{00000000-0005-0000-0000-0000D2200000}"/>
    <cellStyle name="Explanatory Text 2 8 2" xfId="9025" xr:uid="{00000000-0005-0000-0000-0000D3200000}"/>
    <cellStyle name="Explanatory Text 2 8 2 2" xfId="9026" xr:uid="{00000000-0005-0000-0000-0000D4200000}"/>
    <cellStyle name="Explanatory Text 2 8 3" xfId="9027" xr:uid="{00000000-0005-0000-0000-0000D5200000}"/>
    <cellStyle name="Explanatory Text 2 9" xfId="9028" xr:uid="{00000000-0005-0000-0000-0000D6200000}"/>
    <cellStyle name="Explanatory Text 2 9 2" xfId="9029" xr:uid="{00000000-0005-0000-0000-0000D7200000}"/>
    <cellStyle name="Explanatory Text 2 9 2 2" xfId="9030" xr:uid="{00000000-0005-0000-0000-0000D8200000}"/>
    <cellStyle name="Explanatory Text 2 9 3" xfId="9031" xr:uid="{00000000-0005-0000-0000-0000D9200000}"/>
    <cellStyle name="Explanatory Text 3" xfId="9032" xr:uid="{00000000-0005-0000-0000-0000DA200000}"/>
    <cellStyle name="Explanatory Text 3 2" xfId="9033" xr:uid="{00000000-0005-0000-0000-0000DB200000}"/>
    <cellStyle name="Explanatory Text 3 2 2" xfId="9034" xr:uid="{00000000-0005-0000-0000-0000DC200000}"/>
    <cellStyle name="Explanatory Text 3 3" xfId="9035" xr:uid="{00000000-0005-0000-0000-0000DD200000}"/>
    <cellStyle name="Explanatory Text 3 3 2" xfId="9036" xr:uid="{00000000-0005-0000-0000-0000DE200000}"/>
    <cellStyle name="Explanatory Text 3 4" xfId="9037" xr:uid="{00000000-0005-0000-0000-0000DF200000}"/>
    <cellStyle name="Explanatory Text 3 4 2" xfId="9038" xr:uid="{00000000-0005-0000-0000-0000E0200000}"/>
    <cellStyle name="Explanatory Text 3 4 2 2" xfId="9039" xr:uid="{00000000-0005-0000-0000-0000E1200000}"/>
    <cellStyle name="Explanatory Text 3 4 3" xfId="9040" xr:uid="{00000000-0005-0000-0000-0000E2200000}"/>
    <cellStyle name="Explanatory Text 3 5" xfId="9041" xr:uid="{00000000-0005-0000-0000-0000E3200000}"/>
    <cellStyle name="Explanatory Text 4" xfId="9042" xr:uid="{00000000-0005-0000-0000-0000E4200000}"/>
    <cellStyle name="Explanatory Text 4 2" xfId="9043" xr:uid="{00000000-0005-0000-0000-0000E5200000}"/>
    <cellStyle name="Explanatory Text 4 2 2" xfId="9044" xr:uid="{00000000-0005-0000-0000-0000E6200000}"/>
    <cellStyle name="Explanatory Text 4 3" xfId="9045" xr:uid="{00000000-0005-0000-0000-0000E7200000}"/>
    <cellStyle name="Explanatory Text 4 3 2" xfId="9046" xr:uid="{00000000-0005-0000-0000-0000E8200000}"/>
    <cellStyle name="Explanatory Text 4 3 2 2" xfId="9047" xr:uid="{00000000-0005-0000-0000-0000E9200000}"/>
    <cellStyle name="Explanatory Text 4 3 3" xfId="9048" xr:uid="{00000000-0005-0000-0000-0000EA200000}"/>
    <cellStyle name="Explanatory Text 4 4" xfId="9049" xr:uid="{00000000-0005-0000-0000-0000EB200000}"/>
    <cellStyle name="Explanatory Text 5" xfId="9050" xr:uid="{00000000-0005-0000-0000-0000EC200000}"/>
    <cellStyle name="Explanatory Text 5 2" xfId="9051" xr:uid="{00000000-0005-0000-0000-0000ED200000}"/>
    <cellStyle name="Explanatory Text 5 2 2" xfId="9052" xr:uid="{00000000-0005-0000-0000-0000EE200000}"/>
    <cellStyle name="Explanatory Text 5 3" xfId="9053" xr:uid="{00000000-0005-0000-0000-0000EF200000}"/>
    <cellStyle name="Explanatory Text 5 3 2" xfId="9054" xr:uid="{00000000-0005-0000-0000-0000F0200000}"/>
    <cellStyle name="Explanatory Text 5 3 2 2" xfId="9055" xr:uid="{00000000-0005-0000-0000-0000F1200000}"/>
    <cellStyle name="Explanatory Text 5 3 3" xfId="9056" xr:uid="{00000000-0005-0000-0000-0000F2200000}"/>
    <cellStyle name="Explanatory Text 5 4" xfId="9057" xr:uid="{00000000-0005-0000-0000-0000F3200000}"/>
    <cellStyle name="Explanatory Text 6" xfId="9058" xr:uid="{00000000-0005-0000-0000-0000F4200000}"/>
    <cellStyle name="Explanatory Text 6 2" xfId="9059" xr:uid="{00000000-0005-0000-0000-0000F5200000}"/>
    <cellStyle name="Explanatory Text 6 2 2" xfId="9060" xr:uid="{00000000-0005-0000-0000-0000F6200000}"/>
    <cellStyle name="Explanatory Text 6 3" xfId="9061" xr:uid="{00000000-0005-0000-0000-0000F7200000}"/>
    <cellStyle name="Explanatory Text 7" xfId="9062" xr:uid="{00000000-0005-0000-0000-0000F8200000}"/>
    <cellStyle name="Explanatory Text 8" xfId="9063" xr:uid="{00000000-0005-0000-0000-0000F9200000}"/>
    <cellStyle name="Fixed" xfId="9064" xr:uid="{00000000-0005-0000-0000-0000FA200000}"/>
    <cellStyle name="Fixed 2" xfId="9065" xr:uid="{00000000-0005-0000-0000-0000FB200000}"/>
    <cellStyle name="Fixed 2 2" xfId="9066" xr:uid="{00000000-0005-0000-0000-0000FC200000}"/>
    <cellStyle name="Fixed 3" xfId="9067" xr:uid="{00000000-0005-0000-0000-0000FD200000}"/>
    <cellStyle name="Floating" xfId="9068" xr:uid="{00000000-0005-0000-0000-0000FE200000}"/>
    <cellStyle name="General" xfId="9069" xr:uid="{00000000-0005-0000-0000-0000FF200000}"/>
    <cellStyle name="General 2" xfId="9070" xr:uid="{00000000-0005-0000-0000-000000210000}"/>
    <cellStyle name="General 2 2" xfId="9071" xr:uid="{00000000-0005-0000-0000-000001210000}"/>
    <cellStyle name="General 2 2 2" xfId="9072" xr:uid="{00000000-0005-0000-0000-000002210000}"/>
    <cellStyle name="General 2 3" xfId="9073" xr:uid="{00000000-0005-0000-0000-000003210000}"/>
    <cellStyle name="General 3" xfId="9074" xr:uid="{00000000-0005-0000-0000-000004210000}"/>
    <cellStyle name="General 3 2" xfId="9075" xr:uid="{00000000-0005-0000-0000-000005210000}"/>
    <cellStyle name="General 3 2 2" xfId="9076" xr:uid="{00000000-0005-0000-0000-000006210000}"/>
    <cellStyle name="General 3 3" xfId="9077" xr:uid="{00000000-0005-0000-0000-000007210000}"/>
    <cellStyle name="General 3 3 2" xfId="9078" xr:uid="{00000000-0005-0000-0000-000008210000}"/>
    <cellStyle name="General 3 3 2 2" xfId="9079" xr:uid="{00000000-0005-0000-0000-000009210000}"/>
    <cellStyle name="General 3 3 3" xfId="9080" xr:uid="{00000000-0005-0000-0000-00000A210000}"/>
    <cellStyle name="General 3 4" xfId="9081" xr:uid="{00000000-0005-0000-0000-00000B210000}"/>
    <cellStyle name="General 4" xfId="9082" xr:uid="{00000000-0005-0000-0000-00000C210000}"/>
    <cellStyle name="General 4 2" xfId="9083" xr:uid="{00000000-0005-0000-0000-00000D210000}"/>
    <cellStyle name="General 4 2 2" xfId="9084" xr:uid="{00000000-0005-0000-0000-00000E210000}"/>
    <cellStyle name="General 4 3" xfId="9085" xr:uid="{00000000-0005-0000-0000-00000F210000}"/>
    <cellStyle name="General 5" xfId="9086" xr:uid="{00000000-0005-0000-0000-000010210000}"/>
    <cellStyle name="General2" xfId="9087" xr:uid="{00000000-0005-0000-0000-000011210000}"/>
    <cellStyle name="Good 2" xfId="9088" xr:uid="{00000000-0005-0000-0000-000012210000}"/>
    <cellStyle name="Good 2 10" xfId="9089" xr:uid="{00000000-0005-0000-0000-000013210000}"/>
    <cellStyle name="Good 2 10 2" xfId="9090" xr:uid="{00000000-0005-0000-0000-000014210000}"/>
    <cellStyle name="Good 2 11" xfId="9091" xr:uid="{00000000-0005-0000-0000-000015210000}"/>
    <cellStyle name="Good 2 12" xfId="9092" xr:uid="{00000000-0005-0000-0000-000016210000}"/>
    <cellStyle name="Good 2 2" xfId="9093" xr:uid="{00000000-0005-0000-0000-000017210000}"/>
    <cellStyle name="Good 2 2 2" xfId="9094" xr:uid="{00000000-0005-0000-0000-000018210000}"/>
    <cellStyle name="Good 2 2 2 2" xfId="9095" xr:uid="{00000000-0005-0000-0000-000019210000}"/>
    <cellStyle name="Good 2 2 3" xfId="9096" xr:uid="{00000000-0005-0000-0000-00001A210000}"/>
    <cellStyle name="Good 2 2 3 2" xfId="9097" xr:uid="{00000000-0005-0000-0000-00001B210000}"/>
    <cellStyle name="Good 2 2 3 2 2" xfId="9098" xr:uid="{00000000-0005-0000-0000-00001C210000}"/>
    <cellStyle name="Good 2 2 3 3" xfId="9099" xr:uid="{00000000-0005-0000-0000-00001D210000}"/>
    <cellStyle name="Good 2 2 4" xfId="9100" xr:uid="{00000000-0005-0000-0000-00001E210000}"/>
    <cellStyle name="Good 2 2 4 2" xfId="9101" xr:uid="{00000000-0005-0000-0000-00001F210000}"/>
    <cellStyle name="Good 2 2 5" xfId="9102" xr:uid="{00000000-0005-0000-0000-000020210000}"/>
    <cellStyle name="Good 2 3" xfId="9103" xr:uid="{00000000-0005-0000-0000-000021210000}"/>
    <cellStyle name="Good 2 3 2" xfId="9104" xr:uid="{00000000-0005-0000-0000-000022210000}"/>
    <cellStyle name="Good 2 3 2 2" xfId="9105" xr:uid="{00000000-0005-0000-0000-000023210000}"/>
    <cellStyle name="Good 2 3 3" xfId="9106" xr:uid="{00000000-0005-0000-0000-000024210000}"/>
    <cellStyle name="Good 2 3 3 2" xfId="9107" xr:uid="{00000000-0005-0000-0000-000025210000}"/>
    <cellStyle name="Good 2 3 3 2 2" xfId="9108" xr:uid="{00000000-0005-0000-0000-000026210000}"/>
    <cellStyle name="Good 2 3 3 3" xfId="9109" xr:uid="{00000000-0005-0000-0000-000027210000}"/>
    <cellStyle name="Good 2 3 4" xfId="9110" xr:uid="{00000000-0005-0000-0000-000028210000}"/>
    <cellStyle name="Good 2 4" xfId="9111" xr:uid="{00000000-0005-0000-0000-000029210000}"/>
    <cellStyle name="Good 2 4 2" xfId="9112" xr:uid="{00000000-0005-0000-0000-00002A210000}"/>
    <cellStyle name="Good 2 4 2 2" xfId="9113" xr:uid="{00000000-0005-0000-0000-00002B210000}"/>
    <cellStyle name="Good 2 4 3" xfId="9114" xr:uid="{00000000-0005-0000-0000-00002C210000}"/>
    <cellStyle name="Good 2 5" xfId="9115" xr:uid="{00000000-0005-0000-0000-00002D210000}"/>
    <cellStyle name="Good 2 5 2" xfId="9116" xr:uid="{00000000-0005-0000-0000-00002E210000}"/>
    <cellStyle name="Good 2 5 2 2" xfId="9117" xr:uid="{00000000-0005-0000-0000-00002F210000}"/>
    <cellStyle name="Good 2 5 3" xfId="9118" xr:uid="{00000000-0005-0000-0000-000030210000}"/>
    <cellStyle name="Good 2 5 3 2" xfId="9119" xr:uid="{00000000-0005-0000-0000-000031210000}"/>
    <cellStyle name="Good 2 5 3 2 2" xfId="9120" xr:uid="{00000000-0005-0000-0000-000032210000}"/>
    <cellStyle name="Good 2 5 3 3" xfId="9121" xr:uid="{00000000-0005-0000-0000-000033210000}"/>
    <cellStyle name="Good 2 5 4" xfId="9122" xr:uid="{00000000-0005-0000-0000-000034210000}"/>
    <cellStyle name="Good 2 6" xfId="9123" xr:uid="{00000000-0005-0000-0000-000035210000}"/>
    <cellStyle name="Good 2 6 2" xfId="9124" xr:uid="{00000000-0005-0000-0000-000036210000}"/>
    <cellStyle name="Good 2 6 2 2" xfId="9125" xr:uid="{00000000-0005-0000-0000-000037210000}"/>
    <cellStyle name="Good 2 6 3" xfId="9126" xr:uid="{00000000-0005-0000-0000-000038210000}"/>
    <cellStyle name="Good 2 6 3 2" xfId="9127" xr:uid="{00000000-0005-0000-0000-000039210000}"/>
    <cellStyle name="Good 2 6 3 2 2" xfId="9128" xr:uid="{00000000-0005-0000-0000-00003A210000}"/>
    <cellStyle name="Good 2 6 3 3" xfId="9129" xr:uid="{00000000-0005-0000-0000-00003B210000}"/>
    <cellStyle name="Good 2 6 4" xfId="9130" xr:uid="{00000000-0005-0000-0000-00003C210000}"/>
    <cellStyle name="Good 2 6 4 2" xfId="9131" xr:uid="{00000000-0005-0000-0000-00003D210000}"/>
    <cellStyle name="Good 2 6 5" xfId="9132" xr:uid="{00000000-0005-0000-0000-00003E210000}"/>
    <cellStyle name="Good 2 7" xfId="9133" xr:uid="{00000000-0005-0000-0000-00003F210000}"/>
    <cellStyle name="Good 2 7 2" xfId="9134" xr:uid="{00000000-0005-0000-0000-000040210000}"/>
    <cellStyle name="Good 2 8" xfId="9135" xr:uid="{00000000-0005-0000-0000-000041210000}"/>
    <cellStyle name="Good 2 8 2" xfId="9136" xr:uid="{00000000-0005-0000-0000-000042210000}"/>
    <cellStyle name="Good 2 8 2 2" xfId="9137" xr:uid="{00000000-0005-0000-0000-000043210000}"/>
    <cellStyle name="Good 2 8 3" xfId="9138" xr:uid="{00000000-0005-0000-0000-000044210000}"/>
    <cellStyle name="Good 2 9" xfId="9139" xr:uid="{00000000-0005-0000-0000-000045210000}"/>
    <cellStyle name="Good 2 9 2" xfId="9140" xr:uid="{00000000-0005-0000-0000-000046210000}"/>
    <cellStyle name="Good 2 9 2 2" xfId="9141" xr:uid="{00000000-0005-0000-0000-000047210000}"/>
    <cellStyle name="Good 2 9 3" xfId="9142" xr:uid="{00000000-0005-0000-0000-000048210000}"/>
    <cellStyle name="Good 3" xfId="9143" xr:uid="{00000000-0005-0000-0000-000049210000}"/>
    <cellStyle name="Good 3 2" xfId="9144" xr:uid="{00000000-0005-0000-0000-00004A210000}"/>
    <cellStyle name="Good 3 2 2" xfId="9145" xr:uid="{00000000-0005-0000-0000-00004B210000}"/>
    <cellStyle name="Good 3 3" xfId="9146" xr:uid="{00000000-0005-0000-0000-00004C210000}"/>
    <cellStyle name="Good 3 3 2" xfId="9147" xr:uid="{00000000-0005-0000-0000-00004D210000}"/>
    <cellStyle name="Good 3 4" xfId="9148" xr:uid="{00000000-0005-0000-0000-00004E210000}"/>
    <cellStyle name="Good 3 4 2" xfId="9149" xr:uid="{00000000-0005-0000-0000-00004F210000}"/>
    <cellStyle name="Good 3 4 2 2" xfId="9150" xr:uid="{00000000-0005-0000-0000-000050210000}"/>
    <cellStyle name="Good 3 4 3" xfId="9151" xr:uid="{00000000-0005-0000-0000-000051210000}"/>
    <cellStyle name="Good 3 5" xfId="9152" xr:uid="{00000000-0005-0000-0000-000052210000}"/>
    <cellStyle name="Good 4" xfId="9153" xr:uid="{00000000-0005-0000-0000-000053210000}"/>
    <cellStyle name="Good 4 2" xfId="9154" xr:uid="{00000000-0005-0000-0000-000054210000}"/>
    <cellStyle name="Good 4 2 2" xfId="9155" xr:uid="{00000000-0005-0000-0000-000055210000}"/>
    <cellStyle name="Good 4 3" xfId="9156" xr:uid="{00000000-0005-0000-0000-000056210000}"/>
    <cellStyle name="Good 4 3 2" xfId="9157" xr:uid="{00000000-0005-0000-0000-000057210000}"/>
    <cellStyle name="Good 4 3 2 2" xfId="9158" xr:uid="{00000000-0005-0000-0000-000058210000}"/>
    <cellStyle name="Good 4 3 3" xfId="9159" xr:uid="{00000000-0005-0000-0000-000059210000}"/>
    <cellStyle name="Good 4 4" xfId="9160" xr:uid="{00000000-0005-0000-0000-00005A210000}"/>
    <cellStyle name="Good 5" xfId="9161" xr:uid="{00000000-0005-0000-0000-00005B210000}"/>
    <cellStyle name="Good 5 2" xfId="9162" xr:uid="{00000000-0005-0000-0000-00005C210000}"/>
    <cellStyle name="Good 5 2 2" xfId="9163" xr:uid="{00000000-0005-0000-0000-00005D210000}"/>
    <cellStyle name="Good 5 3" xfId="9164" xr:uid="{00000000-0005-0000-0000-00005E210000}"/>
    <cellStyle name="Good 5 3 2" xfId="9165" xr:uid="{00000000-0005-0000-0000-00005F210000}"/>
    <cellStyle name="Good 5 3 2 2" xfId="9166" xr:uid="{00000000-0005-0000-0000-000060210000}"/>
    <cellStyle name="Good 5 3 3" xfId="9167" xr:uid="{00000000-0005-0000-0000-000061210000}"/>
    <cellStyle name="Good 5 4" xfId="9168" xr:uid="{00000000-0005-0000-0000-000062210000}"/>
    <cellStyle name="Good 6" xfId="9169" xr:uid="{00000000-0005-0000-0000-000063210000}"/>
    <cellStyle name="Good 6 2" xfId="9170" xr:uid="{00000000-0005-0000-0000-000064210000}"/>
    <cellStyle name="Good 6 2 2" xfId="9171" xr:uid="{00000000-0005-0000-0000-000065210000}"/>
    <cellStyle name="Good 6 3" xfId="9172" xr:uid="{00000000-0005-0000-0000-000066210000}"/>
    <cellStyle name="Good 7" xfId="9173" xr:uid="{00000000-0005-0000-0000-000067210000}"/>
    <cellStyle name="Good 7 2" xfId="9174" xr:uid="{00000000-0005-0000-0000-000068210000}"/>
    <cellStyle name="Good 8" xfId="9175" xr:uid="{00000000-0005-0000-0000-000069210000}"/>
    <cellStyle name="Good 9" xfId="9176" xr:uid="{00000000-0005-0000-0000-00006A210000}"/>
    <cellStyle name="Grey" xfId="9177" xr:uid="{00000000-0005-0000-0000-00006B210000}"/>
    <cellStyle name="Grey 2" xfId="9178" xr:uid="{00000000-0005-0000-0000-00006C210000}"/>
    <cellStyle name="HEADER" xfId="9179" xr:uid="{00000000-0005-0000-0000-00006D210000}"/>
    <cellStyle name="HEADER 2" xfId="9180" xr:uid="{00000000-0005-0000-0000-00006E210000}"/>
    <cellStyle name="HEADER 2 2" xfId="9181" xr:uid="{00000000-0005-0000-0000-00006F210000}"/>
    <cellStyle name="HEADER 2 2 2" xfId="9182" xr:uid="{00000000-0005-0000-0000-000070210000}"/>
    <cellStyle name="HEADER 2 2 2 2" xfId="9183" xr:uid="{00000000-0005-0000-0000-000071210000}"/>
    <cellStyle name="HEADER 2 2 3" xfId="9184" xr:uid="{00000000-0005-0000-0000-000072210000}"/>
    <cellStyle name="HEADER 2 2 3 2" xfId="9185" xr:uid="{00000000-0005-0000-0000-000073210000}"/>
    <cellStyle name="HEADER 2 2 3 2 2" xfId="9186" xr:uid="{00000000-0005-0000-0000-000074210000}"/>
    <cellStyle name="HEADER 2 2 3 3" xfId="9187" xr:uid="{00000000-0005-0000-0000-000075210000}"/>
    <cellStyle name="HEADER 2 2 4" xfId="9188" xr:uid="{00000000-0005-0000-0000-000076210000}"/>
    <cellStyle name="HEADER 2 3" xfId="9189" xr:uid="{00000000-0005-0000-0000-000077210000}"/>
    <cellStyle name="HEADER 2 3 2" xfId="9190" xr:uid="{00000000-0005-0000-0000-000078210000}"/>
    <cellStyle name="HEADER 2 4" xfId="9191" xr:uid="{00000000-0005-0000-0000-000079210000}"/>
    <cellStyle name="HEADER 3" xfId="9192" xr:uid="{00000000-0005-0000-0000-00007A210000}"/>
    <cellStyle name="HEADER 3 2" xfId="9193" xr:uid="{00000000-0005-0000-0000-00007B210000}"/>
    <cellStyle name="HEADER 4" xfId="9194" xr:uid="{00000000-0005-0000-0000-00007C210000}"/>
    <cellStyle name="HEADER 4 2" xfId="9195" xr:uid="{00000000-0005-0000-0000-00007D210000}"/>
    <cellStyle name="HEADER 5" xfId="9196" xr:uid="{00000000-0005-0000-0000-00007E210000}"/>
    <cellStyle name="Header1" xfId="9197" xr:uid="{00000000-0005-0000-0000-00007F210000}"/>
    <cellStyle name="Header1 2" xfId="9198" xr:uid="{00000000-0005-0000-0000-000080210000}"/>
    <cellStyle name="Header1 2 2" xfId="9199" xr:uid="{00000000-0005-0000-0000-000081210000}"/>
    <cellStyle name="Header1 2 2 2" xfId="9200" xr:uid="{00000000-0005-0000-0000-000082210000}"/>
    <cellStyle name="Header1 2 3" xfId="9201" xr:uid="{00000000-0005-0000-0000-000083210000}"/>
    <cellStyle name="Header1 2 3 2" xfId="9202" xr:uid="{00000000-0005-0000-0000-000084210000}"/>
    <cellStyle name="Header1 2 3 2 2" xfId="9203" xr:uid="{00000000-0005-0000-0000-000085210000}"/>
    <cellStyle name="Header1 2 3 3" xfId="9204" xr:uid="{00000000-0005-0000-0000-000086210000}"/>
    <cellStyle name="Header1 2 4" xfId="9205" xr:uid="{00000000-0005-0000-0000-000087210000}"/>
    <cellStyle name="Header1 3" xfId="9206" xr:uid="{00000000-0005-0000-0000-000088210000}"/>
    <cellStyle name="Header1 3 2" xfId="9207" xr:uid="{00000000-0005-0000-0000-000089210000}"/>
    <cellStyle name="Header1 3 2 2" xfId="9208" xr:uid="{00000000-0005-0000-0000-00008A210000}"/>
    <cellStyle name="Header1 3 3" xfId="9209" xr:uid="{00000000-0005-0000-0000-00008B210000}"/>
    <cellStyle name="Header1 4" xfId="9210" xr:uid="{00000000-0005-0000-0000-00008C210000}"/>
    <cellStyle name="Header1 4 2" xfId="9211" xr:uid="{00000000-0005-0000-0000-00008D210000}"/>
    <cellStyle name="Header1 5" xfId="9212" xr:uid="{00000000-0005-0000-0000-00008E210000}"/>
    <cellStyle name="Header1 5 2" xfId="9213" xr:uid="{00000000-0005-0000-0000-00008F210000}"/>
    <cellStyle name="Header1 6" xfId="9214" xr:uid="{00000000-0005-0000-0000-000090210000}"/>
    <cellStyle name="Header2" xfId="9215" xr:uid="{00000000-0005-0000-0000-000091210000}"/>
    <cellStyle name="Header2 2" xfId="9216" xr:uid="{00000000-0005-0000-0000-000092210000}"/>
    <cellStyle name="Header2 2 2" xfId="9217" xr:uid="{00000000-0005-0000-0000-000093210000}"/>
    <cellStyle name="Header2 2 2 2" xfId="9218" xr:uid="{00000000-0005-0000-0000-000094210000}"/>
    <cellStyle name="Header2 2 2 2 2" xfId="9219" xr:uid="{00000000-0005-0000-0000-000095210000}"/>
    <cellStyle name="Header2 2 2 2 2 2" xfId="9220" xr:uid="{00000000-0005-0000-0000-000096210000}"/>
    <cellStyle name="Header2 2 2 2 2 2 2" xfId="9221" xr:uid="{00000000-0005-0000-0000-000097210000}"/>
    <cellStyle name="Header2 2 2 2 2 2 2 2" xfId="9222" xr:uid="{00000000-0005-0000-0000-000098210000}"/>
    <cellStyle name="Header2 2 2 2 2 2 2 3" xfId="9223" xr:uid="{00000000-0005-0000-0000-000099210000}"/>
    <cellStyle name="Header2 2 2 2 2 2 3" xfId="9224" xr:uid="{00000000-0005-0000-0000-00009A210000}"/>
    <cellStyle name="Header2 2 2 2 2 3" xfId="9225" xr:uid="{00000000-0005-0000-0000-00009B210000}"/>
    <cellStyle name="Header2 2 2 2 3" xfId="9226" xr:uid="{00000000-0005-0000-0000-00009C210000}"/>
    <cellStyle name="Header2 2 2 2 3 2" xfId="9227" xr:uid="{00000000-0005-0000-0000-00009D210000}"/>
    <cellStyle name="Header2 2 2 2 3 2 2" xfId="9228" xr:uid="{00000000-0005-0000-0000-00009E210000}"/>
    <cellStyle name="Header2 2 2 2 3 2 2 2" xfId="9229" xr:uid="{00000000-0005-0000-0000-00009F210000}"/>
    <cellStyle name="Header2 2 2 2 3 2 2 3" xfId="9230" xr:uid="{00000000-0005-0000-0000-0000A0210000}"/>
    <cellStyle name="Header2 2 2 2 3 2 3" xfId="9231" xr:uid="{00000000-0005-0000-0000-0000A1210000}"/>
    <cellStyle name="Header2 2 2 2 3 3" xfId="9232" xr:uid="{00000000-0005-0000-0000-0000A2210000}"/>
    <cellStyle name="Header2 2 2 2 3 3 2" xfId="9233" xr:uid="{00000000-0005-0000-0000-0000A3210000}"/>
    <cellStyle name="Header2 2 2 2 3 3 3" xfId="9234" xr:uid="{00000000-0005-0000-0000-0000A4210000}"/>
    <cellStyle name="Header2 2 2 2 3 4" xfId="9235" xr:uid="{00000000-0005-0000-0000-0000A5210000}"/>
    <cellStyle name="Header2 2 2 2 4" xfId="9236" xr:uid="{00000000-0005-0000-0000-0000A6210000}"/>
    <cellStyle name="Header2 2 2 2 4 2" xfId="9237" xr:uid="{00000000-0005-0000-0000-0000A7210000}"/>
    <cellStyle name="Header2 2 2 2 4 2 2" xfId="9238" xr:uid="{00000000-0005-0000-0000-0000A8210000}"/>
    <cellStyle name="Header2 2 2 2 4 2 3" xfId="9239" xr:uid="{00000000-0005-0000-0000-0000A9210000}"/>
    <cellStyle name="Header2 2 2 2 4 3" xfId="9240" xr:uid="{00000000-0005-0000-0000-0000AA210000}"/>
    <cellStyle name="Header2 2 2 2 5" xfId="9241" xr:uid="{00000000-0005-0000-0000-0000AB210000}"/>
    <cellStyle name="Header2 2 2 2 5 2" xfId="9242" xr:uid="{00000000-0005-0000-0000-0000AC210000}"/>
    <cellStyle name="Header2 2 2 2 5 3" xfId="9243" xr:uid="{00000000-0005-0000-0000-0000AD210000}"/>
    <cellStyle name="Header2 2 2 2 6" xfId="9244" xr:uid="{00000000-0005-0000-0000-0000AE210000}"/>
    <cellStyle name="Header2 2 2 3" xfId="9245" xr:uid="{00000000-0005-0000-0000-0000AF210000}"/>
    <cellStyle name="Header2 2 3" xfId="9246" xr:uid="{00000000-0005-0000-0000-0000B0210000}"/>
    <cellStyle name="Header2 2 3 2" xfId="9247" xr:uid="{00000000-0005-0000-0000-0000B1210000}"/>
    <cellStyle name="Header2 2 3 2 2" xfId="9248" xr:uid="{00000000-0005-0000-0000-0000B2210000}"/>
    <cellStyle name="Header2 2 3 2 2 2" xfId="9249" xr:uid="{00000000-0005-0000-0000-0000B3210000}"/>
    <cellStyle name="Header2 2 3 2 2 2 2" xfId="9250" xr:uid="{00000000-0005-0000-0000-0000B4210000}"/>
    <cellStyle name="Header2 2 3 2 2 2 2 2" xfId="9251" xr:uid="{00000000-0005-0000-0000-0000B5210000}"/>
    <cellStyle name="Header2 2 3 2 2 2 2 2 2" xfId="9252" xr:uid="{00000000-0005-0000-0000-0000B6210000}"/>
    <cellStyle name="Header2 2 3 2 2 2 2 2 3" xfId="9253" xr:uid="{00000000-0005-0000-0000-0000B7210000}"/>
    <cellStyle name="Header2 2 3 2 2 2 2 3" xfId="9254" xr:uid="{00000000-0005-0000-0000-0000B8210000}"/>
    <cellStyle name="Header2 2 3 2 2 2 3" xfId="9255" xr:uid="{00000000-0005-0000-0000-0000B9210000}"/>
    <cellStyle name="Header2 2 3 2 2 3" xfId="9256" xr:uid="{00000000-0005-0000-0000-0000BA210000}"/>
    <cellStyle name="Header2 2 3 2 2 3 2" xfId="9257" xr:uid="{00000000-0005-0000-0000-0000BB210000}"/>
    <cellStyle name="Header2 2 3 2 2 3 2 2" xfId="9258" xr:uid="{00000000-0005-0000-0000-0000BC210000}"/>
    <cellStyle name="Header2 2 3 2 2 3 2 2 2" xfId="9259" xr:uid="{00000000-0005-0000-0000-0000BD210000}"/>
    <cellStyle name="Header2 2 3 2 2 3 2 2 3" xfId="9260" xr:uid="{00000000-0005-0000-0000-0000BE210000}"/>
    <cellStyle name="Header2 2 3 2 2 3 2 3" xfId="9261" xr:uid="{00000000-0005-0000-0000-0000BF210000}"/>
    <cellStyle name="Header2 2 3 2 2 3 3" xfId="9262" xr:uid="{00000000-0005-0000-0000-0000C0210000}"/>
    <cellStyle name="Header2 2 3 2 2 3 3 2" xfId="9263" xr:uid="{00000000-0005-0000-0000-0000C1210000}"/>
    <cellStyle name="Header2 2 3 2 2 3 3 3" xfId="9264" xr:uid="{00000000-0005-0000-0000-0000C2210000}"/>
    <cellStyle name="Header2 2 3 2 2 3 4" xfId="9265" xr:uid="{00000000-0005-0000-0000-0000C3210000}"/>
    <cellStyle name="Header2 2 3 2 2 4" xfId="9266" xr:uid="{00000000-0005-0000-0000-0000C4210000}"/>
    <cellStyle name="Header2 2 3 2 2 4 2" xfId="9267" xr:uid="{00000000-0005-0000-0000-0000C5210000}"/>
    <cellStyle name="Header2 2 3 2 2 4 2 2" xfId="9268" xr:uid="{00000000-0005-0000-0000-0000C6210000}"/>
    <cellStyle name="Header2 2 3 2 2 4 2 3" xfId="9269" xr:uid="{00000000-0005-0000-0000-0000C7210000}"/>
    <cellStyle name="Header2 2 3 2 2 4 3" xfId="9270" xr:uid="{00000000-0005-0000-0000-0000C8210000}"/>
    <cellStyle name="Header2 2 3 2 2 5" xfId="9271" xr:uid="{00000000-0005-0000-0000-0000C9210000}"/>
    <cellStyle name="Header2 2 3 2 2 5 2" xfId="9272" xr:uid="{00000000-0005-0000-0000-0000CA210000}"/>
    <cellStyle name="Header2 2 3 2 2 5 3" xfId="9273" xr:uid="{00000000-0005-0000-0000-0000CB210000}"/>
    <cellStyle name="Header2 2 3 2 2 6" xfId="9274" xr:uid="{00000000-0005-0000-0000-0000CC210000}"/>
    <cellStyle name="Header2 2 3 2 3" xfId="9275" xr:uid="{00000000-0005-0000-0000-0000CD210000}"/>
    <cellStyle name="Header2 2 3 3" xfId="9276" xr:uid="{00000000-0005-0000-0000-0000CE210000}"/>
    <cellStyle name="Header2 2 3 3 2" xfId="9277" xr:uid="{00000000-0005-0000-0000-0000CF210000}"/>
    <cellStyle name="Header2 2 3 3 2 2" xfId="9278" xr:uid="{00000000-0005-0000-0000-0000D0210000}"/>
    <cellStyle name="Header2 2 3 3 2 2 2" xfId="9279" xr:uid="{00000000-0005-0000-0000-0000D1210000}"/>
    <cellStyle name="Header2 2 3 3 2 2 2 2" xfId="9280" xr:uid="{00000000-0005-0000-0000-0000D2210000}"/>
    <cellStyle name="Header2 2 3 3 2 2 2 3" xfId="9281" xr:uid="{00000000-0005-0000-0000-0000D3210000}"/>
    <cellStyle name="Header2 2 3 3 2 2 3" xfId="9282" xr:uid="{00000000-0005-0000-0000-0000D4210000}"/>
    <cellStyle name="Header2 2 3 3 2 3" xfId="9283" xr:uid="{00000000-0005-0000-0000-0000D5210000}"/>
    <cellStyle name="Header2 2 3 3 3" xfId="9284" xr:uid="{00000000-0005-0000-0000-0000D6210000}"/>
    <cellStyle name="Header2 2 3 3 3 2" xfId="9285" xr:uid="{00000000-0005-0000-0000-0000D7210000}"/>
    <cellStyle name="Header2 2 3 3 3 2 2" xfId="9286" xr:uid="{00000000-0005-0000-0000-0000D8210000}"/>
    <cellStyle name="Header2 2 3 3 3 2 2 2" xfId="9287" xr:uid="{00000000-0005-0000-0000-0000D9210000}"/>
    <cellStyle name="Header2 2 3 3 3 2 2 3" xfId="9288" xr:uid="{00000000-0005-0000-0000-0000DA210000}"/>
    <cellStyle name="Header2 2 3 3 3 2 3" xfId="9289" xr:uid="{00000000-0005-0000-0000-0000DB210000}"/>
    <cellStyle name="Header2 2 3 3 3 3" xfId="9290" xr:uid="{00000000-0005-0000-0000-0000DC210000}"/>
    <cellStyle name="Header2 2 3 3 3 3 2" xfId="9291" xr:uid="{00000000-0005-0000-0000-0000DD210000}"/>
    <cellStyle name="Header2 2 3 3 3 3 3" xfId="9292" xr:uid="{00000000-0005-0000-0000-0000DE210000}"/>
    <cellStyle name="Header2 2 3 3 3 4" xfId="9293" xr:uid="{00000000-0005-0000-0000-0000DF210000}"/>
    <cellStyle name="Header2 2 3 3 4" xfId="9294" xr:uid="{00000000-0005-0000-0000-0000E0210000}"/>
    <cellStyle name="Header2 2 3 3 4 2" xfId="9295" xr:uid="{00000000-0005-0000-0000-0000E1210000}"/>
    <cellStyle name="Header2 2 3 3 4 2 2" xfId="9296" xr:uid="{00000000-0005-0000-0000-0000E2210000}"/>
    <cellStyle name="Header2 2 3 3 4 2 3" xfId="9297" xr:uid="{00000000-0005-0000-0000-0000E3210000}"/>
    <cellStyle name="Header2 2 3 3 4 3" xfId="9298" xr:uid="{00000000-0005-0000-0000-0000E4210000}"/>
    <cellStyle name="Header2 2 3 3 5" xfId="9299" xr:uid="{00000000-0005-0000-0000-0000E5210000}"/>
    <cellStyle name="Header2 2 3 3 5 2" xfId="9300" xr:uid="{00000000-0005-0000-0000-0000E6210000}"/>
    <cellStyle name="Header2 2 3 3 5 3" xfId="9301" xr:uid="{00000000-0005-0000-0000-0000E7210000}"/>
    <cellStyle name="Header2 2 3 3 6" xfId="9302" xr:uid="{00000000-0005-0000-0000-0000E8210000}"/>
    <cellStyle name="Header2 2 3 4" xfId="9303" xr:uid="{00000000-0005-0000-0000-0000E9210000}"/>
    <cellStyle name="Header2 2 4" xfId="9304" xr:uid="{00000000-0005-0000-0000-0000EA210000}"/>
    <cellStyle name="Header2 2 4 2" xfId="9305" xr:uid="{00000000-0005-0000-0000-0000EB210000}"/>
    <cellStyle name="Header2 2 4 2 2" xfId="9306" xr:uid="{00000000-0005-0000-0000-0000EC210000}"/>
    <cellStyle name="Header2 2 4 2 2 2" xfId="9307" xr:uid="{00000000-0005-0000-0000-0000ED210000}"/>
    <cellStyle name="Header2 2 4 2 2 2 2" xfId="9308" xr:uid="{00000000-0005-0000-0000-0000EE210000}"/>
    <cellStyle name="Header2 2 4 2 2 2 3" xfId="9309" xr:uid="{00000000-0005-0000-0000-0000EF210000}"/>
    <cellStyle name="Header2 2 4 2 2 3" xfId="9310" xr:uid="{00000000-0005-0000-0000-0000F0210000}"/>
    <cellStyle name="Header2 2 4 2 3" xfId="9311" xr:uid="{00000000-0005-0000-0000-0000F1210000}"/>
    <cellStyle name="Header2 2 4 3" xfId="9312" xr:uid="{00000000-0005-0000-0000-0000F2210000}"/>
    <cellStyle name="Header2 2 4 3 2" xfId="9313" xr:uid="{00000000-0005-0000-0000-0000F3210000}"/>
    <cellStyle name="Header2 2 4 3 2 2" xfId="9314" xr:uid="{00000000-0005-0000-0000-0000F4210000}"/>
    <cellStyle name="Header2 2 4 3 2 2 2" xfId="9315" xr:uid="{00000000-0005-0000-0000-0000F5210000}"/>
    <cellStyle name="Header2 2 4 3 2 2 3" xfId="9316" xr:uid="{00000000-0005-0000-0000-0000F6210000}"/>
    <cellStyle name="Header2 2 4 3 2 3" xfId="9317" xr:uid="{00000000-0005-0000-0000-0000F7210000}"/>
    <cellStyle name="Header2 2 4 3 3" xfId="9318" xr:uid="{00000000-0005-0000-0000-0000F8210000}"/>
    <cellStyle name="Header2 2 4 3 3 2" xfId="9319" xr:uid="{00000000-0005-0000-0000-0000F9210000}"/>
    <cellStyle name="Header2 2 4 3 3 3" xfId="9320" xr:uid="{00000000-0005-0000-0000-0000FA210000}"/>
    <cellStyle name="Header2 2 4 3 4" xfId="9321" xr:uid="{00000000-0005-0000-0000-0000FB210000}"/>
    <cellStyle name="Header2 2 4 4" xfId="9322" xr:uid="{00000000-0005-0000-0000-0000FC210000}"/>
    <cellStyle name="Header2 2 4 4 2" xfId="9323" xr:uid="{00000000-0005-0000-0000-0000FD210000}"/>
    <cellStyle name="Header2 2 4 4 2 2" xfId="9324" xr:uid="{00000000-0005-0000-0000-0000FE210000}"/>
    <cellStyle name="Header2 2 4 4 2 3" xfId="9325" xr:uid="{00000000-0005-0000-0000-0000FF210000}"/>
    <cellStyle name="Header2 2 4 4 3" xfId="9326" xr:uid="{00000000-0005-0000-0000-000000220000}"/>
    <cellStyle name="Header2 2 4 5" xfId="9327" xr:uid="{00000000-0005-0000-0000-000001220000}"/>
    <cellStyle name="Header2 2 4 5 2" xfId="9328" xr:uid="{00000000-0005-0000-0000-000002220000}"/>
    <cellStyle name="Header2 2 4 5 3" xfId="9329" xr:uid="{00000000-0005-0000-0000-000003220000}"/>
    <cellStyle name="Header2 2 4 6" xfId="9330" xr:uid="{00000000-0005-0000-0000-000004220000}"/>
    <cellStyle name="Header2 2 5" xfId="9331" xr:uid="{00000000-0005-0000-0000-000005220000}"/>
    <cellStyle name="Header2 3" xfId="9332" xr:uid="{00000000-0005-0000-0000-000006220000}"/>
    <cellStyle name="Header2 3 2" xfId="9333" xr:uid="{00000000-0005-0000-0000-000007220000}"/>
    <cellStyle name="Header2 3 2 2" xfId="9334" xr:uid="{00000000-0005-0000-0000-000008220000}"/>
    <cellStyle name="Header2 3 2 2 2" xfId="9335" xr:uid="{00000000-0005-0000-0000-000009220000}"/>
    <cellStyle name="Header2 3 2 2 2 2" xfId="9336" xr:uid="{00000000-0005-0000-0000-00000A220000}"/>
    <cellStyle name="Header2 3 2 2 2 2 2" xfId="9337" xr:uid="{00000000-0005-0000-0000-00000B220000}"/>
    <cellStyle name="Header2 3 2 2 2 2 2 2" xfId="9338" xr:uid="{00000000-0005-0000-0000-00000C220000}"/>
    <cellStyle name="Header2 3 2 2 2 2 2 3" xfId="9339" xr:uid="{00000000-0005-0000-0000-00000D220000}"/>
    <cellStyle name="Header2 3 2 2 2 2 3" xfId="9340" xr:uid="{00000000-0005-0000-0000-00000E220000}"/>
    <cellStyle name="Header2 3 2 2 2 3" xfId="9341" xr:uid="{00000000-0005-0000-0000-00000F220000}"/>
    <cellStyle name="Header2 3 2 2 3" xfId="9342" xr:uid="{00000000-0005-0000-0000-000010220000}"/>
    <cellStyle name="Header2 3 2 2 3 2" xfId="9343" xr:uid="{00000000-0005-0000-0000-000011220000}"/>
    <cellStyle name="Header2 3 2 2 3 2 2" xfId="9344" xr:uid="{00000000-0005-0000-0000-000012220000}"/>
    <cellStyle name="Header2 3 2 2 3 2 2 2" xfId="9345" xr:uid="{00000000-0005-0000-0000-000013220000}"/>
    <cellStyle name="Header2 3 2 2 3 2 2 3" xfId="9346" xr:uid="{00000000-0005-0000-0000-000014220000}"/>
    <cellStyle name="Header2 3 2 2 3 2 3" xfId="9347" xr:uid="{00000000-0005-0000-0000-000015220000}"/>
    <cellStyle name="Header2 3 2 2 3 3" xfId="9348" xr:uid="{00000000-0005-0000-0000-000016220000}"/>
    <cellStyle name="Header2 3 2 2 3 3 2" xfId="9349" xr:uid="{00000000-0005-0000-0000-000017220000}"/>
    <cellStyle name="Header2 3 2 2 3 3 3" xfId="9350" xr:uid="{00000000-0005-0000-0000-000018220000}"/>
    <cellStyle name="Header2 3 2 2 3 4" xfId="9351" xr:uid="{00000000-0005-0000-0000-000019220000}"/>
    <cellStyle name="Header2 3 2 2 4" xfId="9352" xr:uid="{00000000-0005-0000-0000-00001A220000}"/>
    <cellStyle name="Header2 3 2 2 4 2" xfId="9353" xr:uid="{00000000-0005-0000-0000-00001B220000}"/>
    <cellStyle name="Header2 3 2 2 4 2 2" xfId="9354" xr:uid="{00000000-0005-0000-0000-00001C220000}"/>
    <cellStyle name="Header2 3 2 2 4 2 3" xfId="9355" xr:uid="{00000000-0005-0000-0000-00001D220000}"/>
    <cellStyle name="Header2 3 2 2 4 3" xfId="9356" xr:uid="{00000000-0005-0000-0000-00001E220000}"/>
    <cellStyle name="Header2 3 2 2 5" xfId="9357" xr:uid="{00000000-0005-0000-0000-00001F220000}"/>
    <cellStyle name="Header2 3 2 2 5 2" xfId="9358" xr:uid="{00000000-0005-0000-0000-000020220000}"/>
    <cellStyle name="Header2 3 2 2 5 3" xfId="9359" xr:uid="{00000000-0005-0000-0000-000021220000}"/>
    <cellStyle name="Header2 3 2 2 6" xfId="9360" xr:uid="{00000000-0005-0000-0000-000022220000}"/>
    <cellStyle name="Header2 3 2 3" xfId="9361" xr:uid="{00000000-0005-0000-0000-000023220000}"/>
    <cellStyle name="Header2 3 3" xfId="9362" xr:uid="{00000000-0005-0000-0000-000024220000}"/>
    <cellStyle name="Header2 3 3 2" xfId="9363" xr:uid="{00000000-0005-0000-0000-000025220000}"/>
    <cellStyle name="Header2 3 3 2 2" xfId="9364" xr:uid="{00000000-0005-0000-0000-000026220000}"/>
    <cellStyle name="Header2 3 3 2 2 2" xfId="9365" xr:uid="{00000000-0005-0000-0000-000027220000}"/>
    <cellStyle name="Header2 3 3 2 2 2 2" xfId="9366" xr:uid="{00000000-0005-0000-0000-000028220000}"/>
    <cellStyle name="Header2 3 3 2 2 2 3" xfId="9367" xr:uid="{00000000-0005-0000-0000-000029220000}"/>
    <cellStyle name="Header2 3 3 2 2 3" xfId="9368" xr:uid="{00000000-0005-0000-0000-00002A220000}"/>
    <cellStyle name="Header2 3 3 2 3" xfId="9369" xr:uid="{00000000-0005-0000-0000-00002B220000}"/>
    <cellStyle name="Header2 3 3 3" xfId="9370" xr:uid="{00000000-0005-0000-0000-00002C220000}"/>
    <cellStyle name="Header2 3 3 3 2" xfId="9371" xr:uid="{00000000-0005-0000-0000-00002D220000}"/>
    <cellStyle name="Header2 3 3 3 2 2" xfId="9372" xr:uid="{00000000-0005-0000-0000-00002E220000}"/>
    <cellStyle name="Header2 3 3 3 2 2 2" xfId="9373" xr:uid="{00000000-0005-0000-0000-00002F220000}"/>
    <cellStyle name="Header2 3 3 3 2 2 3" xfId="9374" xr:uid="{00000000-0005-0000-0000-000030220000}"/>
    <cellStyle name="Header2 3 3 3 2 3" xfId="9375" xr:uid="{00000000-0005-0000-0000-000031220000}"/>
    <cellStyle name="Header2 3 3 3 3" xfId="9376" xr:uid="{00000000-0005-0000-0000-000032220000}"/>
    <cellStyle name="Header2 3 3 3 3 2" xfId="9377" xr:uid="{00000000-0005-0000-0000-000033220000}"/>
    <cellStyle name="Header2 3 3 3 3 3" xfId="9378" xr:uid="{00000000-0005-0000-0000-000034220000}"/>
    <cellStyle name="Header2 3 3 3 4" xfId="9379" xr:uid="{00000000-0005-0000-0000-000035220000}"/>
    <cellStyle name="Header2 3 3 4" xfId="9380" xr:uid="{00000000-0005-0000-0000-000036220000}"/>
    <cellStyle name="Header2 3 3 4 2" xfId="9381" xr:uid="{00000000-0005-0000-0000-000037220000}"/>
    <cellStyle name="Header2 3 3 4 2 2" xfId="9382" xr:uid="{00000000-0005-0000-0000-000038220000}"/>
    <cellStyle name="Header2 3 3 4 2 3" xfId="9383" xr:uid="{00000000-0005-0000-0000-000039220000}"/>
    <cellStyle name="Header2 3 3 4 3" xfId="9384" xr:uid="{00000000-0005-0000-0000-00003A220000}"/>
    <cellStyle name="Header2 3 3 5" xfId="9385" xr:uid="{00000000-0005-0000-0000-00003B220000}"/>
    <cellStyle name="Header2 3 3 5 2" xfId="9386" xr:uid="{00000000-0005-0000-0000-00003C220000}"/>
    <cellStyle name="Header2 3 3 5 3" xfId="9387" xr:uid="{00000000-0005-0000-0000-00003D220000}"/>
    <cellStyle name="Header2 3 3 6" xfId="9388" xr:uid="{00000000-0005-0000-0000-00003E220000}"/>
    <cellStyle name="Header2 3 4" xfId="9389" xr:uid="{00000000-0005-0000-0000-00003F220000}"/>
    <cellStyle name="Header2 4" xfId="9390" xr:uid="{00000000-0005-0000-0000-000040220000}"/>
    <cellStyle name="Header2 4 2" xfId="9391" xr:uid="{00000000-0005-0000-0000-000041220000}"/>
    <cellStyle name="Header2 4 2 2" xfId="9392" xr:uid="{00000000-0005-0000-0000-000042220000}"/>
    <cellStyle name="Header2 4 2 2 2" xfId="9393" xr:uid="{00000000-0005-0000-0000-000043220000}"/>
    <cellStyle name="Header2 4 2 2 2 2" xfId="9394" xr:uid="{00000000-0005-0000-0000-000044220000}"/>
    <cellStyle name="Header2 4 2 2 2 2 2" xfId="9395" xr:uid="{00000000-0005-0000-0000-000045220000}"/>
    <cellStyle name="Header2 4 2 2 2 2 3" xfId="9396" xr:uid="{00000000-0005-0000-0000-000046220000}"/>
    <cellStyle name="Header2 4 2 2 2 3" xfId="9397" xr:uid="{00000000-0005-0000-0000-000047220000}"/>
    <cellStyle name="Header2 4 2 2 3" xfId="9398" xr:uid="{00000000-0005-0000-0000-000048220000}"/>
    <cellStyle name="Header2 4 2 3" xfId="9399" xr:uid="{00000000-0005-0000-0000-000049220000}"/>
    <cellStyle name="Header2 4 2 3 2" xfId="9400" xr:uid="{00000000-0005-0000-0000-00004A220000}"/>
    <cellStyle name="Header2 4 2 3 2 2" xfId="9401" xr:uid="{00000000-0005-0000-0000-00004B220000}"/>
    <cellStyle name="Header2 4 2 3 2 2 2" xfId="9402" xr:uid="{00000000-0005-0000-0000-00004C220000}"/>
    <cellStyle name="Header2 4 2 3 2 2 3" xfId="9403" xr:uid="{00000000-0005-0000-0000-00004D220000}"/>
    <cellStyle name="Header2 4 2 3 2 3" xfId="9404" xr:uid="{00000000-0005-0000-0000-00004E220000}"/>
    <cellStyle name="Header2 4 2 3 3" xfId="9405" xr:uid="{00000000-0005-0000-0000-00004F220000}"/>
    <cellStyle name="Header2 4 2 3 3 2" xfId="9406" xr:uid="{00000000-0005-0000-0000-000050220000}"/>
    <cellStyle name="Header2 4 2 3 3 3" xfId="9407" xr:uid="{00000000-0005-0000-0000-000051220000}"/>
    <cellStyle name="Header2 4 2 3 4" xfId="9408" xr:uid="{00000000-0005-0000-0000-000052220000}"/>
    <cellStyle name="Header2 4 2 4" xfId="9409" xr:uid="{00000000-0005-0000-0000-000053220000}"/>
    <cellStyle name="Header2 4 2 4 2" xfId="9410" xr:uid="{00000000-0005-0000-0000-000054220000}"/>
    <cellStyle name="Header2 4 2 4 2 2" xfId="9411" xr:uid="{00000000-0005-0000-0000-000055220000}"/>
    <cellStyle name="Header2 4 2 4 2 3" xfId="9412" xr:uid="{00000000-0005-0000-0000-000056220000}"/>
    <cellStyle name="Header2 4 2 4 3" xfId="9413" xr:uid="{00000000-0005-0000-0000-000057220000}"/>
    <cellStyle name="Header2 4 2 5" xfId="9414" xr:uid="{00000000-0005-0000-0000-000058220000}"/>
    <cellStyle name="Header2 4 2 5 2" xfId="9415" xr:uid="{00000000-0005-0000-0000-000059220000}"/>
    <cellStyle name="Header2 4 2 5 3" xfId="9416" xr:uid="{00000000-0005-0000-0000-00005A220000}"/>
    <cellStyle name="Header2 4 2 6" xfId="9417" xr:uid="{00000000-0005-0000-0000-00005B220000}"/>
    <cellStyle name="Header2 4 3" xfId="9418" xr:uid="{00000000-0005-0000-0000-00005C220000}"/>
    <cellStyle name="Header2 5" xfId="9419" xr:uid="{00000000-0005-0000-0000-00005D220000}"/>
    <cellStyle name="Header2 5 2" xfId="9420" xr:uid="{00000000-0005-0000-0000-00005E220000}"/>
    <cellStyle name="Header2 5 2 2" xfId="9421" xr:uid="{00000000-0005-0000-0000-00005F220000}"/>
    <cellStyle name="Header2 5 2 2 2" xfId="9422" xr:uid="{00000000-0005-0000-0000-000060220000}"/>
    <cellStyle name="Header2 5 2 2 3" xfId="9423" xr:uid="{00000000-0005-0000-0000-000061220000}"/>
    <cellStyle name="Header2 5 2 3" xfId="9424" xr:uid="{00000000-0005-0000-0000-000062220000}"/>
    <cellStyle name="Header2 5 3" xfId="9425" xr:uid="{00000000-0005-0000-0000-000063220000}"/>
    <cellStyle name="Header2 6" xfId="9426" xr:uid="{00000000-0005-0000-0000-000064220000}"/>
    <cellStyle name="Header2 6 2" xfId="9427" xr:uid="{00000000-0005-0000-0000-000065220000}"/>
    <cellStyle name="Header2 6 2 2" xfId="9428" xr:uid="{00000000-0005-0000-0000-000066220000}"/>
    <cellStyle name="Header2 6 2 2 2" xfId="9429" xr:uid="{00000000-0005-0000-0000-000067220000}"/>
    <cellStyle name="Header2 6 2 2 2 2" xfId="9430" xr:uid="{00000000-0005-0000-0000-000068220000}"/>
    <cellStyle name="Header2 6 2 2 2 3" xfId="9431" xr:uid="{00000000-0005-0000-0000-000069220000}"/>
    <cellStyle name="Header2 6 2 2 3" xfId="9432" xr:uid="{00000000-0005-0000-0000-00006A220000}"/>
    <cellStyle name="Header2 6 2 3" xfId="9433" xr:uid="{00000000-0005-0000-0000-00006B220000}"/>
    <cellStyle name="Header2 6 3" xfId="9434" xr:uid="{00000000-0005-0000-0000-00006C220000}"/>
    <cellStyle name="Header2 6 3 2" xfId="9435" xr:uid="{00000000-0005-0000-0000-00006D220000}"/>
    <cellStyle name="Header2 6 3 2 2" xfId="9436" xr:uid="{00000000-0005-0000-0000-00006E220000}"/>
    <cellStyle name="Header2 6 3 2 2 2" xfId="9437" xr:uid="{00000000-0005-0000-0000-00006F220000}"/>
    <cellStyle name="Header2 6 3 2 2 3" xfId="9438" xr:uid="{00000000-0005-0000-0000-000070220000}"/>
    <cellStyle name="Header2 6 3 2 3" xfId="9439" xr:uid="{00000000-0005-0000-0000-000071220000}"/>
    <cellStyle name="Header2 6 3 3" xfId="9440" xr:uid="{00000000-0005-0000-0000-000072220000}"/>
    <cellStyle name="Header2 6 3 3 2" xfId="9441" xr:uid="{00000000-0005-0000-0000-000073220000}"/>
    <cellStyle name="Header2 6 3 3 3" xfId="9442" xr:uid="{00000000-0005-0000-0000-000074220000}"/>
    <cellStyle name="Header2 6 3 4" xfId="9443" xr:uid="{00000000-0005-0000-0000-000075220000}"/>
    <cellStyle name="Header2 6 4" xfId="9444" xr:uid="{00000000-0005-0000-0000-000076220000}"/>
    <cellStyle name="Header2 6 4 2" xfId="9445" xr:uid="{00000000-0005-0000-0000-000077220000}"/>
    <cellStyle name="Header2 6 4 2 2" xfId="9446" xr:uid="{00000000-0005-0000-0000-000078220000}"/>
    <cellStyle name="Header2 6 4 2 3" xfId="9447" xr:uid="{00000000-0005-0000-0000-000079220000}"/>
    <cellStyle name="Header2 6 4 3" xfId="9448" xr:uid="{00000000-0005-0000-0000-00007A220000}"/>
    <cellStyle name="Header2 6 5" xfId="9449" xr:uid="{00000000-0005-0000-0000-00007B220000}"/>
    <cellStyle name="Header2 6 5 2" xfId="9450" xr:uid="{00000000-0005-0000-0000-00007C220000}"/>
    <cellStyle name="Header2 6 5 3" xfId="9451" xr:uid="{00000000-0005-0000-0000-00007D220000}"/>
    <cellStyle name="Header2 6 6" xfId="9452" xr:uid="{00000000-0005-0000-0000-00007E220000}"/>
    <cellStyle name="Header2 7" xfId="9453" xr:uid="{00000000-0005-0000-0000-00007F220000}"/>
    <cellStyle name="Heading 1 2" xfId="9454" xr:uid="{00000000-0005-0000-0000-000080220000}"/>
    <cellStyle name="Heading 1 2 10" xfId="9455" xr:uid="{00000000-0005-0000-0000-000081220000}"/>
    <cellStyle name="Heading 1 2 10 2" xfId="9456" xr:uid="{00000000-0005-0000-0000-000082220000}"/>
    <cellStyle name="Heading 1 2 11" xfId="9457" xr:uid="{00000000-0005-0000-0000-000083220000}"/>
    <cellStyle name="Heading 1 2 12" xfId="9458" xr:uid="{00000000-0005-0000-0000-000084220000}"/>
    <cellStyle name="Heading 1 2 2" xfId="9459" xr:uid="{00000000-0005-0000-0000-000085220000}"/>
    <cellStyle name="Heading 1 2 2 2" xfId="9460" xr:uid="{00000000-0005-0000-0000-000086220000}"/>
    <cellStyle name="Heading 1 2 2 2 2" xfId="9461" xr:uid="{00000000-0005-0000-0000-000087220000}"/>
    <cellStyle name="Heading 1 2 2 3" xfId="9462" xr:uid="{00000000-0005-0000-0000-000088220000}"/>
    <cellStyle name="Heading 1 2 2 3 2" xfId="9463" xr:uid="{00000000-0005-0000-0000-000089220000}"/>
    <cellStyle name="Heading 1 2 2 3 2 2" xfId="9464" xr:uid="{00000000-0005-0000-0000-00008A220000}"/>
    <cellStyle name="Heading 1 2 2 3 3" xfId="9465" xr:uid="{00000000-0005-0000-0000-00008B220000}"/>
    <cellStyle name="Heading 1 2 2 4" xfId="9466" xr:uid="{00000000-0005-0000-0000-00008C220000}"/>
    <cellStyle name="Heading 1 2 3" xfId="9467" xr:uid="{00000000-0005-0000-0000-00008D220000}"/>
    <cellStyle name="Heading 1 2 3 2" xfId="9468" xr:uid="{00000000-0005-0000-0000-00008E220000}"/>
    <cellStyle name="Heading 1 2 3 2 2" xfId="9469" xr:uid="{00000000-0005-0000-0000-00008F220000}"/>
    <cellStyle name="Heading 1 2 3 3" xfId="9470" xr:uid="{00000000-0005-0000-0000-000090220000}"/>
    <cellStyle name="Heading 1 2 3 3 2" xfId="9471" xr:uid="{00000000-0005-0000-0000-000091220000}"/>
    <cellStyle name="Heading 1 2 3 3 2 2" xfId="9472" xr:uid="{00000000-0005-0000-0000-000092220000}"/>
    <cellStyle name="Heading 1 2 3 3 3" xfId="9473" xr:uid="{00000000-0005-0000-0000-000093220000}"/>
    <cellStyle name="Heading 1 2 3 4" xfId="9474" xr:uid="{00000000-0005-0000-0000-000094220000}"/>
    <cellStyle name="Heading 1 2 4" xfId="9475" xr:uid="{00000000-0005-0000-0000-000095220000}"/>
    <cellStyle name="Heading 1 2 4 2" xfId="9476" xr:uid="{00000000-0005-0000-0000-000096220000}"/>
    <cellStyle name="Heading 1 2 4 2 2" xfId="9477" xr:uid="{00000000-0005-0000-0000-000097220000}"/>
    <cellStyle name="Heading 1 2 4 3" xfId="9478" xr:uid="{00000000-0005-0000-0000-000098220000}"/>
    <cellStyle name="Heading 1 2 5" xfId="9479" xr:uid="{00000000-0005-0000-0000-000099220000}"/>
    <cellStyle name="Heading 1 2 5 2" xfId="9480" xr:uid="{00000000-0005-0000-0000-00009A220000}"/>
    <cellStyle name="Heading 1 2 5 2 2" xfId="9481" xr:uid="{00000000-0005-0000-0000-00009B220000}"/>
    <cellStyle name="Heading 1 2 5 3" xfId="9482" xr:uid="{00000000-0005-0000-0000-00009C220000}"/>
    <cellStyle name="Heading 1 2 5 3 2" xfId="9483" xr:uid="{00000000-0005-0000-0000-00009D220000}"/>
    <cellStyle name="Heading 1 2 5 3 2 2" xfId="9484" xr:uid="{00000000-0005-0000-0000-00009E220000}"/>
    <cellStyle name="Heading 1 2 5 3 3" xfId="9485" xr:uid="{00000000-0005-0000-0000-00009F220000}"/>
    <cellStyle name="Heading 1 2 5 4" xfId="9486" xr:uid="{00000000-0005-0000-0000-0000A0220000}"/>
    <cellStyle name="Heading 1 2 6" xfId="9487" xr:uid="{00000000-0005-0000-0000-0000A1220000}"/>
    <cellStyle name="Heading 1 2 6 2" xfId="9488" xr:uid="{00000000-0005-0000-0000-0000A2220000}"/>
    <cellStyle name="Heading 1 2 7" xfId="9489" xr:uid="{00000000-0005-0000-0000-0000A3220000}"/>
    <cellStyle name="Heading 1 2 7 2" xfId="9490" xr:uid="{00000000-0005-0000-0000-0000A4220000}"/>
    <cellStyle name="Heading 1 2 8" xfId="9491" xr:uid="{00000000-0005-0000-0000-0000A5220000}"/>
    <cellStyle name="Heading 1 2 8 2" xfId="9492" xr:uid="{00000000-0005-0000-0000-0000A6220000}"/>
    <cellStyle name="Heading 1 2 8 2 2" xfId="9493" xr:uid="{00000000-0005-0000-0000-0000A7220000}"/>
    <cellStyle name="Heading 1 2 8 3" xfId="9494" xr:uid="{00000000-0005-0000-0000-0000A8220000}"/>
    <cellStyle name="Heading 1 2 9" xfId="9495" xr:uid="{00000000-0005-0000-0000-0000A9220000}"/>
    <cellStyle name="Heading 1 2 9 2" xfId="9496" xr:uid="{00000000-0005-0000-0000-0000AA220000}"/>
    <cellStyle name="Heading 1 2 9 2 2" xfId="9497" xr:uid="{00000000-0005-0000-0000-0000AB220000}"/>
    <cellStyle name="Heading 1 2 9 3" xfId="9498" xr:uid="{00000000-0005-0000-0000-0000AC220000}"/>
    <cellStyle name="Heading 1 3" xfId="9499" xr:uid="{00000000-0005-0000-0000-0000AD220000}"/>
    <cellStyle name="Heading 1 3 2" xfId="9500" xr:uid="{00000000-0005-0000-0000-0000AE220000}"/>
    <cellStyle name="Heading 1 3 2 2" xfId="9501" xr:uid="{00000000-0005-0000-0000-0000AF220000}"/>
    <cellStyle name="Heading 1 3 3" xfId="9502" xr:uid="{00000000-0005-0000-0000-0000B0220000}"/>
    <cellStyle name="Heading 1 3 3 2" xfId="9503" xr:uid="{00000000-0005-0000-0000-0000B1220000}"/>
    <cellStyle name="Heading 1 3 4" xfId="9504" xr:uid="{00000000-0005-0000-0000-0000B2220000}"/>
    <cellStyle name="Heading 1 3 4 2" xfId="9505" xr:uid="{00000000-0005-0000-0000-0000B3220000}"/>
    <cellStyle name="Heading 1 3 4 2 2" xfId="9506" xr:uid="{00000000-0005-0000-0000-0000B4220000}"/>
    <cellStyle name="Heading 1 3 4 3" xfId="9507" xr:uid="{00000000-0005-0000-0000-0000B5220000}"/>
    <cellStyle name="Heading 1 3 5" xfId="9508" xr:uid="{00000000-0005-0000-0000-0000B6220000}"/>
    <cellStyle name="Heading 1 4" xfId="9509" xr:uid="{00000000-0005-0000-0000-0000B7220000}"/>
    <cellStyle name="Heading 1 4 2" xfId="9510" xr:uid="{00000000-0005-0000-0000-0000B8220000}"/>
    <cellStyle name="Heading 1 4 2 2" xfId="9511" xr:uid="{00000000-0005-0000-0000-0000B9220000}"/>
    <cellStyle name="Heading 1 4 3" xfId="9512" xr:uid="{00000000-0005-0000-0000-0000BA220000}"/>
    <cellStyle name="Heading 1 4 3 2" xfId="9513" xr:uid="{00000000-0005-0000-0000-0000BB220000}"/>
    <cellStyle name="Heading 1 4 3 2 2" xfId="9514" xr:uid="{00000000-0005-0000-0000-0000BC220000}"/>
    <cellStyle name="Heading 1 4 3 3" xfId="9515" xr:uid="{00000000-0005-0000-0000-0000BD220000}"/>
    <cellStyle name="Heading 1 4 4" xfId="9516" xr:uid="{00000000-0005-0000-0000-0000BE220000}"/>
    <cellStyle name="Heading 1 5" xfId="9517" xr:uid="{00000000-0005-0000-0000-0000BF220000}"/>
    <cellStyle name="Heading 1 5 2" xfId="9518" xr:uid="{00000000-0005-0000-0000-0000C0220000}"/>
    <cellStyle name="Heading 1 5 2 2" xfId="9519" xr:uid="{00000000-0005-0000-0000-0000C1220000}"/>
    <cellStyle name="Heading 1 5 3" xfId="9520" xr:uid="{00000000-0005-0000-0000-0000C2220000}"/>
    <cellStyle name="Heading 1 5 3 2" xfId="9521" xr:uid="{00000000-0005-0000-0000-0000C3220000}"/>
    <cellStyle name="Heading 1 5 3 2 2" xfId="9522" xr:uid="{00000000-0005-0000-0000-0000C4220000}"/>
    <cellStyle name="Heading 1 5 3 3" xfId="9523" xr:uid="{00000000-0005-0000-0000-0000C5220000}"/>
    <cellStyle name="Heading 1 5 4" xfId="9524" xr:uid="{00000000-0005-0000-0000-0000C6220000}"/>
    <cellStyle name="Heading 1 6" xfId="9525" xr:uid="{00000000-0005-0000-0000-0000C7220000}"/>
    <cellStyle name="Heading 1 6 2" xfId="9526" xr:uid="{00000000-0005-0000-0000-0000C8220000}"/>
    <cellStyle name="Heading 1 6 2 2" xfId="9527" xr:uid="{00000000-0005-0000-0000-0000C9220000}"/>
    <cellStyle name="Heading 1 6 3" xfId="9528" xr:uid="{00000000-0005-0000-0000-0000CA220000}"/>
    <cellStyle name="Heading 1 7" xfId="9529" xr:uid="{00000000-0005-0000-0000-0000CB220000}"/>
    <cellStyle name="Heading 1 7 2" xfId="9530" xr:uid="{00000000-0005-0000-0000-0000CC220000}"/>
    <cellStyle name="Heading 1 8" xfId="9531" xr:uid="{00000000-0005-0000-0000-0000CD220000}"/>
    <cellStyle name="Heading 1 9" xfId="9532" xr:uid="{00000000-0005-0000-0000-0000CE220000}"/>
    <cellStyle name="Heading 2 2" xfId="9533" xr:uid="{00000000-0005-0000-0000-0000CF220000}"/>
    <cellStyle name="Heading 2 2 10" xfId="9534" xr:uid="{00000000-0005-0000-0000-0000D0220000}"/>
    <cellStyle name="Heading 2 2 10 2" xfId="9535" xr:uid="{00000000-0005-0000-0000-0000D1220000}"/>
    <cellStyle name="Heading 2 2 11" xfId="9536" xr:uid="{00000000-0005-0000-0000-0000D2220000}"/>
    <cellStyle name="Heading 2 2 12" xfId="9537" xr:uid="{00000000-0005-0000-0000-0000D3220000}"/>
    <cellStyle name="Heading 2 2 2" xfId="9538" xr:uid="{00000000-0005-0000-0000-0000D4220000}"/>
    <cellStyle name="Heading 2 2 2 2" xfId="9539" xr:uid="{00000000-0005-0000-0000-0000D5220000}"/>
    <cellStyle name="Heading 2 2 2 2 2" xfId="9540" xr:uid="{00000000-0005-0000-0000-0000D6220000}"/>
    <cellStyle name="Heading 2 2 2 3" xfId="9541" xr:uid="{00000000-0005-0000-0000-0000D7220000}"/>
    <cellStyle name="Heading 2 2 2 3 2" xfId="9542" xr:uid="{00000000-0005-0000-0000-0000D8220000}"/>
    <cellStyle name="Heading 2 2 2 3 2 2" xfId="9543" xr:uid="{00000000-0005-0000-0000-0000D9220000}"/>
    <cellStyle name="Heading 2 2 2 3 3" xfId="9544" xr:uid="{00000000-0005-0000-0000-0000DA220000}"/>
    <cellStyle name="Heading 2 2 2 4" xfId="9545" xr:uid="{00000000-0005-0000-0000-0000DB220000}"/>
    <cellStyle name="Heading 2 2 3" xfId="9546" xr:uid="{00000000-0005-0000-0000-0000DC220000}"/>
    <cellStyle name="Heading 2 2 3 2" xfId="9547" xr:uid="{00000000-0005-0000-0000-0000DD220000}"/>
    <cellStyle name="Heading 2 2 3 2 2" xfId="9548" xr:uid="{00000000-0005-0000-0000-0000DE220000}"/>
    <cellStyle name="Heading 2 2 3 3" xfId="9549" xr:uid="{00000000-0005-0000-0000-0000DF220000}"/>
    <cellStyle name="Heading 2 2 3 3 2" xfId="9550" xr:uid="{00000000-0005-0000-0000-0000E0220000}"/>
    <cellStyle name="Heading 2 2 3 3 2 2" xfId="9551" xr:uid="{00000000-0005-0000-0000-0000E1220000}"/>
    <cellStyle name="Heading 2 2 3 3 3" xfId="9552" xr:uid="{00000000-0005-0000-0000-0000E2220000}"/>
    <cellStyle name="Heading 2 2 3 4" xfId="9553" xr:uid="{00000000-0005-0000-0000-0000E3220000}"/>
    <cellStyle name="Heading 2 2 4" xfId="9554" xr:uid="{00000000-0005-0000-0000-0000E4220000}"/>
    <cellStyle name="Heading 2 2 4 2" xfId="9555" xr:uid="{00000000-0005-0000-0000-0000E5220000}"/>
    <cellStyle name="Heading 2 2 4 2 2" xfId="9556" xr:uid="{00000000-0005-0000-0000-0000E6220000}"/>
    <cellStyle name="Heading 2 2 4 3" xfId="9557" xr:uid="{00000000-0005-0000-0000-0000E7220000}"/>
    <cellStyle name="Heading 2 2 5" xfId="9558" xr:uid="{00000000-0005-0000-0000-0000E8220000}"/>
    <cellStyle name="Heading 2 2 5 2" xfId="9559" xr:uid="{00000000-0005-0000-0000-0000E9220000}"/>
    <cellStyle name="Heading 2 2 5 2 2" xfId="9560" xr:uid="{00000000-0005-0000-0000-0000EA220000}"/>
    <cellStyle name="Heading 2 2 5 3" xfId="9561" xr:uid="{00000000-0005-0000-0000-0000EB220000}"/>
    <cellStyle name="Heading 2 2 5 3 2" xfId="9562" xr:uid="{00000000-0005-0000-0000-0000EC220000}"/>
    <cellStyle name="Heading 2 2 5 3 2 2" xfId="9563" xr:uid="{00000000-0005-0000-0000-0000ED220000}"/>
    <cellStyle name="Heading 2 2 5 3 3" xfId="9564" xr:uid="{00000000-0005-0000-0000-0000EE220000}"/>
    <cellStyle name="Heading 2 2 5 4" xfId="9565" xr:uid="{00000000-0005-0000-0000-0000EF220000}"/>
    <cellStyle name="Heading 2 2 6" xfId="9566" xr:uid="{00000000-0005-0000-0000-0000F0220000}"/>
    <cellStyle name="Heading 2 2 6 2" xfId="9567" xr:uid="{00000000-0005-0000-0000-0000F1220000}"/>
    <cellStyle name="Heading 2 2 6 2 2" xfId="9568" xr:uid="{00000000-0005-0000-0000-0000F2220000}"/>
    <cellStyle name="Heading 2 2 6 3" xfId="9569" xr:uid="{00000000-0005-0000-0000-0000F3220000}"/>
    <cellStyle name="Heading 2 2 6 3 2" xfId="9570" xr:uid="{00000000-0005-0000-0000-0000F4220000}"/>
    <cellStyle name="Heading 2 2 6 4" xfId="9571" xr:uid="{00000000-0005-0000-0000-0000F5220000}"/>
    <cellStyle name="Heading 2 2 7" xfId="9572" xr:uid="{00000000-0005-0000-0000-0000F6220000}"/>
    <cellStyle name="Heading 2 2 7 2" xfId="9573" xr:uid="{00000000-0005-0000-0000-0000F7220000}"/>
    <cellStyle name="Heading 2 2 8" xfId="9574" xr:uid="{00000000-0005-0000-0000-0000F8220000}"/>
    <cellStyle name="Heading 2 2 8 2" xfId="9575" xr:uid="{00000000-0005-0000-0000-0000F9220000}"/>
    <cellStyle name="Heading 2 2 8 2 2" xfId="9576" xr:uid="{00000000-0005-0000-0000-0000FA220000}"/>
    <cellStyle name="Heading 2 2 8 3" xfId="9577" xr:uid="{00000000-0005-0000-0000-0000FB220000}"/>
    <cellStyle name="Heading 2 2 9" xfId="9578" xr:uid="{00000000-0005-0000-0000-0000FC220000}"/>
    <cellStyle name="Heading 2 2 9 2" xfId="9579" xr:uid="{00000000-0005-0000-0000-0000FD220000}"/>
    <cellStyle name="Heading 2 2 9 2 2" xfId="9580" xr:uid="{00000000-0005-0000-0000-0000FE220000}"/>
    <cellStyle name="Heading 2 2 9 3" xfId="9581" xr:uid="{00000000-0005-0000-0000-0000FF220000}"/>
    <cellStyle name="Heading 2 3" xfId="9582" xr:uid="{00000000-0005-0000-0000-000000230000}"/>
    <cellStyle name="Heading 2 3 2" xfId="9583" xr:uid="{00000000-0005-0000-0000-000001230000}"/>
    <cellStyle name="Heading 2 3 2 2" xfId="9584" xr:uid="{00000000-0005-0000-0000-000002230000}"/>
    <cellStyle name="Heading 2 3 3" xfId="9585" xr:uid="{00000000-0005-0000-0000-000003230000}"/>
    <cellStyle name="Heading 2 3 3 2" xfId="9586" xr:uid="{00000000-0005-0000-0000-000004230000}"/>
    <cellStyle name="Heading 2 3 4" xfId="9587" xr:uid="{00000000-0005-0000-0000-000005230000}"/>
    <cellStyle name="Heading 2 3 4 2" xfId="9588" xr:uid="{00000000-0005-0000-0000-000006230000}"/>
    <cellStyle name="Heading 2 3 4 2 2" xfId="9589" xr:uid="{00000000-0005-0000-0000-000007230000}"/>
    <cellStyle name="Heading 2 3 4 3" xfId="9590" xr:uid="{00000000-0005-0000-0000-000008230000}"/>
    <cellStyle name="Heading 2 3 5" xfId="9591" xr:uid="{00000000-0005-0000-0000-000009230000}"/>
    <cellStyle name="Heading 2 4" xfId="9592" xr:uid="{00000000-0005-0000-0000-00000A230000}"/>
    <cellStyle name="Heading 2 4 2" xfId="9593" xr:uid="{00000000-0005-0000-0000-00000B230000}"/>
    <cellStyle name="Heading 2 4 2 2" xfId="9594" xr:uid="{00000000-0005-0000-0000-00000C230000}"/>
    <cellStyle name="Heading 2 4 3" xfId="9595" xr:uid="{00000000-0005-0000-0000-00000D230000}"/>
    <cellStyle name="Heading 2 4 3 2" xfId="9596" xr:uid="{00000000-0005-0000-0000-00000E230000}"/>
    <cellStyle name="Heading 2 4 3 2 2" xfId="9597" xr:uid="{00000000-0005-0000-0000-00000F230000}"/>
    <cellStyle name="Heading 2 4 3 3" xfId="9598" xr:uid="{00000000-0005-0000-0000-000010230000}"/>
    <cellStyle name="Heading 2 4 4" xfId="9599" xr:uid="{00000000-0005-0000-0000-000011230000}"/>
    <cellStyle name="Heading 2 5" xfId="9600" xr:uid="{00000000-0005-0000-0000-000012230000}"/>
    <cellStyle name="Heading 2 5 2" xfId="9601" xr:uid="{00000000-0005-0000-0000-000013230000}"/>
    <cellStyle name="Heading 2 5 2 2" xfId="9602" xr:uid="{00000000-0005-0000-0000-000014230000}"/>
    <cellStyle name="Heading 2 5 3" xfId="9603" xr:uid="{00000000-0005-0000-0000-000015230000}"/>
    <cellStyle name="Heading 2 5 3 2" xfId="9604" xr:uid="{00000000-0005-0000-0000-000016230000}"/>
    <cellStyle name="Heading 2 5 3 2 2" xfId="9605" xr:uid="{00000000-0005-0000-0000-000017230000}"/>
    <cellStyle name="Heading 2 5 3 3" xfId="9606" xr:uid="{00000000-0005-0000-0000-000018230000}"/>
    <cellStyle name="Heading 2 5 4" xfId="9607" xr:uid="{00000000-0005-0000-0000-000019230000}"/>
    <cellStyle name="Heading 2 6" xfId="9608" xr:uid="{00000000-0005-0000-0000-00001A230000}"/>
    <cellStyle name="Heading 2 6 2" xfId="9609" xr:uid="{00000000-0005-0000-0000-00001B230000}"/>
    <cellStyle name="Heading 2 6 2 2" xfId="9610" xr:uid="{00000000-0005-0000-0000-00001C230000}"/>
    <cellStyle name="Heading 2 6 3" xfId="9611" xr:uid="{00000000-0005-0000-0000-00001D230000}"/>
    <cellStyle name="Heading 2 7" xfId="9612" xr:uid="{00000000-0005-0000-0000-00001E230000}"/>
    <cellStyle name="Heading 2 7 2" xfId="9613" xr:uid="{00000000-0005-0000-0000-00001F230000}"/>
    <cellStyle name="Heading 2 8" xfId="9614" xr:uid="{00000000-0005-0000-0000-000020230000}"/>
    <cellStyle name="Heading 2 9" xfId="9615" xr:uid="{00000000-0005-0000-0000-000021230000}"/>
    <cellStyle name="Heading 3 2" xfId="9616" xr:uid="{00000000-0005-0000-0000-000022230000}"/>
    <cellStyle name="Heading 3 2 10" xfId="9617" xr:uid="{00000000-0005-0000-0000-000023230000}"/>
    <cellStyle name="Heading 3 2 10 2" xfId="9618" xr:uid="{00000000-0005-0000-0000-000024230000}"/>
    <cellStyle name="Heading 3 2 11" xfId="9619" xr:uid="{00000000-0005-0000-0000-000025230000}"/>
    <cellStyle name="Heading 3 2 12" xfId="9620" xr:uid="{00000000-0005-0000-0000-000026230000}"/>
    <cellStyle name="Heading 3 2 2" xfId="9621" xr:uid="{00000000-0005-0000-0000-000027230000}"/>
    <cellStyle name="Heading 3 2 2 2" xfId="9622" xr:uid="{00000000-0005-0000-0000-000028230000}"/>
    <cellStyle name="Heading 3 2 2 2 2" xfId="9623" xr:uid="{00000000-0005-0000-0000-000029230000}"/>
    <cellStyle name="Heading 3 2 2 3" xfId="9624" xr:uid="{00000000-0005-0000-0000-00002A230000}"/>
    <cellStyle name="Heading 3 2 2 3 2" xfId="9625" xr:uid="{00000000-0005-0000-0000-00002B230000}"/>
    <cellStyle name="Heading 3 2 2 3 2 2" xfId="9626" xr:uid="{00000000-0005-0000-0000-00002C230000}"/>
    <cellStyle name="Heading 3 2 2 3 3" xfId="9627" xr:uid="{00000000-0005-0000-0000-00002D230000}"/>
    <cellStyle name="Heading 3 2 2 4" xfId="9628" xr:uid="{00000000-0005-0000-0000-00002E230000}"/>
    <cellStyle name="Heading 3 2 3" xfId="9629" xr:uid="{00000000-0005-0000-0000-00002F230000}"/>
    <cellStyle name="Heading 3 2 3 2" xfId="9630" xr:uid="{00000000-0005-0000-0000-000030230000}"/>
    <cellStyle name="Heading 3 2 3 2 2" xfId="9631" xr:uid="{00000000-0005-0000-0000-000031230000}"/>
    <cellStyle name="Heading 3 2 3 3" xfId="9632" xr:uid="{00000000-0005-0000-0000-000032230000}"/>
    <cellStyle name="Heading 3 2 3 3 2" xfId="9633" xr:uid="{00000000-0005-0000-0000-000033230000}"/>
    <cellStyle name="Heading 3 2 3 3 2 2" xfId="9634" xr:uid="{00000000-0005-0000-0000-000034230000}"/>
    <cellStyle name="Heading 3 2 3 3 3" xfId="9635" xr:uid="{00000000-0005-0000-0000-000035230000}"/>
    <cellStyle name="Heading 3 2 3 4" xfId="9636" xr:uid="{00000000-0005-0000-0000-000036230000}"/>
    <cellStyle name="Heading 3 2 4" xfId="9637" xr:uid="{00000000-0005-0000-0000-000037230000}"/>
    <cellStyle name="Heading 3 2 4 2" xfId="9638" xr:uid="{00000000-0005-0000-0000-000038230000}"/>
    <cellStyle name="Heading 3 2 4 2 2" xfId="9639" xr:uid="{00000000-0005-0000-0000-000039230000}"/>
    <cellStyle name="Heading 3 2 4 3" xfId="9640" xr:uid="{00000000-0005-0000-0000-00003A230000}"/>
    <cellStyle name="Heading 3 2 5" xfId="9641" xr:uid="{00000000-0005-0000-0000-00003B230000}"/>
    <cellStyle name="Heading 3 2 5 2" xfId="9642" xr:uid="{00000000-0005-0000-0000-00003C230000}"/>
    <cellStyle name="Heading 3 2 5 2 2" xfId="9643" xr:uid="{00000000-0005-0000-0000-00003D230000}"/>
    <cellStyle name="Heading 3 2 5 3" xfId="9644" xr:uid="{00000000-0005-0000-0000-00003E230000}"/>
    <cellStyle name="Heading 3 2 5 3 2" xfId="9645" xr:uid="{00000000-0005-0000-0000-00003F230000}"/>
    <cellStyle name="Heading 3 2 5 3 2 2" xfId="9646" xr:uid="{00000000-0005-0000-0000-000040230000}"/>
    <cellStyle name="Heading 3 2 5 3 3" xfId="9647" xr:uid="{00000000-0005-0000-0000-000041230000}"/>
    <cellStyle name="Heading 3 2 5 4" xfId="9648" xr:uid="{00000000-0005-0000-0000-000042230000}"/>
    <cellStyle name="Heading 3 2 6" xfId="9649" xr:uid="{00000000-0005-0000-0000-000043230000}"/>
    <cellStyle name="Heading 3 2 6 2" xfId="9650" xr:uid="{00000000-0005-0000-0000-000044230000}"/>
    <cellStyle name="Heading 3 2 6 2 2" xfId="9651" xr:uid="{00000000-0005-0000-0000-000045230000}"/>
    <cellStyle name="Heading 3 2 6 3" xfId="9652" xr:uid="{00000000-0005-0000-0000-000046230000}"/>
    <cellStyle name="Heading 3 2 6 3 2" xfId="9653" xr:uid="{00000000-0005-0000-0000-000047230000}"/>
    <cellStyle name="Heading 3 2 6 4" xfId="9654" xr:uid="{00000000-0005-0000-0000-000048230000}"/>
    <cellStyle name="Heading 3 2 7" xfId="9655" xr:uid="{00000000-0005-0000-0000-000049230000}"/>
    <cellStyle name="Heading 3 2 7 2" xfId="9656" xr:uid="{00000000-0005-0000-0000-00004A230000}"/>
    <cellStyle name="Heading 3 2 8" xfId="9657" xr:uid="{00000000-0005-0000-0000-00004B230000}"/>
    <cellStyle name="Heading 3 2 8 2" xfId="9658" xr:uid="{00000000-0005-0000-0000-00004C230000}"/>
    <cellStyle name="Heading 3 2 8 2 2" xfId="9659" xr:uid="{00000000-0005-0000-0000-00004D230000}"/>
    <cellStyle name="Heading 3 2 8 3" xfId="9660" xr:uid="{00000000-0005-0000-0000-00004E230000}"/>
    <cellStyle name="Heading 3 2 9" xfId="9661" xr:uid="{00000000-0005-0000-0000-00004F230000}"/>
    <cellStyle name="Heading 3 2 9 2" xfId="9662" xr:uid="{00000000-0005-0000-0000-000050230000}"/>
    <cellStyle name="Heading 3 2 9 2 2" xfId="9663" xr:uid="{00000000-0005-0000-0000-000051230000}"/>
    <cellStyle name="Heading 3 2 9 3" xfId="9664" xr:uid="{00000000-0005-0000-0000-000052230000}"/>
    <cellStyle name="Heading 3 3" xfId="9665" xr:uid="{00000000-0005-0000-0000-000053230000}"/>
    <cellStyle name="Heading 3 3 2" xfId="9666" xr:uid="{00000000-0005-0000-0000-000054230000}"/>
    <cellStyle name="Heading 3 3 2 2" xfId="9667" xr:uid="{00000000-0005-0000-0000-000055230000}"/>
    <cellStyle name="Heading 3 3 3" xfId="9668" xr:uid="{00000000-0005-0000-0000-000056230000}"/>
    <cellStyle name="Heading 3 3 3 2" xfId="9669" xr:uid="{00000000-0005-0000-0000-000057230000}"/>
    <cellStyle name="Heading 3 3 4" xfId="9670" xr:uid="{00000000-0005-0000-0000-000058230000}"/>
    <cellStyle name="Heading 3 3 4 2" xfId="9671" xr:uid="{00000000-0005-0000-0000-000059230000}"/>
    <cellStyle name="Heading 3 3 4 2 2" xfId="9672" xr:uid="{00000000-0005-0000-0000-00005A230000}"/>
    <cellStyle name="Heading 3 3 4 3" xfId="9673" xr:uid="{00000000-0005-0000-0000-00005B230000}"/>
    <cellStyle name="Heading 3 3 5" xfId="9674" xr:uid="{00000000-0005-0000-0000-00005C230000}"/>
    <cellStyle name="Heading 3 4" xfId="9675" xr:uid="{00000000-0005-0000-0000-00005D230000}"/>
    <cellStyle name="Heading 3 4 2" xfId="9676" xr:uid="{00000000-0005-0000-0000-00005E230000}"/>
    <cellStyle name="Heading 3 4 2 2" xfId="9677" xr:uid="{00000000-0005-0000-0000-00005F230000}"/>
    <cellStyle name="Heading 3 4 3" xfId="9678" xr:uid="{00000000-0005-0000-0000-000060230000}"/>
    <cellStyle name="Heading 3 4 3 2" xfId="9679" xr:uid="{00000000-0005-0000-0000-000061230000}"/>
    <cellStyle name="Heading 3 4 3 2 2" xfId="9680" xr:uid="{00000000-0005-0000-0000-000062230000}"/>
    <cellStyle name="Heading 3 4 3 3" xfId="9681" xr:uid="{00000000-0005-0000-0000-000063230000}"/>
    <cellStyle name="Heading 3 4 4" xfId="9682" xr:uid="{00000000-0005-0000-0000-000064230000}"/>
    <cellStyle name="Heading 3 5" xfId="9683" xr:uid="{00000000-0005-0000-0000-000065230000}"/>
    <cellStyle name="Heading 3 5 2" xfId="9684" xr:uid="{00000000-0005-0000-0000-000066230000}"/>
    <cellStyle name="Heading 3 5 2 2" xfId="9685" xr:uid="{00000000-0005-0000-0000-000067230000}"/>
    <cellStyle name="Heading 3 5 3" xfId="9686" xr:uid="{00000000-0005-0000-0000-000068230000}"/>
    <cellStyle name="Heading 3 5 3 2" xfId="9687" xr:uid="{00000000-0005-0000-0000-000069230000}"/>
    <cellStyle name="Heading 3 5 3 2 2" xfId="9688" xr:uid="{00000000-0005-0000-0000-00006A230000}"/>
    <cellStyle name="Heading 3 5 3 3" xfId="9689" xr:uid="{00000000-0005-0000-0000-00006B230000}"/>
    <cellStyle name="Heading 3 5 4" xfId="9690" xr:uid="{00000000-0005-0000-0000-00006C230000}"/>
    <cellStyle name="Heading 3 6" xfId="9691" xr:uid="{00000000-0005-0000-0000-00006D230000}"/>
    <cellStyle name="Heading 3 6 2" xfId="9692" xr:uid="{00000000-0005-0000-0000-00006E230000}"/>
    <cellStyle name="Heading 3 6 2 2" xfId="9693" xr:uid="{00000000-0005-0000-0000-00006F230000}"/>
    <cellStyle name="Heading 3 6 3" xfId="9694" xr:uid="{00000000-0005-0000-0000-000070230000}"/>
    <cellStyle name="Heading 3 7" xfId="9695" xr:uid="{00000000-0005-0000-0000-000071230000}"/>
    <cellStyle name="Heading 3 7 2" xfId="9696" xr:uid="{00000000-0005-0000-0000-000072230000}"/>
    <cellStyle name="Heading 3 8" xfId="9697" xr:uid="{00000000-0005-0000-0000-000073230000}"/>
    <cellStyle name="Heading 3 9" xfId="9698" xr:uid="{00000000-0005-0000-0000-000074230000}"/>
    <cellStyle name="Heading 4 2" xfId="9699" xr:uid="{00000000-0005-0000-0000-000075230000}"/>
    <cellStyle name="Heading 4 2 10" xfId="9700" xr:uid="{00000000-0005-0000-0000-000076230000}"/>
    <cellStyle name="Heading 4 2 10 2" xfId="9701" xr:uid="{00000000-0005-0000-0000-000077230000}"/>
    <cellStyle name="Heading 4 2 11" xfId="9702" xr:uid="{00000000-0005-0000-0000-000078230000}"/>
    <cellStyle name="Heading 4 2 12" xfId="9703" xr:uid="{00000000-0005-0000-0000-000079230000}"/>
    <cellStyle name="Heading 4 2 2" xfId="9704" xr:uid="{00000000-0005-0000-0000-00007A230000}"/>
    <cellStyle name="Heading 4 2 2 2" xfId="9705" xr:uid="{00000000-0005-0000-0000-00007B230000}"/>
    <cellStyle name="Heading 4 2 2 2 2" xfId="9706" xr:uid="{00000000-0005-0000-0000-00007C230000}"/>
    <cellStyle name="Heading 4 2 2 3" xfId="9707" xr:uid="{00000000-0005-0000-0000-00007D230000}"/>
    <cellStyle name="Heading 4 2 2 3 2" xfId="9708" xr:uid="{00000000-0005-0000-0000-00007E230000}"/>
    <cellStyle name="Heading 4 2 2 3 2 2" xfId="9709" xr:uid="{00000000-0005-0000-0000-00007F230000}"/>
    <cellStyle name="Heading 4 2 2 3 3" xfId="9710" xr:uid="{00000000-0005-0000-0000-000080230000}"/>
    <cellStyle name="Heading 4 2 2 4" xfId="9711" xr:uid="{00000000-0005-0000-0000-000081230000}"/>
    <cellStyle name="Heading 4 2 3" xfId="9712" xr:uid="{00000000-0005-0000-0000-000082230000}"/>
    <cellStyle name="Heading 4 2 3 2" xfId="9713" xr:uid="{00000000-0005-0000-0000-000083230000}"/>
    <cellStyle name="Heading 4 2 3 2 2" xfId="9714" xr:uid="{00000000-0005-0000-0000-000084230000}"/>
    <cellStyle name="Heading 4 2 3 3" xfId="9715" xr:uid="{00000000-0005-0000-0000-000085230000}"/>
    <cellStyle name="Heading 4 2 3 3 2" xfId="9716" xr:uid="{00000000-0005-0000-0000-000086230000}"/>
    <cellStyle name="Heading 4 2 3 3 2 2" xfId="9717" xr:uid="{00000000-0005-0000-0000-000087230000}"/>
    <cellStyle name="Heading 4 2 3 3 3" xfId="9718" xr:uid="{00000000-0005-0000-0000-000088230000}"/>
    <cellStyle name="Heading 4 2 3 4" xfId="9719" xr:uid="{00000000-0005-0000-0000-000089230000}"/>
    <cellStyle name="Heading 4 2 4" xfId="9720" xr:uid="{00000000-0005-0000-0000-00008A230000}"/>
    <cellStyle name="Heading 4 2 4 2" xfId="9721" xr:uid="{00000000-0005-0000-0000-00008B230000}"/>
    <cellStyle name="Heading 4 2 4 2 2" xfId="9722" xr:uid="{00000000-0005-0000-0000-00008C230000}"/>
    <cellStyle name="Heading 4 2 4 3" xfId="9723" xr:uid="{00000000-0005-0000-0000-00008D230000}"/>
    <cellStyle name="Heading 4 2 5" xfId="9724" xr:uid="{00000000-0005-0000-0000-00008E230000}"/>
    <cellStyle name="Heading 4 2 5 2" xfId="9725" xr:uid="{00000000-0005-0000-0000-00008F230000}"/>
    <cellStyle name="Heading 4 2 5 2 2" xfId="9726" xr:uid="{00000000-0005-0000-0000-000090230000}"/>
    <cellStyle name="Heading 4 2 5 3" xfId="9727" xr:uid="{00000000-0005-0000-0000-000091230000}"/>
    <cellStyle name="Heading 4 2 5 3 2" xfId="9728" xr:uid="{00000000-0005-0000-0000-000092230000}"/>
    <cellStyle name="Heading 4 2 5 3 2 2" xfId="9729" xr:uid="{00000000-0005-0000-0000-000093230000}"/>
    <cellStyle name="Heading 4 2 5 3 3" xfId="9730" xr:uid="{00000000-0005-0000-0000-000094230000}"/>
    <cellStyle name="Heading 4 2 5 4" xfId="9731" xr:uid="{00000000-0005-0000-0000-000095230000}"/>
    <cellStyle name="Heading 4 2 6" xfId="9732" xr:uid="{00000000-0005-0000-0000-000096230000}"/>
    <cellStyle name="Heading 4 2 6 2" xfId="9733" xr:uid="{00000000-0005-0000-0000-000097230000}"/>
    <cellStyle name="Heading 4 2 7" xfId="9734" xr:uid="{00000000-0005-0000-0000-000098230000}"/>
    <cellStyle name="Heading 4 2 7 2" xfId="9735" xr:uid="{00000000-0005-0000-0000-000099230000}"/>
    <cellStyle name="Heading 4 2 8" xfId="9736" xr:uid="{00000000-0005-0000-0000-00009A230000}"/>
    <cellStyle name="Heading 4 2 8 2" xfId="9737" xr:uid="{00000000-0005-0000-0000-00009B230000}"/>
    <cellStyle name="Heading 4 2 8 2 2" xfId="9738" xr:uid="{00000000-0005-0000-0000-00009C230000}"/>
    <cellStyle name="Heading 4 2 8 3" xfId="9739" xr:uid="{00000000-0005-0000-0000-00009D230000}"/>
    <cellStyle name="Heading 4 2 9" xfId="9740" xr:uid="{00000000-0005-0000-0000-00009E230000}"/>
    <cellStyle name="Heading 4 2 9 2" xfId="9741" xr:uid="{00000000-0005-0000-0000-00009F230000}"/>
    <cellStyle name="Heading 4 2 9 2 2" xfId="9742" xr:uid="{00000000-0005-0000-0000-0000A0230000}"/>
    <cellStyle name="Heading 4 2 9 3" xfId="9743" xr:uid="{00000000-0005-0000-0000-0000A1230000}"/>
    <cellStyle name="Heading 4 3" xfId="9744" xr:uid="{00000000-0005-0000-0000-0000A2230000}"/>
    <cellStyle name="Heading 4 3 2" xfId="9745" xr:uid="{00000000-0005-0000-0000-0000A3230000}"/>
    <cellStyle name="Heading 4 3 2 2" xfId="9746" xr:uid="{00000000-0005-0000-0000-0000A4230000}"/>
    <cellStyle name="Heading 4 3 3" xfId="9747" xr:uid="{00000000-0005-0000-0000-0000A5230000}"/>
    <cellStyle name="Heading 4 3 3 2" xfId="9748" xr:uid="{00000000-0005-0000-0000-0000A6230000}"/>
    <cellStyle name="Heading 4 3 4" xfId="9749" xr:uid="{00000000-0005-0000-0000-0000A7230000}"/>
    <cellStyle name="Heading 4 3 4 2" xfId="9750" xr:uid="{00000000-0005-0000-0000-0000A8230000}"/>
    <cellStyle name="Heading 4 3 4 2 2" xfId="9751" xr:uid="{00000000-0005-0000-0000-0000A9230000}"/>
    <cellStyle name="Heading 4 3 4 3" xfId="9752" xr:uid="{00000000-0005-0000-0000-0000AA230000}"/>
    <cellStyle name="Heading 4 3 5" xfId="9753" xr:uid="{00000000-0005-0000-0000-0000AB230000}"/>
    <cellStyle name="Heading 4 4" xfId="9754" xr:uid="{00000000-0005-0000-0000-0000AC230000}"/>
    <cellStyle name="Heading 4 4 2" xfId="9755" xr:uid="{00000000-0005-0000-0000-0000AD230000}"/>
    <cellStyle name="Heading 4 4 2 2" xfId="9756" xr:uid="{00000000-0005-0000-0000-0000AE230000}"/>
    <cellStyle name="Heading 4 4 3" xfId="9757" xr:uid="{00000000-0005-0000-0000-0000AF230000}"/>
    <cellStyle name="Heading 4 4 3 2" xfId="9758" xr:uid="{00000000-0005-0000-0000-0000B0230000}"/>
    <cellStyle name="Heading 4 4 3 2 2" xfId="9759" xr:uid="{00000000-0005-0000-0000-0000B1230000}"/>
    <cellStyle name="Heading 4 4 3 3" xfId="9760" xr:uid="{00000000-0005-0000-0000-0000B2230000}"/>
    <cellStyle name="Heading 4 4 4" xfId="9761" xr:uid="{00000000-0005-0000-0000-0000B3230000}"/>
    <cellStyle name="Heading 4 5" xfId="9762" xr:uid="{00000000-0005-0000-0000-0000B4230000}"/>
    <cellStyle name="Heading 4 5 2" xfId="9763" xr:uid="{00000000-0005-0000-0000-0000B5230000}"/>
    <cellStyle name="Heading 4 5 2 2" xfId="9764" xr:uid="{00000000-0005-0000-0000-0000B6230000}"/>
    <cellStyle name="Heading 4 5 3" xfId="9765" xr:uid="{00000000-0005-0000-0000-0000B7230000}"/>
    <cellStyle name="Heading 4 5 3 2" xfId="9766" xr:uid="{00000000-0005-0000-0000-0000B8230000}"/>
    <cellStyle name="Heading 4 5 3 2 2" xfId="9767" xr:uid="{00000000-0005-0000-0000-0000B9230000}"/>
    <cellStyle name="Heading 4 5 3 3" xfId="9768" xr:uid="{00000000-0005-0000-0000-0000BA230000}"/>
    <cellStyle name="Heading 4 5 4" xfId="9769" xr:uid="{00000000-0005-0000-0000-0000BB230000}"/>
    <cellStyle name="Heading 4 6" xfId="9770" xr:uid="{00000000-0005-0000-0000-0000BC230000}"/>
    <cellStyle name="Heading 4 6 2" xfId="9771" xr:uid="{00000000-0005-0000-0000-0000BD230000}"/>
    <cellStyle name="Heading 4 6 2 2" xfId="9772" xr:uid="{00000000-0005-0000-0000-0000BE230000}"/>
    <cellStyle name="Heading 4 6 3" xfId="9773" xr:uid="{00000000-0005-0000-0000-0000BF230000}"/>
    <cellStyle name="Heading 4 7" xfId="9774" xr:uid="{00000000-0005-0000-0000-0000C0230000}"/>
    <cellStyle name="Heading 4 7 2" xfId="9775" xr:uid="{00000000-0005-0000-0000-0000C1230000}"/>
    <cellStyle name="Heading 4 8" xfId="9776" xr:uid="{00000000-0005-0000-0000-0000C2230000}"/>
    <cellStyle name="Heading 4 9" xfId="9777" xr:uid="{00000000-0005-0000-0000-0000C3230000}"/>
    <cellStyle name="Heading1" xfId="9778" xr:uid="{00000000-0005-0000-0000-0000C4230000}"/>
    <cellStyle name="Heading1 2" xfId="9779" xr:uid="{00000000-0005-0000-0000-0000C5230000}"/>
    <cellStyle name="Heading1 2 2" xfId="9780" xr:uid="{00000000-0005-0000-0000-0000C6230000}"/>
    <cellStyle name="Heading1 3" xfId="9781" xr:uid="{00000000-0005-0000-0000-0000C7230000}"/>
    <cellStyle name="Heading2" xfId="9782" xr:uid="{00000000-0005-0000-0000-0000C8230000}"/>
    <cellStyle name="Heading2 2" xfId="9783" xr:uid="{00000000-0005-0000-0000-0000C9230000}"/>
    <cellStyle name="Heading2 2 2" xfId="9784" xr:uid="{00000000-0005-0000-0000-0000CA230000}"/>
    <cellStyle name="Heading2 3" xfId="9785" xr:uid="{00000000-0005-0000-0000-0000CB230000}"/>
    <cellStyle name="HEADINGS" xfId="9786" xr:uid="{00000000-0005-0000-0000-0000CC230000}"/>
    <cellStyle name="HEADINGS 2" xfId="9787" xr:uid="{00000000-0005-0000-0000-0000CD230000}"/>
    <cellStyle name="HEADINGS 2 2" xfId="9788" xr:uid="{00000000-0005-0000-0000-0000CE230000}"/>
    <cellStyle name="HEADINGS 2 2 2" xfId="9789" xr:uid="{00000000-0005-0000-0000-0000CF230000}"/>
    <cellStyle name="HEADINGS 2 3" xfId="9790" xr:uid="{00000000-0005-0000-0000-0000D0230000}"/>
    <cellStyle name="HEADINGS 2 3 2" xfId="9791" xr:uid="{00000000-0005-0000-0000-0000D1230000}"/>
    <cellStyle name="HEADINGS 2 3 2 2" xfId="9792" xr:uid="{00000000-0005-0000-0000-0000D2230000}"/>
    <cellStyle name="HEADINGS 2 3 3" xfId="9793" xr:uid="{00000000-0005-0000-0000-0000D3230000}"/>
    <cellStyle name="HEADINGS 2 4" xfId="9794" xr:uid="{00000000-0005-0000-0000-0000D4230000}"/>
    <cellStyle name="HEADINGS 3" xfId="9795" xr:uid="{00000000-0005-0000-0000-0000D5230000}"/>
    <cellStyle name="HEADINGS 3 2" xfId="9796" xr:uid="{00000000-0005-0000-0000-0000D6230000}"/>
    <cellStyle name="HEADINGS 3 2 2" xfId="9797" xr:uid="{00000000-0005-0000-0000-0000D7230000}"/>
    <cellStyle name="HEADINGS 3 3" xfId="9798" xr:uid="{00000000-0005-0000-0000-0000D8230000}"/>
    <cellStyle name="HEADINGS 4" xfId="9799" xr:uid="{00000000-0005-0000-0000-0000D9230000}"/>
    <cellStyle name="HEADINGS 4 2" xfId="9800" xr:uid="{00000000-0005-0000-0000-0000DA230000}"/>
    <cellStyle name="HEADINGS 4 2 2" xfId="9801" xr:uid="{00000000-0005-0000-0000-0000DB230000}"/>
    <cellStyle name="HEADINGS 4 3" xfId="9802" xr:uid="{00000000-0005-0000-0000-0000DC230000}"/>
    <cellStyle name="HEADINGS 5" xfId="9803" xr:uid="{00000000-0005-0000-0000-0000DD230000}"/>
    <cellStyle name="HEADINGS 5 2" xfId="9804" xr:uid="{00000000-0005-0000-0000-0000DE230000}"/>
    <cellStyle name="HEADINGS 6" xfId="9805" xr:uid="{00000000-0005-0000-0000-0000DF230000}"/>
    <cellStyle name="HEADINGS 6 2" xfId="9806" xr:uid="{00000000-0005-0000-0000-0000E0230000}"/>
    <cellStyle name="HEADINGS 7" xfId="9807" xr:uid="{00000000-0005-0000-0000-0000E1230000}"/>
    <cellStyle name="HEADINGSTOP" xfId="9808" xr:uid="{00000000-0005-0000-0000-0000E2230000}"/>
    <cellStyle name="HEADINGSTOP 2" xfId="9809" xr:uid="{00000000-0005-0000-0000-0000E3230000}"/>
    <cellStyle name="HEADINGSTOP 2 2" xfId="9810" xr:uid="{00000000-0005-0000-0000-0000E4230000}"/>
    <cellStyle name="HEADINGSTOP 2 2 2" xfId="9811" xr:uid="{00000000-0005-0000-0000-0000E5230000}"/>
    <cellStyle name="HEADINGSTOP 2 3" xfId="9812" xr:uid="{00000000-0005-0000-0000-0000E6230000}"/>
    <cellStyle name="HEADINGSTOP 2 3 2" xfId="9813" xr:uid="{00000000-0005-0000-0000-0000E7230000}"/>
    <cellStyle name="HEADINGSTOP 2 3 2 2" xfId="9814" xr:uid="{00000000-0005-0000-0000-0000E8230000}"/>
    <cellStyle name="HEADINGSTOP 2 3 3" xfId="9815" xr:uid="{00000000-0005-0000-0000-0000E9230000}"/>
    <cellStyle name="HEADINGSTOP 2 4" xfId="9816" xr:uid="{00000000-0005-0000-0000-0000EA230000}"/>
    <cellStyle name="HEADINGSTOP 3" xfId="9817" xr:uid="{00000000-0005-0000-0000-0000EB230000}"/>
    <cellStyle name="HEADINGSTOP 3 2" xfId="9818" xr:uid="{00000000-0005-0000-0000-0000EC230000}"/>
    <cellStyle name="HEADINGSTOP 3 2 2" xfId="9819" xr:uid="{00000000-0005-0000-0000-0000ED230000}"/>
    <cellStyle name="HEADINGSTOP 3 3" xfId="9820" xr:uid="{00000000-0005-0000-0000-0000EE230000}"/>
    <cellStyle name="HEADINGSTOP 4" xfId="9821" xr:uid="{00000000-0005-0000-0000-0000EF230000}"/>
    <cellStyle name="HEADINGSTOP 4 2" xfId="9822" xr:uid="{00000000-0005-0000-0000-0000F0230000}"/>
    <cellStyle name="HEADINGSTOP 4 2 2" xfId="9823" xr:uid="{00000000-0005-0000-0000-0000F1230000}"/>
    <cellStyle name="HEADINGSTOP 4 3" xfId="9824" xr:uid="{00000000-0005-0000-0000-0000F2230000}"/>
    <cellStyle name="HEADINGSTOP 5" xfId="9825" xr:uid="{00000000-0005-0000-0000-0000F3230000}"/>
    <cellStyle name="HEADINGSTOP 5 2" xfId="9826" xr:uid="{00000000-0005-0000-0000-0000F4230000}"/>
    <cellStyle name="HEADINGSTOP 6" xfId="9827" xr:uid="{00000000-0005-0000-0000-0000F5230000}"/>
    <cellStyle name="HEADINGSTOP 6 2" xfId="9828" xr:uid="{00000000-0005-0000-0000-0000F6230000}"/>
    <cellStyle name="HEADINGSTOP 7" xfId="9829" xr:uid="{00000000-0005-0000-0000-0000F7230000}"/>
    <cellStyle name="Helvetica 12" xfId="9830" xr:uid="{00000000-0005-0000-0000-0000F8230000}"/>
    <cellStyle name="Helvetica 12 2" xfId="9831" xr:uid="{00000000-0005-0000-0000-0000F9230000}"/>
    <cellStyle name="Helvetica 12 2 2" xfId="9832" xr:uid="{00000000-0005-0000-0000-0000FA230000}"/>
    <cellStyle name="Helvetica 12 2 2 2" xfId="9833" xr:uid="{00000000-0005-0000-0000-0000FB230000}"/>
    <cellStyle name="Helvetica 12 2 3" xfId="9834" xr:uid="{00000000-0005-0000-0000-0000FC230000}"/>
    <cellStyle name="Helvetica 12 2 3 2" xfId="9835" xr:uid="{00000000-0005-0000-0000-0000FD230000}"/>
    <cellStyle name="Helvetica 12 2 3 2 2" xfId="9836" xr:uid="{00000000-0005-0000-0000-0000FE230000}"/>
    <cellStyle name="Helvetica 12 2 3 3" xfId="9837" xr:uid="{00000000-0005-0000-0000-0000FF230000}"/>
    <cellStyle name="Helvetica 12 2 4" xfId="9838" xr:uid="{00000000-0005-0000-0000-000000240000}"/>
    <cellStyle name="Helvetica 12 3" xfId="9839" xr:uid="{00000000-0005-0000-0000-000001240000}"/>
    <cellStyle name="Helvetica 12 3 2" xfId="9840" xr:uid="{00000000-0005-0000-0000-000002240000}"/>
    <cellStyle name="Helvetica 12 3 2 2" xfId="9841" xr:uid="{00000000-0005-0000-0000-000003240000}"/>
    <cellStyle name="Helvetica 12 3 3" xfId="9842" xr:uid="{00000000-0005-0000-0000-000004240000}"/>
    <cellStyle name="Helvetica 12 4" xfId="9843" xr:uid="{00000000-0005-0000-0000-000005240000}"/>
    <cellStyle name="Helvetica 12 4 2" xfId="9844" xr:uid="{00000000-0005-0000-0000-000006240000}"/>
    <cellStyle name="Helvetica 12 5" xfId="9845" xr:uid="{00000000-0005-0000-0000-000007240000}"/>
    <cellStyle name="Helvetica 12 5 2" xfId="9846" xr:uid="{00000000-0005-0000-0000-000008240000}"/>
    <cellStyle name="Helvetica 12 6" xfId="9847" xr:uid="{00000000-0005-0000-0000-000009240000}"/>
    <cellStyle name="Hidden" xfId="9848" xr:uid="{00000000-0005-0000-0000-00000A240000}"/>
    <cellStyle name="Hidden 2" xfId="9849" xr:uid="{00000000-0005-0000-0000-00000B240000}"/>
    <cellStyle name="HIGHLIGHT" xfId="9850" xr:uid="{00000000-0005-0000-0000-00000C240000}"/>
    <cellStyle name="HIGHLIGHT 2" xfId="9851" xr:uid="{00000000-0005-0000-0000-00000D240000}"/>
    <cellStyle name="HIGHLIGHT 2 2" xfId="9852" xr:uid="{00000000-0005-0000-0000-00000E240000}"/>
    <cellStyle name="HIGHLIGHT 2 2 2" xfId="9853" xr:uid="{00000000-0005-0000-0000-00000F240000}"/>
    <cellStyle name="HIGHLIGHT 2 2 2 2" xfId="9854" xr:uid="{00000000-0005-0000-0000-000010240000}"/>
    <cellStyle name="HIGHLIGHT 2 2 3" xfId="9855" xr:uid="{00000000-0005-0000-0000-000011240000}"/>
    <cellStyle name="HIGHLIGHT 2 2 3 2" xfId="9856" xr:uid="{00000000-0005-0000-0000-000012240000}"/>
    <cellStyle name="HIGHLIGHT 2 2 3 2 2" xfId="9857" xr:uid="{00000000-0005-0000-0000-000013240000}"/>
    <cellStyle name="HIGHLIGHT 2 2 3 3" xfId="9858" xr:uid="{00000000-0005-0000-0000-000014240000}"/>
    <cellStyle name="HIGHLIGHT 2 2 4" xfId="9859" xr:uid="{00000000-0005-0000-0000-000015240000}"/>
    <cellStyle name="HIGHLIGHT 2 3" xfId="9860" xr:uid="{00000000-0005-0000-0000-000016240000}"/>
    <cellStyle name="HIGHLIGHT 2 3 2" xfId="9861" xr:uid="{00000000-0005-0000-0000-000017240000}"/>
    <cellStyle name="HIGHLIGHT 2 4" xfId="9862" xr:uid="{00000000-0005-0000-0000-000018240000}"/>
    <cellStyle name="HIGHLIGHT 3" xfId="9863" xr:uid="{00000000-0005-0000-0000-000019240000}"/>
    <cellStyle name="HIGHLIGHT 3 2" xfId="9864" xr:uid="{00000000-0005-0000-0000-00001A240000}"/>
    <cellStyle name="HIGHLIGHT 4" xfId="9865" xr:uid="{00000000-0005-0000-0000-00001B240000}"/>
    <cellStyle name="HIGHLIGHT 4 2" xfId="9866" xr:uid="{00000000-0005-0000-0000-00001C240000}"/>
    <cellStyle name="HIGHLIGHT 5" xfId="9867" xr:uid="{00000000-0005-0000-0000-00001D240000}"/>
    <cellStyle name="Hyperlink" xfId="27" builtinId="8"/>
    <cellStyle name="Initial Inputs" xfId="9868" xr:uid="{00000000-0005-0000-0000-00001F240000}"/>
    <cellStyle name="Initial Inputs 2" xfId="9869" xr:uid="{00000000-0005-0000-0000-000020240000}"/>
    <cellStyle name="Input [yellow]" xfId="9870" xr:uid="{00000000-0005-0000-0000-000021240000}"/>
    <cellStyle name="Input [yellow] 2" xfId="9871" xr:uid="{00000000-0005-0000-0000-000022240000}"/>
    <cellStyle name="Input 10" xfId="9872" xr:uid="{00000000-0005-0000-0000-000023240000}"/>
    <cellStyle name="Input 10 2" xfId="9873" xr:uid="{00000000-0005-0000-0000-000024240000}"/>
    <cellStyle name="Input 10 2 2" xfId="9874" xr:uid="{00000000-0005-0000-0000-000025240000}"/>
    <cellStyle name="Input 10 2 2 2" xfId="9875" xr:uid="{00000000-0005-0000-0000-000026240000}"/>
    <cellStyle name="Input 10 2 3" xfId="9876" xr:uid="{00000000-0005-0000-0000-000027240000}"/>
    <cellStyle name="Input 10 3" xfId="9877" xr:uid="{00000000-0005-0000-0000-000028240000}"/>
    <cellStyle name="Input 10 3 2" xfId="9878" xr:uid="{00000000-0005-0000-0000-000029240000}"/>
    <cellStyle name="Input 10 4" xfId="9879" xr:uid="{00000000-0005-0000-0000-00002A240000}"/>
    <cellStyle name="Input 100" xfId="9880" xr:uid="{00000000-0005-0000-0000-00002B240000}"/>
    <cellStyle name="Input 100 2" xfId="9881" xr:uid="{00000000-0005-0000-0000-00002C240000}"/>
    <cellStyle name="Input 100 2 2" xfId="9882" xr:uid="{00000000-0005-0000-0000-00002D240000}"/>
    <cellStyle name="Input 100 2 2 2" xfId="9883" xr:uid="{00000000-0005-0000-0000-00002E240000}"/>
    <cellStyle name="Input 100 2 3" xfId="9884" xr:uid="{00000000-0005-0000-0000-00002F240000}"/>
    <cellStyle name="Input 100 3" xfId="9885" xr:uid="{00000000-0005-0000-0000-000030240000}"/>
    <cellStyle name="Input 100 3 2" xfId="9886" xr:uid="{00000000-0005-0000-0000-000031240000}"/>
    <cellStyle name="Input 100 4" xfId="9887" xr:uid="{00000000-0005-0000-0000-000032240000}"/>
    <cellStyle name="Input 101" xfId="9888" xr:uid="{00000000-0005-0000-0000-000033240000}"/>
    <cellStyle name="Input 101 2" xfId="9889" xr:uid="{00000000-0005-0000-0000-000034240000}"/>
    <cellStyle name="Input 101 2 2" xfId="9890" xr:uid="{00000000-0005-0000-0000-000035240000}"/>
    <cellStyle name="Input 101 2 2 2" xfId="9891" xr:uid="{00000000-0005-0000-0000-000036240000}"/>
    <cellStyle name="Input 101 2 3" xfId="9892" xr:uid="{00000000-0005-0000-0000-000037240000}"/>
    <cellStyle name="Input 101 3" xfId="9893" xr:uid="{00000000-0005-0000-0000-000038240000}"/>
    <cellStyle name="Input 101 3 2" xfId="9894" xr:uid="{00000000-0005-0000-0000-000039240000}"/>
    <cellStyle name="Input 101 4" xfId="9895" xr:uid="{00000000-0005-0000-0000-00003A240000}"/>
    <cellStyle name="Input 102" xfId="9896" xr:uid="{00000000-0005-0000-0000-00003B240000}"/>
    <cellStyle name="Input 102 2" xfId="9897" xr:uid="{00000000-0005-0000-0000-00003C240000}"/>
    <cellStyle name="Input 102 2 2" xfId="9898" xr:uid="{00000000-0005-0000-0000-00003D240000}"/>
    <cellStyle name="Input 102 2 2 2" xfId="9899" xr:uid="{00000000-0005-0000-0000-00003E240000}"/>
    <cellStyle name="Input 102 2 2 2 2" xfId="9900" xr:uid="{00000000-0005-0000-0000-00003F240000}"/>
    <cellStyle name="Input 102 2 2 3" xfId="9901" xr:uid="{00000000-0005-0000-0000-000040240000}"/>
    <cellStyle name="Input 102 2 3" xfId="9902" xr:uid="{00000000-0005-0000-0000-000041240000}"/>
    <cellStyle name="Input 102 2 3 2" xfId="9903" xr:uid="{00000000-0005-0000-0000-000042240000}"/>
    <cellStyle name="Input 102 2 4" xfId="9904" xr:uid="{00000000-0005-0000-0000-000043240000}"/>
    <cellStyle name="Input 102 3" xfId="9905" xr:uid="{00000000-0005-0000-0000-000044240000}"/>
    <cellStyle name="Input 102 3 2" xfId="9906" xr:uid="{00000000-0005-0000-0000-000045240000}"/>
    <cellStyle name="Input 102 3 2 2" xfId="9907" xr:uid="{00000000-0005-0000-0000-000046240000}"/>
    <cellStyle name="Input 102 3 3" xfId="9908" xr:uid="{00000000-0005-0000-0000-000047240000}"/>
    <cellStyle name="Input 102 4" xfId="9909" xr:uid="{00000000-0005-0000-0000-000048240000}"/>
    <cellStyle name="Input 102 4 2" xfId="9910" xr:uid="{00000000-0005-0000-0000-000049240000}"/>
    <cellStyle name="Input 102 5" xfId="9911" xr:uid="{00000000-0005-0000-0000-00004A240000}"/>
    <cellStyle name="Input 103" xfId="9912" xr:uid="{00000000-0005-0000-0000-00004B240000}"/>
    <cellStyle name="Input 103 2" xfId="9913" xr:uid="{00000000-0005-0000-0000-00004C240000}"/>
    <cellStyle name="Input 103 2 2" xfId="9914" xr:uid="{00000000-0005-0000-0000-00004D240000}"/>
    <cellStyle name="Input 103 2 2 2" xfId="9915" xr:uid="{00000000-0005-0000-0000-00004E240000}"/>
    <cellStyle name="Input 103 2 2 2 2" xfId="9916" xr:uid="{00000000-0005-0000-0000-00004F240000}"/>
    <cellStyle name="Input 103 2 2 3" xfId="9917" xr:uid="{00000000-0005-0000-0000-000050240000}"/>
    <cellStyle name="Input 103 2 3" xfId="9918" xr:uid="{00000000-0005-0000-0000-000051240000}"/>
    <cellStyle name="Input 103 2 3 2" xfId="9919" xr:uid="{00000000-0005-0000-0000-000052240000}"/>
    <cellStyle name="Input 103 2 4" xfId="9920" xr:uid="{00000000-0005-0000-0000-000053240000}"/>
    <cellStyle name="Input 103 3" xfId="9921" xr:uid="{00000000-0005-0000-0000-000054240000}"/>
    <cellStyle name="Input 103 3 2" xfId="9922" xr:uid="{00000000-0005-0000-0000-000055240000}"/>
    <cellStyle name="Input 103 3 2 2" xfId="9923" xr:uid="{00000000-0005-0000-0000-000056240000}"/>
    <cellStyle name="Input 103 3 3" xfId="9924" xr:uid="{00000000-0005-0000-0000-000057240000}"/>
    <cellStyle name="Input 103 4" xfId="9925" xr:uid="{00000000-0005-0000-0000-000058240000}"/>
    <cellStyle name="Input 103 4 2" xfId="9926" xr:uid="{00000000-0005-0000-0000-000059240000}"/>
    <cellStyle name="Input 103 5" xfId="9927" xr:uid="{00000000-0005-0000-0000-00005A240000}"/>
    <cellStyle name="Input 104" xfId="9928" xr:uid="{00000000-0005-0000-0000-00005B240000}"/>
    <cellStyle name="Input 104 2" xfId="9929" xr:uid="{00000000-0005-0000-0000-00005C240000}"/>
    <cellStyle name="Input 104 2 2" xfId="9930" xr:uid="{00000000-0005-0000-0000-00005D240000}"/>
    <cellStyle name="Input 104 2 2 2" xfId="9931" xr:uid="{00000000-0005-0000-0000-00005E240000}"/>
    <cellStyle name="Input 104 2 2 2 2" xfId="9932" xr:uid="{00000000-0005-0000-0000-00005F240000}"/>
    <cellStyle name="Input 104 2 2 2 2 2" xfId="9933" xr:uid="{00000000-0005-0000-0000-000060240000}"/>
    <cellStyle name="Input 104 2 2 2 3" xfId="9934" xr:uid="{00000000-0005-0000-0000-000061240000}"/>
    <cellStyle name="Input 104 2 2 3" xfId="9935" xr:uid="{00000000-0005-0000-0000-000062240000}"/>
    <cellStyle name="Input 104 2 2 3 2" xfId="9936" xr:uid="{00000000-0005-0000-0000-000063240000}"/>
    <cellStyle name="Input 104 2 2 4" xfId="9937" xr:uid="{00000000-0005-0000-0000-000064240000}"/>
    <cellStyle name="Input 104 2 3" xfId="9938" xr:uid="{00000000-0005-0000-0000-000065240000}"/>
    <cellStyle name="Input 104 2 3 2" xfId="9939" xr:uid="{00000000-0005-0000-0000-000066240000}"/>
    <cellStyle name="Input 104 2 3 2 2" xfId="9940" xr:uid="{00000000-0005-0000-0000-000067240000}"/>
    <cellStyle name="Input 104 2 3 3" xfId="9941" xr:uid="{00000000-0005-0000-0000-000068240000}"/>
    <cellStyle name="Input 104 2 4" xfId="9942" xr:uid="{00000000-0005-0000-0000-000069240000}"/>
    <cellStyle name="Input 104 2 4 2" xfId="9943" xr:uid="{00000000-0005-0000-0000-00006A240000}"/>
    <cellStyle name="Input 104 2 5" xfId="9944" xr:uid="{00000000-0005-0000-0000-00006B240000}"/>
    <cellStyle name="Input 104 3" xfId="9945" xr:uid="{00000000-0005-0000-0000-00006C240000}"/>
    <cellStyle name="Input 104 3 2" xfId="9946" xr:uid="{00000000-0005-0000-0000-00006D240000}"/>
    <cellStyle name="Input 104 3 2 2" xfId="9947" xr:uid="{00000000-0005-0000-0000-00006E240000}"/>
    <cellStyle name="Input 104 3 2 2 2" xfId="9948" xr:uid="{00000000-0005-0000-0000-00006F240000}"/>
    <cellStyle name="Input 104 3 2 3" xfId="9949" xr:uid="{00000000-0005-0000-0000-000070240000}"/>
    <cellStyle name="Input 104 3 3" xfId="9950" xr:uid="{00000000-0005-0000-0000-000071240000}"/>
    <cellStyle name="Input 104 3 3 2" xfId="9951" xr:uid="{00000000-0005-0000-0000-000072240000}"/>
    <cellStyle name="Input 104 3 4" xfId="9952" xr:uid="{00000000-0005-0000-0000-000073240000}"/>
    <cellStyle name="Input 104 4" xfId="9953" xr:uid="{00000000-0005-0000-0000-000074240000}"/>
    <cellStyle name="Input 104 4 2" xfId="9954" xr:uid="{00000000-0005-0000-0000-000075240000}"/>
    <cellStyle name="Input 104 4 2 2" xfId="9955" xr:uid="{00000000-0005-0000-0000-000076240000}"/>
    <cellStyle name="Input 104 4 3" xfId="9956" xr:uid="{00000000-0005-0000-0000-000077240000}"/>
    <cellStyle name="Input 104 5" xfId="9957" xr:uid="{00000000-0005-0000-0000-000078240000}"/>
    <cellStyle name="Input 104 5 2" xfId="9958" xr:uid="{00000000-0005-0000-0000-000079240000}"/>
    <cellStyle name="Input 104 6" xfId="9959" xr:uid="{00000000-0005-0000-0000-00007A240000}"/>
    <cellStyle name="Input 105" xfId="9960" xr:uid="{00000000-0005-0000-0000-00007B240000}"/>
    <cellStyle name="Input 105 2" xfId="9961" xr:uid="{00000000-0005-0000-0000-00007C240000}"/>
    <cellStyle name="Input 105 2 2" xfId="9962" xr:uid="{00000000-0005-0000-0000-00007D240000}"/>
    <cellStyle name="Input 105 2 2 2" xfId="9963" xr:uid="{00000000-0005-0000-0000-00007E240000}"/>
    <cellStyle name="Input 105 2 3" xfId="9964" xr:uid="{00000000-0005-0000-0000-00007F240000}"/>
    <cellStyle name="Input 105 3" xfId="9965" xr:uid="{00000000-0005-0000-0000-000080240000}"/>
    <cellStyle name="Input 105 3 2" xfId="9966" xr:uid="{00000000-0005-0000-0000-000081240000}"/>
    <cellStyle name="Input 105 4" xfId="9967" xr:uid="{00000000-0005-0000-0000-000082240000}"/>
    <cellStyle name="Input 106" xfId="9968" xr:uid="{00000000-0005-0000-0000-000083240000}"/>
    <cellStyle name="Input 106 2" xfId="9969" xr:uid="{00000000-0005-0000-0000-000084240000}"/>
    <cellStyle name="Input 106 2 2" xfId="9970" xr:uid="{00000000-0005-0000-0000-000085240000}"/>
    <cellStyle name="Input 106 2 2 2" xfId="9971" xr:uid="{00000000-0005-0000-0000-000086240000}"/>
    <cellStyle name="Input 106 2 3" xfId="9972" xr:uid="{00000000-0005-0000-0000-000087240000}"/>
    <cellStyle name="Input 106 3" xfId="9973" xr:uid="{00000000-0005-0000-0000-000088240000}"/>
    <cellStyle name="Input 106 3 2" xfId="9974" xr:uid="{00000000-0005-0000-0000-000089240000}"/>
    <cellStyle name="Input 106 4" xfId="9975" xr:uid="{00000000-0005-0000-0000-00008A240000}"/>
    <cellStyle name="Input 107" xfId="9976" xr:uid="{00000000-0005-0000-0000-00008B240000}"/>
    <cellStyle name="Input 107 2" xfId="9977" xr:uid="{00000000-0005-0000-0000-00008C240000}"/>
    <cellStyle name="Input 107 2 2" xfId="9978" xr:uid="{00000000-0005-0000-0000-00008D240000}"/>
    <cellStyle name="Input 107 2 2 2" xfId="9979" xr:uid="{00000000-0005-0000-0000-00008E240000}"/>
    <cellStyle name="Input 107 2 3" xfId="9980" xr:uid="{00000000-0005-0000-0000-00008F240000}"/>
    <cellStyle name="Input 107 3" xfId="9981" xr:uid="{00000000-0005-0000-0000-000090240000}"/>
    <cellStyle name="Input 107 3 2" xfId="9982" xr:uid="{00000000-0005-0000-0000-000091240000}"/>
    <cellStyle name="Input 107 4" xfId="9983" xr:uid="{00000000-0005-0000-0000-000092240000}"/>
    <cellStyle name="Input 108" xfId="9984" xr:uid="{00000000-0005-0000-0000-000093240000}"/>
    <cellStyle name="Input 108 2" xfId="9985" xr:uid="{00000000-0005-0000-0000-000094240000}"/>
    <cellStyle name="Input 108 2 2" xfId="9986" xr:uid="{00000000-0005-0000-0000-000095240000}"/>
    <cellStyle name="Input 108 2 2 2" xfId="9987" xr:uid="{00000000-0005-0000-0000-000096240000}"/>
    <cellStyle name="Input 108 2 2 2 2" xfId="9988" xr:uid="{00000000-0005-0000-0000-000097240000}"/>
    <cellStyle name="Input 108 2 2 2 2 2" xfId="9989" xr:uid="{00000000-0005-0000-0000-000098240000}"/>
    <cellStyle name="Input 108 2 2 2 3" xfId="9990" xr:uid="{00000000-0005-0000-0000-000099240000}"/>
    <cellStyle name="Input 108 2 2 3" xfId="9991" xr:uid="{00000000-0005-0000-0000-00009A240000}"/>
    <cellStyle name="Input 108 2 2 3 2" xfId="9992" xr:uid="{00000000-0005-0000-0000-00009B240000}"/>
    <cellStyle name="Input 108 2 2 4" xfId="9993" xr:uid="{00000000-0005-0000-0000-00009C240000}"/>
    <cellStyle name="Input 108 2 3" xfId="9994" xr:uid="{00000000-0005-0000-0000-00009D240000}"/>
    <cellStyle name="Input 108 2 3 2" xfId="9995" xr:uid="{00000000-0005-0000-0000-00009E240000}"/>
    <cellStyle name="Input 108 2 3 2 2" xfId="9996" xr:uid="{00000000-0005-0000-0000-00009F240000}"/>
    <cellStyle name="Input 108 2 3 3" xfId="9997" xr:uid="{00000000-0005-0000-0000-0000A0240000}"/>
    <cellStyle name="Input 108 2 4" xfId="9998" xr:uid="{00000000-0005-0000-0000-0000A1240000}"/>
    <cellStyle name="Input 108 2 4 2" xfId="9999" xr:uid="{00000000-0005-0000-0000-0000A2240000}"/>
    <cellStyle name="Input 108 2 5" xfId="10000" xr:uid="{00000000-0005-0000-0000-0000A3240000}"/>
    <cellStyle name="Input 108 3" xfId="10001" xr:uid="{00000000-0005-0000-0000-0000A4240000}"/>
    <cellStyle name="Input 108 3 2" xfId="10002" xr:uid="{00000000-0005-0000-0000-0000A5240000}"/>
    <cellStyle name="Input 108 3 2 2" xfId="10003" xr:uid="{00000000-0005-0000-0000-0000A6240000}"/>
    <cellStyle name="Input 108 3 2 2 2" xfId="10004" xr:uid="{00000000-0005-0000-0000-0000A7240000}"/>
    <cellStyle name="Input 108 3 2 3" xfId="10005" xr:uid="{00000000-0005-0000-0000-0000A8240000}"/>
    <cellStyle name="Input 108 3 3" xfId="10006" xr:uid="{00000000-0005-0000-0000-0000A9240000}"/>
    <cellStyle name="Input 108 3 3 2" xfId="10007" xr:uid="{00000000-0005-0000-0000-0000AA240000}"/>
    <cellStyle name="Input 108 3 4" xfId="10008" xr:uid="{00000000-0005-0000-0000-0000AB240000}"/>
    <cellStyle name="Input 108 4" xfId="10009" xr:uid="{00000000-0005-0000-0000-0000AC240000}"/>
    <cellStyle name="Input 108 4 2" xfId="10010" xr:uid="{00000000-0005-0000-0000-0000AD240000}"/>
    <cellStyle name="Input 108 4 2 2" xfId="10011" xr:uid="{00000000-0005-0000-0000-0000AE240000}"/>
    <cellStyle name="Input 108 4 3" xfId="10012" xr:uid="{00000000-0005-0000-0000-0000AF240000}"/>
    <cellStyle name="Input 108 5" xfId="10013" xr:uid="{00000000-0005-0000-0000-0000B0240000}"/>
    <cellStyle name="Input 108 5 2" xfId="10014" xr:uid="{00000000-0005-0000-0000-0000B1240000}"/>
    <cellStyle name="Input 108 6" xfId="10015" xr:uid="{00000000-0005-0000-0000-0000B2240000}"/>
    <cellStyle name="Input 109" xfId="10016" xr:uid="{00000000-0005-0000-0000-0000B3240000}"/>
    <cellStyle name="Input 109 2" xfId="10017" xr:uid="{00000000-0005-0000-0000-0000B4240000}"/>
    <cellStyle name="Input 109 2 2" xfId="10018" xr:uid="{00000000-0005-0000-0000-0000B5240000}"/>
    <cellStyle name="Input 109 2 2 2" xfId="10019" xr:uid="{00000000-0005-0000-0000-0000B6240000}"/>
    <cellStyle name="Input 109 2 2 2 2" xfId="10020" xr:uid="{00000000-0005-0000-0000-0000B7240000}"/>
    <cellStyle name="Input 109 2 2 2 2 2" xfId="10021" xr:uid="{00000000-0005-0000-0000-0000B8240000}"/>
    <cellStyle name="Input 109 2 2 2 3" xfId="10022" xr:uid="{00000000-0005-0000-0000-0000B9240000}"/>
    <cellStyle name="Input 109 2 2 3" xfId="10023" xr:uid="{00000000-0005-0000-0000-0000BA240000}"/>
    <cellStyle name="Input 109 2 2 3 2" xfId="10024" xr:uid="{00000000-0005-0000-0000-0000BB240000}"/>
    <cellStyle name="Input 109 2 2 4" xfId="10025" xr:uid="{00000000-0005-0000-0000-0000BC240000}"/>
    <cellStyle name="Input 109 2 3" xfId="10026" xr:uid="{00000000-0005-0000-0000-0000BD240000}"/>
    <cellStyle name="Input 109 2 3 2" xfId="10027" xr:uid="{00000000-0005-0000-0000-0000BE240000}"/>
    <cellStyle name="Input 109 2 3 2 2" xfId="10028" xr:uid="{00000000-0005-0000-0000-0000BF240000}"/>
    <cellStyle name="Input 109 2 3 3" xfId="10029" xr:uid="{00000000-0005-0000-0000-0000C0240000}"/>
    <cellStyle name="Input 109 2 4" xfId="10030" xr:uid="{00000000-0005-0000-0000-0000C1240000}"/>
    <cellStyle name="Input 109 2 4 2" xfId="10031" xr:uid="{00000000-0005-0000-0000-0000C2240000}"/>
    <cellStyle name="Input 109 2 5" xfId="10032" xr:uid="{00000000-0005-0000-0000-0000C3240000}"/>
    <cellStyle name="Input 109 3" xfId="10033" xr:uid="{00000000-0005-0000-0000-0000C4240000}"/>
    <cellStyle name="Input 109 3 2" xfId="10034" xr:uid="{00000000-0005-0000-0000-0000C5240000}"/>
    <cellStyle name="Input 109 3 2 2" xfId="10035" xr:uid="{00000000-0005-0000-0000-0000C6240000}"/>
    <cellStyle name="Input 109 3 2 2 2" xfId="10036" xr:uid="{00000000-0005-0000-0000-0000C7240000}"/>
    <cellStyle name="Input 109 3 2 3" xfId="10037" xr:uid="{00000000-0005-0000-0000-0000C8240000}"/>
    <cellStyle name="Input 109 3 3" xfId="10038" xr:uid="{00000000-0005-0000-0000-0000C9240000}"/>
    <cellStyle name="Input 109 3 3 2" xfId="10039" xr:uid="{00000000-0005-0000-0000-0000CA240000}"/>
    <cellStyle name="Input 109 3 4" xfId="10040" xr:uid="{00000000-0005-0000-0000-0000CB240000}"/>
    <cellStyle name="Input 109 4" xfId="10041" xr:uid="{00000000-0005-0000-0000-0000CC240000}"/>
    <cellStyle name="Input 109 4 2" xfId="10042" xr:uid="{00000000-0005-0000-0000-0000CD240000}"/>
    <cellStyle name="Input 109 4 2 2" xfId="10043" xr:uid="{00000000-0005-0000-0000-0000CE240000}"/>
    <cellStyle name="Input 109 4 3" xfId="10044" xr:uid="{00000000-0005-0000-0000-0000CF240000}"/>
    <cellStyle name="Input 109 5" xfId="10045" xr:uid="{00000000-0005-0000-0000-0000D0240000}"/>
    <cellStyle name="Input 109 5 2" xfId="10046" xr:uid="{00000000-0005-0000-0000-0000D1240000}"/>
    <cellStyle name="Input 109 6" xfId="10047" xr:uid="{00000000-0005-0000-0000-0000D2240000}"/>
    <cellStyle name="Input 11" xfId="10048" xr:uid="{00000000-0005-0000-0000-0000D3240000}"/>
    <cellStyle name="Input 11 2" xfId="10049" xr:uid="{00000000-0005-0000-0000-0000D4240000}"/>
    <cellStyle name="Input 11 2 2" xfId="10050" xr:uid="{00000000-0005-0000-0000-0000D5240000}"/>
    <cellStyle name="Input 11 2 2 2" xfId="10051" xr:uid="{00000000-0005-0000-0000-0000D6240000}"/>
    <cellStyle name="Input 11 2 3" xfId="10052" xr:uid="{00000000-0005-0000-0000-0000D7240000}"/>
    <cellStyle name="Input 11 3" xfId="10053" xr:uid="{00000000-0005-0000-0000-0000D8240000}"/>
    <cellStyle name="Input 11 3 2" xfId="10054" xr:uid="{00000000-0005-0000-0000-0000D9240000}"/>
    <cellStyle name="Input 11 4" xfId="10055" xr:uid="{00000000-0005-0000-0000-0000DA240000}"/>
    <cellStyle name="Input 110" xfId="10056" xr:uid="{00000000-0005-0000-0000-0000DB240000}"/>
    <cellStyle name="Input 110 2" xfId="10057" xr:uid="{00000000-0005-0000-0000-0000DC240000}"/>
    <cellStyle name="Input 110 2 2" xfId="10058" xr:uid="{00000000-0005-0000-0000-0000DD240000}"/>
    <cellStyle name="Input 110 2 2 2" xfId="10059" xr:uid="{00000000-0005-0000-0000-0000DE240000}"/>
    <cellStyle name="Input 110 2 2 2 2" xfId="10060" xr:uid="{00000000-0005-0000-0000-0000DF240000}"/>
    <cellStyle name="Input 110 2 2 2 2 2" xfId="10061" xr:uid="{00000000-0005-0000-0000-0000E0240000}"/>
    <cellStyle name="Input 110 2 2 2 3" xfId="10062" xr:uid="{00000000-0005-0000-0000-0000E1240000}"/>
    <cellStyle name="Input 110 2 2 3" xfId="10063" xr:uid="{00000000-0005-0000-0000-0000E2240000}"/>
    <cellStyle name="Input 110 2 2 3 2" xfId="10064" xr:uid="{00000000-0005-0000-0000-0000E3240000}"/>
    <cellStyle name="Input 110 2 2 4" xfId="10065" xr:uid="{00000000-0005-0000-0000-0000E4240000}"/>
    <cellStyle name="Input 110 2 3" xfId="10066" xr:uid="{00000000-0005-0000-0000-0000E5240000}"/>
    <cellStyle name="Input 110 2 3 2" xfId="10067" xr:uid="{00000000-0005-0000-0000-0000E6240000}"/>
    <cellStyle name="Input 110 2 3 2 2" xfId="10068" xr:uid="{00000000-0005-0000-0000-0000E7240000}"/>
    <cellStyle name="Input 110 2 3 3" xfId="10069" xr:uid="{00000000-0005-0000-0000-0000E8240000}"/>
    <cellStyle name="Input 110 2 4" xfId="10070" xr:uid="{00000000-0005-0000-0000-0000E9240000}"/>
    <cellStyle name="Input 110 2 4 2" xfId="10071" xr:uid="{00000000-0005-0000-0000-0000EA240000}"/>
    <cellStyle name="Input 110 2 5" xfId="10072" xr:uid="{00000000-0005-0000-0000-0000EB240000}"/>
    <cellStyle name="Input 110 3" xfId="10073" xr:uid="{00000000-0005-0000-0000-0000EC240000}"/>
    <cellStyle name="Input 110 3 2" xfId="10074" xr:uid="{00000000-0005-0000-0000-0000ED240000}"/>
    <cellStyle name="Input 110 3 2 2" xfId="10075" xr:uid="{00000000-0005-0000-0000-0000EE240000}"/>
    <cellStyle name="Input 110 3 2 2 2" xfId="10076" xr:uid="{00000000-0005-0000-0000-0000EF240000}"/>
    <cellStyle name="Input 110 3 2 3" xfId="10077" xr:uid="{00000000-0005-0000-0000-0000F0240000}"/>
    <cellStyle name="Input 110 3 3" xfId="10078" xr:uid="{00000000-0005-0000-0000-0000F1240000}"/>
    <cellStyle name="Input 110 3 3 2" xfId="10079" xr:uid="{00000000-0005-0000-0000-0000F2240000}"/>
    <cellStyle name="Input 110 3 4" xfId="10080" xr:uid="{00000000-0005-0000-0000-0000F3240000}"/>
    <cellStyle name="Input 110 4" xfId="10081" xr:uid="{00000000-0005-0000-0000-0000F4240000}"/>
    <cellStyle name="Input 110 4 2" xfId="10082" xr:uid="{00000000-0005-0000-0000-0000F5240000}"/>
    <cellStyle name="Input 110 4 2 2" xfId="10083" xr:uid="{00000000-0005-0000-0000-0000F6240000}"/>
    <cellStyle name="Input 110 4 3" xfId="10084" xr:uid="{00000000-0005-0000-0000-0000F7240000}"/>
    <cellStyle name="Input 110 5" xfId="10085" xr:uid="{00000000-0005-0000-0000-0000F8240000}"/>
    <cellStyle name="Input 110 5 2" xfId="10086" xr:uid="{00000000-0005-0000-0000-0000F9240000}"/>
    <cellStyle name="Input 110 6" xfId="10087" xr:uid="{00000000-0005-0000-0000-0000FA240000}"/>
    <cellStyle name="Input 111" xfId="10088" xr:uid="{00000000-0005-0000-0000-0000FB240000}"/>
    <cellStyle name="Input 111 2" xfId="10089" xr:uid="{00000000-0005-0000-0000-0000FC240000}"/>
    <cellStyle name="Input 111 2 2" xfId="10090" xr:uid="{00000000-0005-0000-0000-0000FD240000}"/>
    <cellStyle name="Input 111 2 2 2" xfId="10091" xr:uid="{00000000-0005-0000-0000-0000FE240000}"/>
    <cellStyle name="Input 111 2 2 2 2" xfId="10092" xr:uid="{00000000-0005-0000-0000-0000FF240000}"/>
    <cellStyle name="Input 111 2 2 2 2 2" xfId="10093" xr:uid="{00000000-0005-0000-0000-000000250000}"/>
    <cellStyle name="Input 111 2 2 2 3" xfId="10094" xr:uid="{00000000-0005-0000-0000-000001250000}"/>
    <cellStyle name="Input 111 2 2 3" xfId="10095" xr:uid="{00000000-0005-0000-0000-000002250000}"/>
    <cellStyle name="Input 111 2 2 3 2" xfId="10096" xr:uid="{00000000-0005-0000-0000-000003250000}"/>
    <cellStyle name="Input 111 2 2 4" xfId="10097" xr:uid="{00000000-0005-0000-0000-000004250000}"/>
    <cellStyle name="Input 111 2 3" xfId="10098" xr:uid="{00000000-0005-0000-0000-000005250000}"/>
    <cellStyle name="Input 111 2 3 2" xfId="10099" xr:uid="{00000000-0005-0000-0000-000006250000}"/>
    <cellStyle name="Input 111 2 3 2 2" xfId="10100" xr:uid="{00000000-0005-0000-0000-000007250000}"/>
    <cellStyle name="Input 111 2 3 3" xfId="10101" xr:uid="{00000000-0005-0000-0000-000008250000}"/>
    <cellStyle name="Input 111 2 4" xfId="10102" xr:uid="{00000000-0005-0000-0000-000009250000}"/>
    <cellStyle name="Input 111 2 4 2" xfId="10103" xr:uid="{00000000-0005-0000-0000-00000A250000}"/>
    <cellStyle name="Input 111 2 5" xfId="10104" xr:uid="{00000000-0005-0000-0000-00000B250000}"/>
    <cellStyle name="Input 111 3" xfId="10105" xr:uid="{00000000-0005-0000-0000-00000C250000}"/>
    <cellStyle name="Input 111 3 2" xfId="10106" xr:uid="{00000000-0005-0000-0000-00000D250000}"/>
    <cellStyle name="Input 111 3 2 2" xfId="10107" xr:uid="{00000000-0005-0000-0000-00000E250000}"/>
    <cellStyle name="Input 111 3 2 2 2" xfId="10108" xr:uid="{00000000-0005-0000-0000-00000F250000}"/>
    <cellStyle name="Input 111 3 2 3" xfId="10109" xr:uid="{00000000-0005-0000-0000-000010250000}"/>
    <cellStyle name="Input 111 3 3" xfId="10110" xr:uid="{00000000-0005-0000-0000-000011250000}"/>
    <cellStyle name="Input 111 3 3 2" xfId="10111" xr:uid="{00000000-0005-0000-0000-000012250000}"/>
    <cellStyle name="Input 111 3 4" xfId="10112" xr:uid="{00000000-0005-0000-0000-000013250000}"/>
    <cellStyle name="Input 111 4" xfId="10113" xr:uid="{00000000-0005-0000-0000-000014250000}"/>
    <cellStyle name="Input 111 4 2" xfId="10114" xr:uid="{00000000-0005-0000-0000-000015250000}"/>
    <cellStyle name="Input 111 4 2 2" xfId="10115" xr:uid="{00000000-0005-0000-0000-000016250000}"/>
    <cellStyle name="Input 111 4 3" xfId="10116" xr:uid="{00000000-0005-0000-0000-000017250000}"/>
    <cellStyle name="Input 111 5" xfId="10117" xr:uid="{00000000-0005-0000-0000-000018250000}"/>
    <cellStyle name="Input 111 5 2" xfId="10118" xr:uid="{00000000-0005-0000-0000-000019250000}"/>
    <cellStyle name="Input 111 6" xfId="10119" xr:uid="{00000000-0005-0000-0000-00001A250000}"/>
    <cellStyle name="Input 112" xfId="10120" xr:uid="{00000000-0005-0000-0000-00001B250000}"/>
    <cellStyle name="Input 112 2" xfId="10121" xr:uid="{00000000-0005-0000-0000-00001C250000}"/>
    <cellStyle name="Input 112 2 2" xfId="10122" xr:uid="{00000000-0005-0000-0000-00001D250000}"/>
    <cellStyle name="Input 112 2 2 2" xfId="10123" xr:uid="{00000000-0005-0000-0000-00001E250000}"/>
    <cellStyle name="Input 112 2 2 2 2" xfId="10124" xr:uid="{00000000-0005-0000-0000-00001F250000}"/>
    <cellStyle name="Input 112 2 2 2 2 2" xfId="10125" xr:uid="{00000000-0005-0000-0000-000020250000}"/>
    <cellStyle name="Input 112 2 2 2 3" xfId="10126" xr:uid="{00000000-0005-0000-0000-000021250000}"/>
    <cellStyle name="Input 112 2 2 3" xfId="10127" xr:uid="{00000000-0005-0000-0000-000022250000}"/>
    <cellStyle name="Input 112 2 2 3 2" xfId="10128" xr:uid="{00000000-0005-0000-0000-000023250000}"/>
    <cellStyle name="Input 112 2 2 4" xfId="10129" xr:uid="{00000000-0005-0000-0000-000024250000}"/>
    <cellStyle name="Input 112 2 3" xfId="10130" xr:uid="{00000000-0005-0000-0000-000025250000}"/>
    <cellStyle name="Input 112 2 3 2" xfId="10131" xr:uid="{00000000-0005-0000-0000-000026250000}"/>
    <cellStyle name="Input 112 2 3 2 2" xfId="10132" xr:uid="{00000000-0005-0000-0000-000027250000}"/>
    <cellStyle name="Input 112 2 3 3" xfId="10133" xr:uid="{00000000-0005-0000-0000-000028250000}"/>
    <cellStyle name="Input 112 2 4" xfId="10134" xr:uid="{00000000-0005-0000-0000-000029250000}"/>
    <cellStyle name="Input 112 2 4 2" xfId="10135" xr:uid="{00000000-0005-0000-0000-00002A250000}"/>
    <cellStyle name="Input 112 2 5" xfId="10136" xr:uid="{00000000-0005-0000-0000-00002B250000}"/>
    <cellStyle name="Input 112 3" xfId="10137" xr:uid="{00000000-0005-0000-0000-00002C250000}"/>
    <cellStyle name="Input 112 3 2" xfId="10138" xr:uid="{00000000-0005-0000-0000-00002D250000}"/>
    <cellStyle name="Input 112 3 2 2" xfId="10139" xr:uid="{00000000-0005-0000-0000-00002E250000}"/>
    <cellStyle name="Input 112 3 2 2 2" xfId="10140" xr:uid="{00000000-0005-0000-0000-00002F250000}"/>
    <cellStyle name="Input 112 3 2 3" xfId="10141" xr:uid="{00000000-0005-0000-0000-000030250000}"/>
    <cellStyle name="Input 112 3 3" xfId="10142" xr:uid="{00000000-0005-0000-0000-000031250000}"/>
    <cellStyle name="Input 112 3 3 2" xfId="10143" xr:uid="{00000000-0005-0000-0000-000032250000}"/>
    <cellStyle name="Input 112 3 4" xfId="10144" xr:uid="{00000000-0005-0000-0000-000033250000}"/>
    <cellStyle name="Input 112 4" xfId="10145" xr:uid="{00000000-0005-0000-0000-000034250000}"/>
    <cellStyle name="Input 112 4 2" xfId="10146" xr:uid="{00000000-0005-0000-0000-000035250000}"/>
    <cellStyle name="Input 112 4 2 2" xfId="10147" xr:uid="{00000000-0005-0000-0000-000036250000}"/>
    <cellStyle name="Input 112 4 3" xfId="10148" xr:uid="{00000000-0005-0000-0000-000037250000}"/>
    <cellStyle name="Input 112 5" xfId="10149" xr:uid="{00000000-0005-0000-0000-000038250000}"/>
    <cellStyle name="Input 112 5 2" xfId="10150" xr:uid="{00000000-0005-0000-0000-000039250000}"/>
    <cellStyle name="Input 112 6" xfId="10151" xr:uid="{00000000-0005-0000-0000-00003A250000}"/>
    <cellStyle name="Input 113" xfId="10152" xr:uid="{00000000-0005-0000-0000-00003B250000}"/>
    <cellStyle name="Input 113 2" xfId="10153" xr:uid="{00000000-0005-0000-0000-00003C250000}"/>
    <cellStyle name="Input 113 2 2" xfId="10154" xr:uid="{00000000-0005-0000-0000-00003D250000}"/>
    <cellStyle name="Input 113 2 2 2" xfId="10155" xr:uid="{00000000-0005-0000-0000-00003E250000}"/>
    <cellStyle name="Input 113 2 2 2 2" xfId="10156" xr:uid="{00000000-0005-0000-0000-00003F250000}"/>
    <cellStyle name="Input 113 2 2 2 2 2" xfId="10157" xr:uid="{00000000-0005-0000-0000-000040250000}"/>
    <cellStyle name="Input 113 2 2 2 3" xfId="10158" xr:uid="{00000000-0005-0000-0000-000041250000}"/>
    <cellStyle name="Input 113 2 2 3" xfId="10159" xr:uid="{00000000-0005-0000-0000-000042250000}"/>
    <cellStyle name="Input 113 2 2 3 2" xfId="10160" xr:uid="{00000000-0005-0000-0000-000043250000}"/>
    <cellStyle name="Input 113 2 2 4" xfId="10161" xr:uid="{00000000-0005-0000-0000-000044250000}"/>
    <cellStyle name="Input 113 2 3" xfId="10162" xr:uid="{00000000-0005-0000-0000-000045250000}"/>
    <cellStyle name="Input 113 2 3 2" xfId="10163" xr:uid="{00000000-0005-0000-0000-000046250000}"/>
    <cellStyle name="Input 113 2 3 2 2" xfId="10164" xr:uid="{00000000-0005-0000-0000-000047250000}"/>
    <cellStyle name="Input 113 2 3 3" xfId="10165" xr:uid="{00000000-0005-0000-0000-000048250000}"/>
    <cellStyle name="Input 113 2 4" xfId="10166" xr:uid="{00000000-0005-0000-0000-000049250000}"/>
    <cellStyle name="Input 113 2 4 2" xfId="10167" xr:uid="{00000000-0005-0000-0000-00004A250000}"/>
    <cellStyle name="Input 113 2 5" xfId="10168" xr:uid="{00000000-0005-0000-0000-00004B250000}"/>
    <cellStyle name="Input 113 3" xfId="10169" xr:uid="{00000000-0005-0000-0000-00004C250000}"/>
    <cellStyle name="Input 113 3 2" xfId="10170" xr:uid="{00000000-0005-0000-0000-00004D250000}"/>
    <cellStyle name="Input 113 3 2 2" xfId="10171" xr:uid="{00000000-0005-0000-0000-00004E250000}"/>
    <cellStyle name="Input 113 3 2 2 2" xfId="10172" xr:uid="{00000000-0005-0000-0000-00004F250000}"/>
    <cellStyle name="Input 113 3 2 3" xfId="10173" xr:uid="{00000000-0005-0000-0000-000050250000}"/>
    <cellStyle name="Input 113 3 3" xfId="10174" xr:uid="{00000000-0005-0000-0000-000051250000}"/>
    <cellStyle name="Input 113 3 3 2" xfId="10175" xr:uid="{00000000-0005-0000-0000-000052250000}"/>
    <cellStyle name="Input 113 3 4" xfId="10176" xr:uid="{00000000-0005-0000-0000-000053250000}"/>
    <cellStyle name="Input 113 4" xfId="10177" xr:uid="{00000000-0005-0000-0000-000054250000}"/>
    <cellStyle name="Input 113 4 2" xfId="10178" xr:uid="{00000000-0005-0000-0000-000055250000}"/>
    <cellStyle name="Input 113 4 2 2" xfId="10179" xr:uid="{00000000-0005-0000-0000-000056250000}"/>
    <cellStyle name="Input 113 4 3" xfId="10180" xr:uid="{00000000-0005-0000-0000-000057250000}"/>
    <cellStyle name="Input 113 5" xfId="10181" xr:uid="{00000000-0005-0000-0000-000058250000}"/>
    <cellStyle name="Input 113 5 2" xfId="10182" xr:uid="{00000000-0005-0000-0000-000059250000}"/>
    <cellStyle name="Input 113 6" xfId="10183" xr:uid="{00000000-0005-0000-0000-00005A250000}"/>
    <cellStyle name="Input 114" xfId="10184" xr:uid="{00000000-0005-0000-0000-00005B250000}"/>
    <cellStyle name="Input 114 2" xfId="10185" xr:uid="{00000000-0005-0000-0000-00005C250000}"/>
    <cellStyle name="Input 114 2 2" xfId="10186" xr:uid="{00000000-0005-0000-0000-00005D250000}"/>
    <cellStyle name="Input 114 2 2 2" xfId="10187" xr:uid="{00000000-0005-0000-0000-00005E250000}"/>
    <cellStyle name="Input 114 2 2 2 2" xfId="10188" xr:uid="{00000000-0005-0000-0000-00005F250000}"/>
    <cellStyle name="Input 114 2 2 3" xfId="10189" xr:uid="{00000000-0005-0000-0000-000060250000}"/>
    <cellStyle name="Input 114 2 3" xfId="10190" xr:uid="{00000000-0005-0000-0000-000061250000}"/>
    <cellStyle name="Input 114 2 3 2" xfId="10191" xr:uid="{00000000-0005-0000-0000-000062250000}"/>
    <cellStyle name="Input 114 2 4" xfId="10192" xr:uid="{00000000-0005-0000-0000-000063250000}"/>
    <cellStyle name="Input 114 3" xfId="10193" xr:uid="{00000000-0005-0000-0000-000064250000}"/>
    <cellStyle name="Input 114 3 2" xfId="10194" xr:uid="{00000000-0005-0000-0000-000065250000}"/>
    <cellStyle name="Input 114 3 2 2" xfId="10195" xr:uid="{00000000-0005-0000-0000-000066250000}"/>
    <cellStyle name="Input 114 3 3" xfId="10196" xr:uid="{00000000-0005-0000-0000-000067250000}"/>
    <cellStyle name="Input 114 4" xfId="10197" xr:uid="{00000000-0005-0000-0000-000068250000}"/>
    <cellStyle name="Input 114 4 2" xfId="10198" xr:uid="{00000000-0005-0000-0000-000069250000}"/>
    <cellStyle name="Input 114 5" xfId="10199" xr:uid="{00000000-0005-0000-0000-00006A250000}"/>
    <cellStyle name="Input 115" xfId="10200" xr:uid="{00000000-0005-0000-0000-00006B250000}"/>
    <cellStyle name="Input 115 2" xfId="10201" xr:uid="{00000000-0005-0000-0000-00006C250000}"/>
    <cellStyle name="Input 115 2 2" xfId="10202" xr:uid="{00000000-0005-0000-0000-00006D250000}"/>
    <cellStyle name="Input 115 2 2 2" xfId="10203" xr:uid="{00000000-0005-0000-0000-00006E250000}"/>
    <cellStyle name="Input 115 2 2 2 2" xfId="10204" xr:uid="{00000000-0005-0000-0000-00006F250000}"/>
    <cellStyle name="Input 115 2 2 3" xfId="10205" xr:uid="{00000000-0005-0000-0000-000070250000}"/>
    <cellStyle name="Input 115 2 3" xfId="10206" xr:uid="{00000000-0005-0000-0000-000071250000}"/>
    <cellStyle name="Input 115 2 3 2" xfId="10207" xr:uid="{00000000-0005-0000-0000-000072250000}"/>
    <cellStyle name="Input 115 2 4" xfId="10208" xr:uid="{00000000-0005-0000-0000-000073250000}"/>
    <cellStyle name="Input 115 3" xfId="10209" xr:uid="{00000000-0005-0000-0000-000074250000}"/>
    <cellStyle name="Input 115 3 2" xfId="10210" xr:uid="{00000000-0005-0000-0000-000075250000}"/>
    <cellStyle name="Input 115 3 2 2" xfId="10211" xr:uid="{00000000-0005-0000-0000-000076250000}"/>
    <cellStyle name="Input 115 3 3" xfId="10212" xr:uid="{00000000-0005-0000-0000-000077250000}"/>
    <cellStyle name="Input 115 4" xfId="10213" xr:uid="{00000000-0005-0000-0000-000078250000}"/>
    <cellStyle name="Input 115 4 2" xfId="10214" xr:uid="{00000000-0005-0000-0000-000079250000}"/>
    <cellStyle name="Input 115 5" xfId="10215" xr:uid="{00000000-0005-0000-0000-00007A250000}"/>
    <cellStyle name="Input 116" xfId="10216" xr:uid="{00000000-0005-0000-0000-00007B250000}"/>
    <cellStyle name="Input 116 2" xfId="10217" xr:uid="{00000000-0005-0000-0000-00007C250000}"/>
    <cellStyle name="Input 116 2 2" xfId="10218" xr:uid="{00000000-0005-0000-0000-00007D250000}"/>
    <cellStyle name="Input 116 2 2 2" xfId="10219" xr:uid="{00000000-0005-0000-0000-00007E250000}"/>
    <cellStyle name="Input 116 2 2 2 2" xfId="10220" xr:uid="{00000000-0005-0000-0000-00007F250000}"/>
    <cellStyle name="Input 116 2 2 3" xfId="10221" xr:uid="{00000000-0005-0000-0000-000080250000}"/>
    <cellStyle name="Input 116 2 3" xfId="10222" xr:uid="{00000000-0005-0000-0000-000081250000}"/>
    <cellStyle name="Input 116 2 3 2" xfId="10223" xr:uid="{00000000-0005-0000-0000-000082250000}"/>
    <cellStyle name="Input 116 2 4" xfId="10224" xr:uid="{00000000-0005-0000-0000-000083250000}"/>
    <cellStyle name="Input 116 3" xfId="10225" xr:uid="{00000000-0005-0000-0000-000084250000}"/>
    <cellStyle name="Input 116 3 2" xfId="10226" xr:uid="{00000000-0005-0000-0000-000085250000}"/>
    <cellStyle name="Input 116 3 2 2" xfId="10227" xr:uid="{00000000-0005-0000-0000-000086250000}"/>
    <cellStyle name="Input 116 3 3" xfId="10228" xr:uid="{00000000-0005-0000-0000-000087250000}"/>
    <cellStyle name="Input 116 4" xfId="10229" xr:uid="{00000000-0005-0000-0000-000088250000}"/>
    <cellStyle name="Input 116 4 2" xfId="10230" xr:uid="{00000000-0005-0000-0000-000089250000}"/>
    <cellStyle name="Input 116 5" xfId="10231" xr:uid="{00000000-0005-0000-0000-00008A250000}"/>
    <cellStyle name="Input 117" xfId="10232" xr:uid="{00000000-0005-0000-0000-00008B250000}"/>
    <cellStyle name="Input 117 2" xfId="10233" xr:uid="{00000000-0005-0000-0000-00008C250000}"/>
    <cellStyle name="Input 117 2 2" xfId="10234" xr:uid="{00000000-0005-0000-0000-00008D250000}"/>
    <cellStyle name="Input 117 2 2 2" xfId="10235" xr:uid="{00000000-0005-0000-0000-00008E250000}"/>
    <cellStyle name="Input 117 2 2 2 2" xfId="10236" xr:uid="{00000000-0005-0000-0000-00008F250000}"/>
    <cellStyle name="Input 117 2 2 3" xfId="10237" xr:uid="{00000000-0005-0000-0000-000090250000}"/>
    <cellStyle name="Input 117 2 3" xfId="10238" xr:uid="{00000000-0005-0000-0000-000091250000}"/>
    <cellStyle name="Input 117 2 3 2" xfId="10239" xr:uid="{00000000-0005-0000-0000-000092250000}"/>
    <cellStyle name="Input 117 2 4" xfId="10240" xr:uid="{00000000-0005-0000-0000-000093250000}"/>
    <cellStyle name="Input 117 3" xfId="10241" xr:uid="{00000000-0005-0000-0000-000094250000}"/>
    <cellStyle name="Input 117 3 2" xfId="10242" xr:uid="{00000000-0005-0000-0000-000095250000}"/>
    <cellStyle name="Input 117 3 2 2" xfId="10243" xr:uid="{00000000-0005-0000-0000-000096250000}"/>
    <cellStyle name="Input 117 3 3" xfId="10244" xr:uid="{00000000-0005-0000-0000-000097250000}"/>
    <cellStyle name="Input 117 4" xfId="10245" xr:uid="{00000000-0005-0000-0000-000098250000}"/>
    <cellStyle name="Input 117 4 2" xfId="10246" xr:uid="{00000000-0005-0000-0000-000099250000}"/>
    <cellStyle name="Input 117 5" xfId="10247" xr:uid="{00000000-0005-0000-0000-00009A250000}"/>
    <cellStyle name="Input 118" xfId="10248" xr:uid="{00000000-0005-0000-0000-00009B250000}"/>
    <cellStyle name="Input 118 2" xfId="10249" xr:uid="{00000000-0005-0000-0000-00009C250000}"/>
    <cellStyle name="Input 118 2 2" xfId="10250" xr:uid="{00000000-0005-0000-0000-00009D250000}"/>
    <cellStyle name="Input 118 3" xfId="10251" xr:uid="{00000000-0005-0000-0000-00009E250000}"/>
    <cellStyle name="Input 119" xfId="10252" xr:uid="{00000000-0005-0000-0000-00009F250000}"/>
    <cellStyle name="Input 119 2" xfId="10253" xr:uid="{00000000-0005-0000-0000-0000A0250000}"/>
    <cellStyle name="Input 119 3" xfId="10254" xr:uid="{00000000-0005-0000-0000-0000A1250000}"/>
    <cellStyle name="Input 12" xfId="10255" xr:uid="{00000000-0005-0000-0000-0000A2250000}"/>
    <cellStyle name="Input 12 2" xfId="10256" xr:uid="{00000000-0005-0000-0000-0000A3250000}"/>
    <cellStyle name="Input 12 2 2" xfId="10257" xr:uid="{00000000-0005-0000-0000-0000A4250000}"/>
    <cellStyle name="Input 12 2 2 2" xfId="10258" xr:uid="{00000000-0005-0000-0000-0000A5250000}"/>
    <cellStyle name="Input 12 2 3" xfId="10259" xr:uid="{00000000-0005-0000-0000-0000A6250000}"/>
    <cellStyle name="Input 12 3" xfId="10260" xr:uid="{00000000-0005-0000-0000-0000A7250000}"/>
    <cellStyle name="Input 12 3 2" xfId="10261" xr:uid="{00000000-0005-0000-0000-0000A8250000}"/>
    <cellStyle name="Input 12 4" xfId="10262" xr:uid="{00000000-0005-0000-0000-0000A9250000}"/>
    <cellStyle name="Input 120" xfId="10263" xr:uid="{00000000-0005-0000-0000-0000AA250000}"/>
    <cellStyle name="Input 120 2" xfId="10264" xr:uid="{00000000-0005-0000-0000-0000AB250000}"/>
    <cellStyle name="Input 120 3" xfId="10265" xr:uid="{00000000-0005-0000-0000-0000AC250000}"/>
    <cellStyle name="Input 121" xfId="10266" xr:uid="{00000000-0005-0000-0000-0000AD250000}"/>
    <cellStyle name="Input 121 2" xfId="10267" xr:uid="{00000000-0005-0000-0000-0000AE250000}"/>
    <cellStyle name="Input 122" xfId="10268" xr:uid="{00000000-0005-0000-0000-0000AF250000}"/>
    <cellStyle name="Input 122 2" xfId="10269" xr:uid="{00000000-0005-0000-0000-0000B0250000}"/>
    <cellStyle name="Input 122 3" xfId="10270" xr:uid="{00000000-0005-0000-0000-0000B1250000}"/>
    <cellStyle name="Input 123" xfId="10271" xr:uid="{00000000-0005-0000-0000-0000B2250000}"/>
    <cellStyle name="Input 123 2" xfId="10272" xr:uid="{00000000-0005-0000-0000-0000B3250000}"/>
    <cellStyle name="Input 124" xfId="10273" xr:uid="{00000000-0005-0000-0000-0000B4250000}"/>
    <cellStyle name="Input 124 2" xfId="10274" xr:uid="{00000000-0005-0000-0000-0000B5250000}"/>
    <cellStyle name="Input 125" xfId="10275" xr:uid="{00000000-0005-0000-0000-0000B6250000}"/>
    <cellStyle name="Input 125 2" xfId="10276" xr:uid="{00000000-0005-0000-0000-0000B7250000}"/>
    <cellStyle name="Input 126" xfId="10277" xr:uid="{00000000-0005-0000-0000-0000B8250000}"/>
    <cellStyle name="Input 127" xfId="10278" xr:uid="{00000000-0005-0000-0000-0000B9250000}"/>
    <cellStyle name="Input 128" xfId="10279" xr:uid="{00000000-0005-0000-0000-0000BA250000}"/>
    <cellStyle name="Input 129" xfId="10280" xr:uid="{00000000-0005-0000-0000-0000BB250000}"/>
    <cellStyle name="Input 13" xfId="10281" xr:uid="{00000000-0005-0000-0000-0000BC250000}"/>
    <cellStyle name="Input 13 2" xfId="10282" xr:uid="{00000000-0005-0000-0000-0000BD250000}"/>
    <cellStyle name="Input 13 2 2" xfId="10283" xr:uid="{00000000-0005-0000-0000-0000BE250000}"/>
    <cellStyle name="Input 13 2 2 2" xfId="10284" xr:uid="{00000000-0005-0000-0000-0000BF250000}"/>
    <cellStyle name="Input 13 2 3" xfId="10285" xr:uid="{00000000-0005-0000-0000-0000C0250000}"/>
    <cellStyle name="Input 13 3" xfId="10286" xr:uid="{00000000-0005-0000-0000-0000C1250000}"/>
    <cellStyle name="Input 13 3 2" xfId="10287" xr:uid="{00000000-0005-0000-0000-0000C2250000}"/>
    <cellStyle name="Input 13 4" xfId="10288" xr:uid="{00000000-0005-0000-0000-0000C3250000}"/>
    <cellStyle name="Input 130" xfId="10289" xr:uid="{00000000-0005-0000-0000-0000C4250000}"/>
    <cellStyle name="Input 131" xfId="10290" xr:uid="{00000000-0005-0000-0000-0000C5250000}"/>
    <cellStyle name="Input 132" xfId="10291" xr:uid="{00000000-0005-0000-0000-0000C6250000}"/>
    <cellStyle name="Input 133" xfId="10292" xr:uid="{00000000-0005-0000-0000-0000C7250000}"/>
    <cellStyle name="Input 134" xfId="10293" xr:uid="{00000000-0005-0000-0000-0000C8250000}"/>
    <cellStyle name="Input 135" xfId="10294" xr:uid="{00000000-0005-0000-0000-0000C9250000}"/>
    <cellStyle name="Input 136" xfId="10295" xr:uid="{00000000-0005-0000-0000-0000CA250000}"/>
    <cellStyle name="Input 137" xfId="10296" xr:uid="{00000000-0005-0000-0000-0000CB250000}"/>
    <cellStyle name="Input 138" xfId="10297" xr:uid="{00000000-0005-0000-0000-0000CC250000}"/>
    <cellStyle name="Input 139" xfId="10298" xr:uid="{00000000-0005-0000-0000-0000CD250000}"/>
    <cellStyle name="Input 14" xfId="10299" xr:uid="{00000000-0005-0000-0000-0000CE250000}"/>
    <cellStyle name="Input 14 2" xfId="10300" xr:uid="{00000000-0005-0000-0000-0000CF250000}"/>
    <cellStyle name="Input 14 2 2" xfId="10301" xr:uid="{00000000-0005-0000-0000-0000D0250000}"/>
    <cellStyle name="Input 14 2 2 2" xfId="10302" xr:uid="{00000000-0005-0000-0000-0000D1250000}"/>
    <cellStyle name="Input 14 2 3" xfId="10303" xr:uid="{00000000-0005-0000-0000-0000D2250000}"/>
    <cellStyle name="Input 14 3" xfId="10304" xr:uid="{00000000-0005-0000-0000-0000D3250000}"/>
    <cellStyle name="Input 14 3 2" xfId="10305" xr:uid="{00000000-0005-0000-0000-0000D4250000}"/>
    <cellStyle name="Input 14 4" xfId="10306" xr:uid="{00000000-0005-0000-0000-0000D5250000}"/>
    <cellStyle name="Input 140" xfId="10307" xr:uid="{00000000-0005-0000-0000-0000D6250000}"/>
    <cellStyle name="Input 141" xfId="10308" xr:uid="{00000000-0005-0000-0000-0000D7250000}"/>
    <cellStyle name="Input 142" xfId="10309" xr:uid="{00000000-0005-0000-0000-0000D8250000}"/>
    <cellStyle name="Input 143" xfId="10310" xr:uid="{00000000-0005-0000-0000-0000D9250000}"/>
    <cellStyle name="Input 144" xfId="10311" xr:uid="{00000000-0005-0000-0000-0000DA250000}"/>
    <cellStyle name="Input 145" xfId="10312" xr:uid="{00000000-0005-0000-0000-0000DB250000}"/>
    <cellStyle name="Input 146" xfId="10313" xr:uid="{00000000-0005-0000-0000-0000DC250000}"/>
    <cellStyle name="Input 147" xfId="10314" xr:uid="{00000000-0005-0000-0000-0000DD250000}"/>
    <cellStyle name="Input 148" xfId="10315" xr:uid="{00000000-0005-0000-0000-0000DE250000}"/>
    <cellStyle name="Input 149" xfId="10316" xr:uid="{00000000-0005-0000-0000-0000DF250000}"/>
    <cellStyle name="Input 15" xfId="10317" xr:uid="{00000000-0005-0000-0000-0000E0250000}"/>
    <cellStyle name="Input 15 2" xfId="10318" xr:uid="{00000000-0005-0000-0000-0000E1250000}"/>
    <cellStyle name="Input 15 2 2" xfId="10319" xr:uid="{00000000-0005-0000-0000-0000E2250000}"/>
    <cellStyle name="Input 15 2 2 2" xfId="10320" xr:uid="{00000000-0005-0000-0000-0000E3250000}"/>
    <cellStyle name="Input 15 2 3" xfId="10321" xr:uid="{00000000-0005-0000-0000-0000E4250000}"/>
    <cellStyle name="Input 15 3" xfId="10322" xr:uid="{00000000-0005-0000-0000-0000E5250000}"/>
    <cellStyle name="Input 15 3 2" xfId="10323" xr:uid="{00000000-0005-0000-0000-0000E6250000}"/>
    <cellStyle name="Input 15 4" xfId="10324" xr:uid="{00000000-0005-0000-0000-0000E7250000}"/>
    <cellStyle name="Input 150" xfId="10325" xr:uid="{00000000-0005-0000-0000-0000E8250000}"/>
    <cellStyle name="Input 151" xfId="10326" xr:uid="{00000000-0005-0000-0000-0000E9250000}"/>
    <cellStyle name="Input 152" xfId="10327" xr:uid="{00000000-0005-0000-0000-0000EA250000}"/>
    <cellStyle name="Input 153" xfId="10328" xr:uid="{00000000-0005-0000-0000-0000EB250000}"/>
    <cellStyle name="Input 154" xfId="10329" xr:uid="{00000000-0005-0000-0000-0000EC250000}"/>
    <cellStyle name="Input 155" xfId="10330" xr:uid="{00000000-0005-0000-0000-0000ED250000}"/>
    <cellStyle name="Input 156" xfId="10331" xr:uid="{00000000-0005-0000-0000-0000EE250000}"/>
    <cellStyle name="Input 157" xfId="10332" xr:uid="{00000000-0005-0000-0000-0000EF250000}"/>
    <cellStyle name="Input 158" xfId="10333" xr:uid="{00000000-0005-0000-0000-0000F0250000}"/>
    <cellStyle name="Input 159" xfId="10334" xr:uid="{00000000-0005-0000-0000-0000F1250000}"/>
    <cellStyle name="Input 16" xfId="10335" xr:uid="{00000000-0005-0000-0000-0000F2250000}"/>
    <cellStyle name="Input 16 2" xfId="10336" xr:uid="{00000000-0005-0000-0000-0000F3250000}"/>
    <cellStyle name="Input 16 2 2" xfId="10337" xr:uid="{00000000-0005-0000-0000-0000F4250000}"/>
    <cellStyle name="Input 16 2 2 2" xfId="10338" xr:uid="{00000000-0005-0000-0000-0000F5250000}"/>
    <cellStyle name="Input 16 2 3" xfId="10339" xr:uid="{00000000-0005-0000-0000-0000F6250000}"/>
    <cellStyle name="Input 16 3" xfId="10340" xr:uid="{00000000-0005-0000-0000-0000F7250000}"/>
    <cellStyle name="Input 16 3 2" xfId="10341" xr:uid="{00000000-0005-0000-0000-0000F8250000}"/>
    <cellStyle name="Input 16 4" xfId="10342" xr:uid="{00000000-0005-0000-0000-0000F9250000}"/>
    <cellStyle name="Input 160" xfId="10343" xr:uid="{00000000-0005-0000-0000-0000FA250000}"/>
    <cellStyle name="Input 161" xfId="10344" xr:uid="{00000000-0005-0000-0000-0000FB250000}"/>
    <cellStyle name="Input 162" xfId="10345" xr:uid="{00000000-0005-0000-0000-0000FC250000}"/>
    <cellStyle name="Input 163" xfId="10346" xr:uid="{00000000-0005-0000-0000-0000FD250000}"/>
    <cellStyle name="Input 164" xfId="10347" xr:uid="{00000000-0005-0000-0000-0000FE250000}"/>
    <cellStyle name="Input 165" xfId="10348" xr:uid="{00000000-0005-0000-0000-0000FF250000}"/>
    <cellStyle name="Input 166" xfId="10349" xr:uid="{00000000-0005-0000-0000-000000260000}"/>
    <cellStyle name="Input 167" xfId="10350" xr:uid="{00000000-0005-0000-0000-000001260000}"/>
    <cellStyle name="Input 168" xfId="10351" xr:uid="{00000000-0005-0000-0000-000002260000}"/>
    <cellStyle name="Input 169" xfId="10352" xr:uid="{00000000-0005-0000-0000-000003260000}"/>
    <cellStyle name="Input 17" xfId="10353" xr:uid="{00000000-0005-0000-0000-000004260000}"/>
    <cellStyle name="Input 17 2" xfId="10354" xr:uid="{00000000-0005-0000-0000-000005260000}"/>
    <cellStyle name="Input 17 2 2" xfId="10355" xr:uid="{00000000-0005-0000-0000-000006260000}"/>
    <cellStyle name="Input 17 2 2 2" xfId="10356" xr:uid="{00000000-0005-0000-0000-000007260000}"/>
    <cellStyle name="Input 17 2 3" xfId="10357" xr:uid="{00000000-0005-0000-0000-000008260000}"/>
    <cellStyle name="Input 17 3" xfId="10358" xr:uid="{00000000-0005-0000-0000-000009260000}"/>
    <cellStyle name="Input 17 3 2" xfId="10359" xr:uid="{00000000-0005-0000-0000-00000A260000}"/>
    <cellStyle name="Input 17 4" xfId="10360" xr:uid="{00000000-0005-0000-0000-00000B260000}"/>
    <cellStyle name="Input 170" xfId="10361" xr:uid="{00000000-0005-0000-0000-00000C260000}"/>
    <cellStyle name="Input 171" xfId="10362" xr:uid="{00000000-0005-0000-0000-00000D260000}"/>
    <cellStyle name="Input 172" xfId="10363" xr:uid="{00000000-0005-0000-0000-00000E260000}"/>
    <cellStyle name="Input 173" xfId="10364" xr:uid="{00000000-0005-0000-0000-00000F260000}"/>
    <cellStyle name="Input 174" xfId="10365" xr:uid="{00000000-0005-0000-0000-000010260000}"/>
    <cellStyle name="Input 175" xfId="10366" xr:uid="{00000000-0005-0000-0000-000011260000}"/>
    <cellStyle name="Input 176" xfId="10367" xr:uid="{00000000-0005-0000-0000-000012260000}"/>
    <cellStyle name="Input 177" xfId="10368" xr:uid="{00000000-0005-0000-0000-000013260000}"/>
    <cellStyle name="Input 178" xfId="10369" xr:uid="{00000000-0005-0000-0000-000014260000}"/>
    <cellStyle name="Input 179" xfId="10370" xr:uid="{00000000-0005-0000-0000-000015260000}"/>
    <cellStyle name="Input 18" xfId="10371" xr:uid="{00000000-0005-0000-0000-000016260000}"/>
    <cellStyle name="Input 18 2" xfId="10372" xr:uid="{00000000-0005-0000-0000-000017260000}"/>
    <cellStyle name="Input 18 2 2" xfId="10373" xr:uid="{00000000-0005-0000-0000-000018260000}"/>
    <cellStyle name="Input 18 2 2 2" xfId="10374" xr:uid="{00000000-0005-0000-0000-000019260000}"/>
    <cellStyle name="Input 18 2 3" xfId="10375" xr:uid="{00000000-0005-0000-0000-00001A260000}"/>
    <cellStyle name="Input 18 3" xfId="10376" xr:uid="{00000000-0005-0000-0000-00001B260000}"/>
    <cellStyle name="Input 18 3 2" xfId="10377" xr:uid="{00000000-0005-0000-0000-00001C260000}"/>
    <cellStyle name="Input 18 4" xfId="10378" xr:uid="{00000000-0005-0000-0000-00001D260000}"/>
    <cellStyle name="Input 19" xfId="10379" xr:uid="{00000000-0005-0000-0000-00001E260000}"/>
    <cellStyle name="Input 19 2" xfId="10380" xr:uid="{00000000-0005-0000-0000-00001F260000}"/>
    <cellStyle name="Input 19 2 2" xfId="10381" xr:uid="{00000000-0005-0000-0000-000020260000}"/>
    <cellStyle name="Input 19 2 2 2" xfId="10382" xr:uid="{00000000-0005-0000-0000-000021260000}"/>
    <cellStyle name="Input 19 2 3" xfId="10383" xr:uid="{00000000-0005-0000-0000-000022260000}"/>
    <cellStyle name="Input 19 3" xfId="10384" xr:uid="{00000000-0005-0000-0000-000023260000}"/>
    <cellStyle name="Input 19 3 2" xfId="10385" xr:uid="{00000000-0005-0000-0000-000024260000}"/>
    <cellStyle name="Input 19 4" xfId="10386" xr:uid="{00000000-0005-0000-0000-000025260000}"/>
    <cellStyle name="Input 2" xfId="10387" xr:uid="{00000000-0005-0000-0000-000026260000}"/>
    <cellStyle name="Input 2 10" xfId="10388" xr:uid="{00000000-0005-0000-0000-000027260000}"/>
    <cellStyle name="Input 2 10 2" xfId="10389" xr:uid="{00000000-0005-0000-0000-000028260000}"/>
    <cellStyle name="Input 2 10 3" xfId="10390" xr:uid="{00000000-0005-0000-0000-000029260000}"/>
    <cellStyle name="Input 2 11" xfId="10391" xr:uid="{00000000-0005-0000-0000-00002A260000}"/>
    <cellStyle name="Input 2 11 2" xfId="10392" xr:uid="{00000000-0005-0000-0000-00002B260000}"/>
    <cellStyle name="Input 2 12" xfId="10393" xr:uid="{00000000-0005-0000-0000-00002C260000}"/>
    <cellStyle name="Input 2 13" xfId="10394" xr:uid="{00000000-0005-0000-0000-00002D260000}"/>
    <cellStyle name="Input 2 2" xfId="10395" xr:uid="{00000000-0005-0000-0000-00002E260000}"/>
    <cellStyle name="Input 2 2 2" xfId="10396" xr:uid="{00000000-0005-0000-0000-00002F260000}"/>
    <cellStyle name="Input 2 2 2 2" xfId="10397" xr:uid="{00000000-0005-0000-0000-000030260000}"/>
    <cellStyle name="Input 2 2 3" xfId="10398" xr:uid="{00000000-0005-0000-0000-000031260000}"/>
    <cellStyle name="Input 2 2 3 2" xfId="10399" xr:uid="{00000000-0005-0000-0000-000032260000}"/>
    <cellStyle name="Input 2 2 3 2 2" xfId="10400" xr:uid="{00000000-0005-0000-0000-000033260000}"/>
    <cellStyle name="Input 2 2 3 3" xfId="10401" xr:uid="{00000000-0005-0000-0000-000034260000}"/>
    <cellStyle name="Input 2 2 4" xfId="10402" xr:uid="{00000000-0005-0000-0000-000035260000}"/>
    <cellStyle name="Input 2 3" xfId="10403" xr:uid="{00000000-0005-0000-0000-000036260000}"/>
    <cellStyle name="Input 2 3 2" xfId="10404" xr:uid="{00000000-0005-0000-0000-000037260000}"/>
    <cellStyle name="Input 2 3 2 2" xfId="10405" xr:uid="{00000000-0005-0000-0000-000038260000}"/>
    <cellStyle name="Input 2 3 2 2 2" xfId="10406" xr:uid="{00000000-0005-0000-0000-000039260000}"/>
    <cellStyle name="Input 2 3 2 3" xfId="10407" xr:uid="{00000000-0005-0000-0000-00003A260000}"/>
    <cellStyle name="Input 2 3 3" xfId="10408" xr:uid="{00000000-0005-0000-0000-00003B260000}"/>
    <cellStyle name="Input 2 3 3 2" xfId="10409" xr:uid="{00000000-0005-0000-0000-00003C260000}"/>
    <cellStyle name="Input 2 3 3 2 2" xfId="10410" xr:uid="{00000000-0005-0000-0000-00003D260000}"/>
    <cellStyle name="Input 2 3 3 2 2 2" xfId="10411" xr:uid="{00000000-0005-0000-0000-00003E260000}"/>
    <cellStyle name="Input 2 3 3 2 3" xfId="10412" xr:uid="{00000000-0005-0000-0000-00003F260000}"/>
    <cellStyle name="Input 2 3 3 3" xfId="10413" xr:uid="{00000000-0005-0000-0000-000040260000}"/>
    <cellStyle name="Input 2 3 3 3 2" xfId="10414" xr:uid="{00000000-0005-0000-0000-000041260000}"/>
    <cellStyle name="Input 2 3 3 4" xfId="10415" xr:uid="{00000000-0005-0000-0000-000042260000}"/>
    <cellStyle name="Input 2 3 4" xfId="10416" xr:uid="{00000000-0005-0000-0000-000043260000}"/>
    <cellStyle name="Input 2 3 4 2" xfId="10417" xr:uid="{00000000-0005-0000-0000-000044260000}"/>
    <cellStyle name="Input 2 3 5" xfId="10418" xr:uid="{00000000-0005-0000-0000-000045260000}"/>
    <cellStyle name="Input 2 4" xfId="10419" xr:uid="{00000000-0005-0000-0000-000046260000}"/>
    <cellStyle name="Input 2 4 2" xfId="10420" xr:uid="{00000000-0005-0000-0000-000047260000}"/>
    <cellStyle name="Input 2 4 2 2" xfId="10421" xr:uid="{00000000-0005-0000-0000-000048260000}"/>
    <cellStyle name="Input 2 4 2 2 2" xfId="10422" xr:uid="{00000000-0005-0000-0000-000049260000}"/>
    <cellStyle name="Input 2 4 2 3" xfId="10423" xr:uid="{00000000-0005-0000-0000-00004A260000}"/>
    <cellStyle name="Input 2 4 3" xfId="10424" xr:uid="{00000000-0005-0000-0000-00004B260000}"/>
    <cellStyle name="Input 2 4 3 2" xfId="10425" xr:uid="{00000000-0005-0000-0000-00004C260000}"/>
    <cellStyle name="Input 2 4 4" xfId="10426" xr:uid="{00000000-0005-0000-0000-00004D260000}"/>
    <cellStyle name="Input 2 5" xfId="10427" xr:uid="{00000000-0005-0000-0000-00004E260000}"/>
    <cellStyle name="Input 2 5 2" xfId="10428" xr:uid="{00000000-0005-0000-0000-00004F260000}"/>
    <cellStyle name="Input 2 5 2 2" xfId="10429" xr:uid="{00000000-0005-0000-0000-000050260000}"/>
    <cellStyle name="Input 2 5 3" xfId="10430" xr:uid="{00000000-0005-0000-0000-000051260000}"/>
    <cellStyle name="Input 2 5 3 2" xfId="10431" xr:uid="{00000000-0005-0000-0000-000052260000}"/>
    <cellStyle name="Input 2 5 3 2 2" xfId="10432" xr:uid="{00000000-0005-0000-0000-000053260000}"/>
    <cellStyle name="Input 2 5 3 3" xfId="10433" xr:uid="{00000000-0005-0000-0000-000054260000}"/>
    <cellStyle name="Input 2 5 4" xfId="10434" xr:uid="{00000000-0005-0000-0000-000055260000}"/>
    <cellStyle name="Input 2 6" xfId="10435" xr:uid="{00000000-0005-0000-0000-000056260000}"/>
    <cellStyle name="Input 2 6 2" xfId="10436" xr:uid="{00000000-0005-0000-0000-000057260000}"/>
    <cellStyle name="Input 2 6 2 2" xfId="10437" xr:uid="{00000000-0005-0000-0000-000058260000}"/>
    <cellStyle name="Input 2 6 2 2 2" xfId="10438" xr:uid="{00000000-0005-0000-0000-000059260000}"/>
    <cellStyle name="Input 2 6 2 3" xfId="10439" xr:uid="{00000000-0005-0000-0000-00005A260000}"/>
    <cellStyle name="Input 2 6 3" xfId="10440" xr:uid="{00000000-0005-0000-0000-00005B260000}"/>
    <cellStyle name="Input 2 6 3 2" xfId="10441" xr:uid="{00000000-0005-0000-0000-00005C260000}"/>
    <cellStyle name="Input 2 6 3 2 2" xfId="10442" xr:uid="{00000000-0005-0000-0000-00005D260000}"/>
    <cellStyle name="Input 2 6 3 2 2 2" xfId="10443" xr:uid="{00000000-0005-0000-0000-00005E260000}"/>
    <cellStyle name="Input 2 6 3 2 2 2 2" xfId="10444" xr:uid="{00000000-0005-0000-0000-00005F260000}"/>
    <cellStyle name="Input 2 6 3 2 2 3" xfId="10445" xr:uid="{00000000-0005-0000-0000-000060260000}"/>
    <cellStyle name="Input 2 6 3 2 3" xfId="10446" xr:uid="{00000000-0005-0000-0000-000061260000}"/>
    <cellStyle name="Input 2 6 3 2 3 2" xfId="10447" xr:uid="{00000000-0005-0000-0000-000062260000}"/>
    <cellStyle name="Input 2 6 3 2 4" xfId="10448" xr:uid="{00000000-0005-0000-0000-000063260000}"/>
    <cellStyle name="Input 2 6 3 3" xfId="10449" xr:uid="{00000000-0005-0000-0000-000064260000}"/>
    <cellStyle name="Input 2 6 3 3 2" xfId="10450" xr:uid="{00000000-0005-0000-0000-000065260000}"/>
    <cellStyle name="Input 2 6 3 3 2 2" xfId="10451" xr:uid="{00000000-0005-0000-0000-000066260000}"/>
    <cellStyle name="Input 2 6 3 3 3" xfId="10452" xr:uid="{00000000-0005-0000-0000-000067260000}"/>
    <cellStyle name="Input 2 6 3 4" xfId="10453" xr:uid="{00000000-0005-0000-0000-000068260000}"/>
    <cellStyle name="Input 2 6 3 4 2" xfId="10454" xr:uid="{00000000-0005-0000-0000-000069260000}"/>
    <cellStyle name="Input 2 6 3 5" xfId="10455" xr:uid="{00000000-0005-0000-0000-00006A260000}"/>
    <cellStyle name="Input 2 6 4" xfId="10456" xr:uid="{00000000-0005-0000-0000-00006B260000}"/>
    <cellStyle name="Input 2 6 4 2" xfId="10457" xr:uid="{00000000-0005-0000-0000-00006C260000}"/>
    <cellStyle name="Input 2 6 4 2 2" xfId="10458" xr:uid="{00000000-0005-0000-0000-00006D260000}"/>
    <cellStyle name="Input 2 6 4 2 2 2" xfId="10459" xr:uid="{00000000-0005-0000-0000-00006E260000}"/>
    <cellStyle name="Input 2 6 4 2 3" xfId="10460" xr:uid="{00000000-0005-0000-0000-00006F260000}"/>
    <cellStyle name="Input 2 6 4 3" xfId="10461" xr:uid="{00000000-0005-0000-0000-000070260000}"/>
    <cellStyle name="Input 2 6 4 3 2" xfId="10462" xr:uid="{00000000-0005-0000-0000-000071260000}"/>
    <cellStyle name="Input 2 6 4 4" xfId="10463" xr:uid="{00000000-0005-0000-0000-000072260000}"/>
    <cellStyle name="Input 2 6 5" xfId="10464" xr:uid="{00000000-0005-0000-0000-000073260000}"/>
    <cellStyle name="Input 2 6 5 2" xfId="10465" xr:uid="{00000000-0005-0000-0000-000074260000}"/>
    <cellStyle name="Input 2 6 5 2 2" xfId="10466" xr:uid="{00000000-0005-0000-0000-000075260000}"/>
    <cellStyle name="Input 2 6 5 3" xfId="10467" xr:uid="{00000000-0005-0000-0000-000076260000}"/>
    <cellStyle name="Input 2 6 6" xfId="10468" xr:uid="{00000000-0005-0000-0000-000077260000}"/>
    <cellStyle name="Input 2 6 6 2" xfId="10469" xr:uid="{00000000-0005-0000-0000-000078260000}"/>
    <cellStyle name="Input 2 6 7" xfId="10470" xr:uid="{00000000-0005-0000-0000-000079260000}"/>
    <cellStyle name="Input 2 7" xfId="10471" xr:uid="{00000000-0005-0000-0000-00007A260000}"/>
    <cellStyle name="Input 2 7 2" xfId="10472" xr:uid="{00000000-0005-0000-0000-00007B260000}"/>
    <cellStyle name="Input 2 7 2 2" xfId="10473" xr:uid="{00000000-0005-0000-0000-00007C260000}"/>
    <cellStyle name="Input 2 7 3" xfId="10474" xr:uid="{00000000-0005-0000-0000-00007D260000}"/>
    <cellStyle name="Input 2 8" xfId="10475" xr:uid="{00000000-0005-0000-0000-00007E260000}"/>
    <cellStyle name="Input 2 8 2" xfId="10476" xr:uid="{00000000-0005-0000-0000-00007F260000}"/>
    <cellStyle name="Input 2 8 2 2" xfId="10477" xr:uid="{00000000-0005-0000-0000-000080260000}"/>
    <cellStyle name="Input 2 8 2 2 2" xfId="10478" xr:uid="{00000000-0005-0000-0000-000081260000}"/>
    <cellStyle name="Input 2 8 2 3" xfId="10479" xr:uid="{00000000-0005-0000-0000-000082260000}"/>
    <cellStyle name="Input 2 8 3" xfId="10480" xr:uid="{00000000-0005-0000-0000-000083260000}"/>
    <cellStyle name="Input 2 8 3 2" xfId="10481" xr:uid="{00000000-0005-0000-0000-000084260000}"/>
    <cellStyle name="Input 2 8 4" xfId="10482" xr:uid="{00000000-0005-0000-0000-000085260000}"/>
    <cellStyle name="Input 2 9" xfId="10483" xr:uid="{00000000-0005-0000-0000-000086260000}"/>
    <cellStyle name="Input 2 9 2" xfId="10484" xr:uid="{00000000-0005-0000-0000-000087260000}"/>
    <cellStyle name="Input 2 9 2 2" xfId="10485" xr:uid="{00000000-0005-0000-0000-000088260000}"/>
    <cellStyle name="Input 2 9 2 2 2" xfId="10486" xr:uid="{00000000-0005-0000-0000-000089260000}"/>
    <cellStyle name="Input 2 9 2 3" xfId="10487" xr:uid="{00000000-0005-0000-0000-00008A260000}"/>
    <cellStyle name="Input 2 9 3" xfId="10488" xr:uid="{00000000-0005-0000-0000-00008B260000}"/>
    <cellStyle name="Input 2 9 3 2" xfId="10489" xr:uid="{00000000-0005-0000-0000-00008C260000}"/>
    <cellStyle name="Input 2 9 4" xfId="10490" xr:uid="{00000000-0005-0000-0000-00008D260000}"/>
    <cellStyle name="Input 20" xfId="10491" xr:uid="{00000000-0005-0000-0000-00008E260000}"/>
    <cellStyle name="Input 20 2" xfId="10492" xr:uid="{00000000-0005-0000-0000-00008F260000}"/>
    <cellStyle name="Input 20 2 2" xfId="10493" xr:uid="{00000000-0005-0000-0000-000090260000}"/>
    <cellStyle name="Input 20 2 2 2" xfId="10494" xr:uid="{00000000-0005-0000-0000-000091260000}"/>
    <cellStyle name="Input 20 2 3" xfId="10495" xr:uid="{00000000-0005-0000-0000-000092260000}"/>
    <cellStyle name="Input 20 3" xfId="10496" xr:uid="{00000000-0005-0000-0000-000093260000}"/>
    <cellStyle name="Input 20 3 2" xfId="10497" xr:uid="{00000000-0005-0000-0000-000094260000}"/>
    <cellStyle name="Input 20 4" xfId="10498" xr:uid="{00000000-0005-0000-0000-000095260000}"/>
    <cellStyle name="Input 21" xfId="10499" xr:uid="{00000000-0005-0000-0000-000096260000}"/>
    <cellStyle name="Input 21 2" xfId="10500" xr:uid="{00000000-0005-0000-0000-000097260000}"/>
    <cellStyle name="Input 21 2 2" xfId="10501" xr:uid="{00000000-0005-0000-0000-000098260000}"/>
    <cellStyle name="Input 21 2 2 2" xfId="10502" xr:uid="{00000000-0005-0000-0000-000099260000}"/>
    <cellStyle name="Input 21 2 3" xfId="10503" xr:uid="{00000000-0005-0000-0000-00009A260000}"/>
    <cellStyle name="Input 21 3" xfId="10504" xr:uid="{00000000-0005-0000-0000-00009B260000}"/>
    <cellStyle name="Input 21 3 2" xfId="10505" xr:uid="{00000000-0005-0000-0000-00009C260000}"/>
    <cellStyle name="Input 21 4" xfId="10506" xr:uid="{00000000-0005-0000-0000-00009D260000}"/>
    <cellStyle name="Input 22" xfId="10507" xr:uid="{00000000-0005-0000-0000-00009E260000}"/>
    <cellStyle name="Input 22 2" xfId="10508" xr:uid="{00000000-0005-0000-0000-00009F260000}"/>
    <cellStyle name="Input 22 2 2" xfId="10509" xr:uid="{00000000-0005-0000-0000-0000A0260000}"/>
    <cellStyle name="Input 22 2 2 2" xfId="10510" xr:uid="{00000000-0005-0000-0000-0000A1260000}"/>
    <cellStyle name="Input 22 2 3" xfId="10511" xr:uid="{00000000-0005-0000-0000-0000A2260000}"/>
    <cellStyle name="Input 22 3" xfId="10512" xr:uid="{00000000-0005-0000-0000-0000A3260000}"/>
    <cellStyle name="Input 22 3 2" xfId="10513" xr:uid="{00000000-0005-0000-0000-0000A4260000}"/>
    <cellStyle name="Input 22 4" xfId="10514" xr:uid="{00000000-0005-0000-0000-0000A5260000}"/>
    <cellStyle name="Input 23" xfId="10515" xr:uid="{00000000-0005-0000-0000-0000A6260000}"/>
    <cellStyle name="Input 23 2" xfId="10516" xr:uid="{00000000-0005-0000-0000-0000A7260000}"/>
    <cellStyle name="Input 23 2 2" xfId="10517" xr:uid="{00000000-0005-0000-0000-0000A8260000}"/>
    <cellStyle name="Input 23 2 2 2" xfId="10518" xr:uid="{00000000-0005-0000-0000-0000A9260000}"/>
    <cellStyle name="Input 23 2 3" xfId="10519" xr:uid="{00000000-0005-0000-0000-0000AA260000}"/>
    <cellStyle name="Input 23 3" xfId="10520" xr:uid="{00000000-0005-0000-0000-0000AB260000}"/>
    <cellStyle name="Input 23 3 2" xfId="10521" xr:uid="{00000000-0005-0000-0000-0000AC260000}"/>
    <cellStyle name="Input 23 4" xfId="10522" xr:uid="{00000000-0005-0000-0000-0000AD260000}"/>
    <cellStyle name="Input 24" xfId="10523" xr:uid="{00000000-0005-0000-0000-0000AE260000}"/>
    <cellStyle name="Input 24 2" xfId="10524" xr:uid="{00000000-0005-0000-0000-0000AF260000}"/>
    <cellStyle name="Input 24 2 2" xfId="10525" xr:uid="{00000000-0005-0000-0000-0000B0260000}"/>
    <cellStyle name="Input 24 2 2 2" xfId="10526" xr:uid="{00000000-0005-0000-0000-0000B1260000}"/>
    <cellStyle name="Input 24 2 3" xfId="10527" xr:uid="{00000000-0005-0000-0000-0000B2260000}"/>
    <cellStyle name="Input 24 3" xfId="10528" xr:uid="{00000000-0005-0000-0000-0000B3260000}"/>
    <cellStyle name="Input 24 3 2" xfId="10529" xr:uid="{00000000-0005-0000-0000-0000B4260000}"/>
    <cellStyle name="Input 24 4" xfId="10530" xr:uid="{00000000-0005-0000-0000-0000B5260000}"/>
    <cellStyle name="Input 25" xfId="10531" xr:uid="{00000000-0005-0000-0000-0000B6260000}"/>
    <cellStyle name="Input 25 2" xfId="10532" xr:uid="{00000000-0005-0000-0000-0000B7260000}"/>
    <cellStyle name="Input 25 2 2" xfId="10533" xr:uid="{00000000-0005-0000-0000-0000B8260000}"/>
    <cellStyle name="Input 25 2 2 2" xfId="10534" xr:uid="{00000000-0005-0000-0000-0000B9260000}"/>
    <cellStyle name="Input 25 2 3" xfId="10535" xr:uid="{00000000-0005-0000-0000-0000BA260000}"/>
    <cellStyle name="Input 25 3" xfId="10536" xr:uid="{00000000-0005-0000-0000-0000BB260000}"/>
    <cellStyle name="Input 25 3 2" xfId="10537" xr:uid="{00000000-0005-0000-0000-0000BC260000}"/>
    <cellStyle name="Input 25 4" xfId="10538" xr:uid="{00000000-0005-0000-0000-0000BD260000}"/>
    <cellStyle name="Input 26" xfId="10539" xr:uid="{00000000-0005-0000-0000-0000BE260000}"/>
    <cellStyle name="Input 26 2" xfId="10540" xr:uid="{00000000-0005-0000-0000-0000BF260000}"/>
    <cellStyle name="Input 26 2 2" xfId="10541" xr:uid="{00000000-0005-0000-0000-0000C0260000}"/>
    <cellStyle name="Input 26 2 2 2" xfId="10542" xr:uid="{00000000-0005-0000-0000-0000C1260000}"/>
    <cellStyle name="Input 26 2 3" xfId="10543" xr:uid="{00000000-0005-0000-0000-0000C2260000}"/>
    <cellStyle name="Input 26 3" xfId="10544" xr:uid="{00000000-0005-0000-0000-0000C3260000}"/>
    <cellStyle name="Input 26 3 2" xfId="10545" xr:uid="{00000000-0005-0000-0000-0000C4260000}"/>
    <cellStyle name="Input 26 4" xfId="10546" xr:uid="{00000000-0005-0000-0000-0000C5260000}"/>
    <cellStyle name="Input 27" xfId="10547" xr:uid="{00000000-0005-0000-0000-0000C6260000}"/>
    <cellStyle name="Input 27 2" xfId="10548" xr:uid="{00000000-0005-0000-0000-0000C7260000}"/>
    <cellStyle name="Input 27 2 2" xfId="10549" xr:uid="{00000000-0005-0000-0000-0000C8260000}"/>
    <cellStyle name="Input 27 2 2 2" xfId="10550" xr:uid="{00000000-0005-0000-0000-0000C9260000}"/>
    <cellStyle name="Input 27 2 3" xfId="10551" xr:uid="{00000000-0005-0000-0000-0000CA260000}"/>
    <cellStyle name="Input 27 3" xfId="10552" xr:uid="{00000000-0005-0000-0000-0000CB260000}"/>
    <cellStyle name="Input 27 3 2" xfId="10553" xr:uid="{00000000-0005-0000-0000-0000CC260000}"/>
    <cellStyle name="Input 27 4" xfId="10554" xr:uid="{00000000-0005-0000-0000-0000CD260000}"/>
    <cellStyle name="Input 28" xfId="10555" xr:uid="{00000000-0005-0000-0000-0000CE260000}"/>
    <cellStyle name="Input 28 2" xfId="10556" xr:uid="{00000000-0005-0000-0000-0000CF260000}"/>
    <cellStyle name="Input 28 2 2" xfId="10557" xr:uid="{00000000-0005-0000-0000-0000D0260000}"/>
    <cellStyle name="Input 28 2 2 2" xfId="10558" xr:uid="{00000000-0005-0000-0000-0000D1260000}"/>
    <cellStyle name="Input 28 2 3" xfId="10559" xr:uid="{00000000-0005-0000-0000-0000D2260000}"/>
    <cellStyle name="Input 28 3" xfId="10560" xr:uid="{00000000-0005-0000-0000-0000D3260000}"/>
    <cellStyle name="Input 28 3 2" xfId="10561" xr:uid="{00000000-0005-0000-0000-0000D4260000}"/>
    <cellStyle name="Input 28 4" xfId="10562" xr:uid="{00000000-0005-0000-0000-0000D5260000}"/>
    <cellStyle name="Input 29" xfId="10563" xr:uid="{00000000-0005-0000-0000-0000D6260000}"/>
    <cellStyle name="Input 29 2" xfId="10564" xr:uid="{00000000-0005-0000-0000-0000D7260000}"/>
    <cellStyle name="Input 29 2 2" xfId="10565" xr:uid="{00000000-0005-0000-0000-0000D8260000}"/>
    <cellStyle name="Input 29 2 2 2" xfId="10566" xr:uid="{00000000-0005-0000-0000-0000D9260000}"/>
    <cellStyle name="Input 29 2 3" xfId="10567" xr:uid="{00000000-0005-0000-0000-0000DA260000}"/>
    <cellStyle name="Input 29 3" xfId="10568" xr:uid="{00000000-0005-0000-0000-0000DB260000}"/>
    <cellStyle name="Input 29 3 2" xfId="10569" xr:uid="{00000000-0005-0000-0000-0000DC260000}"/>
    <cellStyle name="Input 29 4" xfId="10570" xr:uid="{00000000-0005-0000-0000-0000DD260000}"/>
    <cellStyle name="Input 3" xfId="10571" xr:uid="{00000000-0005-0000-0000-0000DE260000}"/>
    <cellStyle name="Input 3 10" xfId="10572" xr:uid="{00000000-0005-0000-0000-0000DF260000}"/>
    <cellStyle name="Input 3 10 2" xfId="10573" xr:uid="{00000000-0005-0000-0000-0000E0260000}"/>
    <cellStyle name="Input 3 10 2 2" xfId="10574" xr:uid="{00000000-0005-0000-0000-0000E1260000}"/>
    <cellStyle name="Input 3 10 3" xfId="10575" xr:uid="{00000000-0005-0000-0000-0000E2260000}"/>
    <cellStyle name="Input 3 11" xfId="10576" xr:uid="{00000000-0005-0000-0000-0000E3260000}"/>
    <cellStyle name="Input 3 11 2" xfId="10577" xr:uid="{00000000-0005-0000-0000-0000E4260000}"/>
    <cellStyle name="Input 3 12" xfId="10578" xr:uid="{00000000-0005-0000-0000-0000E5260000}"/>
    <cellStyle name="Input 3 2" xfId="10579" xr:uid="{00000000-0005-0000-0000-0000E6260000}"/>
    <cellStyle name="Input 3 2 2" xfId="10580" xr:uid="{00000000-0005-0000-0000-0000E7260000}"/>
    <cellStyle name="Input 3 2 2 2" xfId="10581" xr:uid="{00000000-0005-0000-0000-0000E8260000}"/>
    <cellStyle name="Input 3 2 3" xfId="10582" xr:uid="{00000000-0005-0000-0000-0000E9260000}"/>
    <cellStyle name="Input 3 2 3 2" xfId="10583" xr:uid="{00000000-0005-0000-0000-0000EA260000}"/>
    <cellStyle name="Input 3 2 3 2 2" xfId="10584" xr:uid="{00000000-0005-0000-0000-0000EB260000}"/>
    <cellStyle name="Input 3 2 3 3" xfId="10585" xr:uid="{00000000-0005-0000-0000-0000EC260000}"/>
    <cellStyle name="Input 3 2 4" xfId="10586" xr:uid="{00000000-0005-0000-0000-0000ED260000}"/>
    <cellStyle name="Input 3 3" xfId="10587" xr:uid="{00000000-0005-0000-0000-0000EE260000}"/>
    <cellStyle name="Input 3 3 2" xfId="10588" xr:uid="{00000000-0005-0000-0000-0000EF260000}"/>
    <cellStyle name="Input 3 3 2 2" xfId="10589" xr:uid="{00000000-0005-0000-0000-0000F0260000}"/>
    <cellStyle name="Input 3 3 2 2 2" xfId="10590" xr:uid="{00000000-0005-0000-0000-0000F1260000}"/>
    <cellStyle name="Input 3 3 2 3" xfId="10591" xr:uid="{00000000-0005-0000-0000-0000F2260000}"/>
    <cellStyle name="Input 3 3 3" xfId="10592" xr:uid="{00000000-0005-0000-0000-0000F3260000}"/>
    <cellStyle name="Input 3 3 3 2" xfId="10593" xr:uid="{00000000-0005-0000-0000-0000F4260000}"/>
    <cellStyle name="Input 3 3 3 2 2" xfId="10594" xr:uid="{00000000-0005-0000-0000-0000F5260000}"/>
    <cellStyle name="Input 3 3 3 2 2 2" xfId="10595" xr:uid="{00000000-0005-0000-0000-0000F6260000}"/>
    <cellStyle name="Input 3 3 3 2 3" xfId="10596" xr:uid="{00000000-0005-0000-0000-0000F7260000}"/>
    <cellStyle name="Input 3 3 3 3" xfId="10597" xr:uid="{00000000-0005-0000-0000-0000F8260000}"/>
    <cellStyle name="Input 3 3 3 3 2" xfId="10598" xr:uid="{00000000-0005-0000-0000-0000F9260000}"/>
    <cellStyle name="Input 3 3 3 4" xfId="10599" xr:uid="{00000000-0005-0000-0000-0000FA260000}"/>
    <cellStyle name="Input 3 3 4" xfId="10600" xr:uid="{00000000-0005-0000-0000-0000FB260000}"/>
    <cellStyle name="Input 3 3 4 2" xfId="10601" xr:uid="{00000000-0005-0000-0000-0000FC260000}"/>
    <cellStyle name="Input 3 3 5" xfId="10602" xr:uid="{00000000-0005-0000-0000-0000FD260000}"/>
    <cellStyle name="Input 3 4" xfId="10603" xr:uid="{00000000-0005-0000-0000-0000FE260000}"/>
    <cellStyle name="Input 3 4 2" xfId="10604" xr:uid="{00000000-0005-0000-0000-0000FF260000}"/>
    <cellStyle name="Input 3 4 2 2" xfId="10605" xr:uid="{00000000-0005-0000-0000-000000270000}"/>
    <cellStyle name="Input 3 4 2 2 2" xfId="10606" xr:uid="{00000000-0005-0000-0000-000001270000}"/>
    <cellStyle name="Input 3 4 2 3" xfId="10607" xr:uid="{00000000-0005-0000-0000-000002270000}"/>
    <cellStyle name="Input 3 4 3" xfId="10608" xr:uid="{00000000-0005-0000-0000-000003270000}"/>
    <cellStyle name="Input 3 4 3 2" xfId="10609" xr:uid="{00000000-0005-0000-0000-000004270000}"/>
    <cellStyle name="Input 3 4 4" xfId="10610" xr:uid="{00000000-0005-0000-0000-000005270000}"/>
    <cellStyle name="Input 3 5" xfId="10611" xr:uid="{00000000-0005-0000-0000-000006270000}"/>
    <cellStyle name="Input 3 5 2" xfId="10612" xr:uid="{00000000-0005-0000-0000-000007270000}"/>
    <cellStyle name="Input 3 5 2 2" xfId="10613" xr:uid="{00000000-0005-0000-0000-000008270000}"/>
    <cellStyle name="Input 3 5 2 2 2" xfId="10614" xr:uid="{00000000-0005-0000-0000-000009270000}"/>
    <cellStyle name="Input 3 5 2 3" xfId="10615" xr:uid="{00000000-0005-0000-0000-00000A270000}"/>
    <cellStyle name="Input 3 5 3" xfId="10616" xr:uid="{00000000-0005-0000-0000-00000B270000}"/>
    <cellStyle name="Input 3 5 3 2" xfId="10617" xr:uid="{00000000-0005-0000-0000-00000C270000}"/>
    <cellStyle name="Input 3 5 3 2 2" xfId="10618" xr:uid="{00000000-0005-0000-0000-00000D270000}"/>
    <cellStyle name="Input 3 5 3 2 2 2" xfId="10619" xr:uid="{00000000-0005-0000-0000-00000E270000}"/>
    <cellStyle name="Input 3 5 3 2 3" xfId="10620" xr:uid="{00000000-0005-0000-0000-00000F270000}"/>
    <cellStyle name="Input 3 5 3 3" xfId="10621" xr:uid="{00000000-0005-0000-0000-000010270000}"/>
    <cellStyle name="Input 3 5 3 3 2" xfId="10622" xr:uid="{00000000-0005-0000-0000-000011270000}"/>
    <cellStyle name="Input 3 5 3 4" xfId="10623" xr:uid="{00000000-0005-0000-0000-000012270000}"/>
    <cellStyle name="Input 3 5 4" xfId="10624" xr:uid="{00000000-0005-0000-0000-000013270000}"/>
    <cellStyle name="Input 3 5 4 2" xfId="10625" xr:uid="{00000000-0005-0000-0000-000014270000}"/>
    <cellStyle name="Input 3 5 5" xfId="10626" xr:uid="{00000000-0005-0000-0000-000015270000}"/>
    <cellStyle name="Input 3 6" xfId="10627" xr:uid="{00000000-0005-0000-0000-000016270000}"/>
    <cellStyle name="Input 3 6 2" xfId="10628" xr:uid="{00000000-0005-0000-0000-000017270000}"/>
    <cellStyle name="Input 3 6 2 2" xfId="10629" xr:uid="{00000000-0005-0000-0000-000018270000}"/>
    <cellStyle name="Input 3 6 3" xfId="10630" xr:uid="{00000000-0005-0000-0000-000019270000}"/>
    <cellStyle name="Input 3 7" xfId="10631" xr:uid="{00000000-0005-0000-0000-00001A270000}"/>
    <cellStyle name="Input 3 7 2" xfId="10632" xr:uid="{00000000-0005-0000-0000-00001B270000}"/>
    <cellStyle name="Input 3 7 2 2" xfId="10633" xr:uid="{00000000-0005-0000-0000-00001C270000}"/>
    <cellStyle name="Input 3 7 3" xfId="10634" xr:uid="{00000000-0005-0000-0000-00001D270000}"/>
    <cellStyle name="Input 3 8" xfId="10635" xr:uid="{00000000-0005-0000-0000-00001E270000}"/>
    <cellStyle name="Input 3 8 2" xfId="10636" xr:uid="{00000000-0005-0000-0000-00001F270000}"/>
    <cellStyle name="Input 3 8 2 2" xfId="10637" xr:uid="{00000000-0005-0000-0000-000020270000}"/>
    <cellStyle name="Input 3 8 2 2 2" xfId="10638" xr:uid="{00000000-0005-0000-0000-000021270000}"/>
    <cellStyle name="Input 3 8 2 3" xfId="10639" xr:uid="{00000000-0005-0000-0000-000022270000}"/>
    <cellStyle name="Input 3 8 3" xfId="10640" xr:uid="{00000000-0005-0000-0000-000023270000}"/>
    <cellStyle name="Input 3 8 3 2" xfId="10641" xr:uid="{00000000-0005-0000-0000-000024270000}"/>
    <cellStyle name="Input 3 8 4" xfId="10642" xr:uid="{00000000-0005-0000-0000-000025270000}"/>
    <cellStyle name="Input 3 9" xfId="10643" xr:uid="{00000000-0005-0000-0000-000026270000}"/>
    <cellStyle name="Input 3 9 2" xfId="10644" xr:uid="{00000000-0005-0000-0000-000027270000}"/>
    <cellStyle name="Input 3 9 2 2" xfId="10645" xr:uid="{00000000-0005-0000-0000-000028270000}"/>
    <cellStyle name="Input 3 9 2 2 2" xfId="10646" xr:uid="{00000000-0005-0000-0000-000029270000}"/>
    <cellStyle name="Input 3 9 2 2 2 2" xfId="10647" xr:uid="{00000000-0005-0000-0000-00002A270000}"/>
    <cellStyle name="Input 3 9 2 2 2 2 2" xfId="10648" xr:uid="{00000000-0005-0000-0000-00002B270000}"/>
    <cellStyle name="Input 3 9 2 2 2 3" xfId="10649" xr:uid="{00000000-0005-0000-0000-00002C270000}"/>
    <cellStyle name="Input 3 9 2 2 3" xfId="10650" xr:uid="{00000000-0005-0000-0000-00002D270000}"/>
    <cellStyle name="Input 3 9 2 2 3 2" xfId="10651" xr:uid="{00000000-0005-0000-0000-00002E270000}"/>
    <cellStyle name="Input 3 9 2 2 4" xfId="10652" xr:uid="{00000000-0005-0000-0000-00002F270000}"/>
    <cellStyle name="Input 3 9 2 3" xfId="10653" xr:uid="{00000000-0005-0000-0000-000030270000}"/>
    <cellStyle name="Input 3 9 2 3 2" xfId="10654" xr:uid="{00000000-0005-0000-0000-000031270000}"/>
    <cellStyle name="Input 3 9 2 3 2 2" xfId="10655" xr:uid="{00000000-0005-0000-0000-000032270000}"/>
    <cellStyle name="Input 3 9 2 3 3" xfId="10656" xr:uid="{00000000-0005-0000-0000-000033270000}"/>
    <cellStyle name="Input 3 9 2 4" xfId="10657" xr:uid="{00000000-0005-0000-0000-000034270000}"/>
    <cellStyle name="Input 3 9 2 4 2" xfId="10658" xr:uid="{00000000-0005-0000-0000-000035270000}"/>
    <cellStyle name="Input 3 9 2 5" xfId="10659" xr:uid="{00000000-0005-0000-0000-000036270000}"/>
    <cellStyle name="Input 3 9 3" xfId="10660" xr:uid="{00000000-0005-0000-0000-000037270000}"/>
    <cellStyle name="Input 3 9 3 2" xfId="10661" xr:uid="{00000000-0005-0000-0000-000038270000}"/>
    <cellStyle name="Input 3 9 3 2 2" xfId="10662" xr:uid="{00000000-0005-0000-0000-000039270000}"/>
    <cellStyle name="Input 3 9 3 2 2 2" xfId="10663" xr:uid="{00000000-0005-0000-0000-00003A270000}"/>
    <cellStyle name="Input 3 9 3 2 3" xfId="10664" xr:uid="{00000000-0005-0000-0000-00003B270000}"/>
    <cellStyle name="Input 3 9 3 3" xfId="10665" xr:uid="{00000000-0005-0000-0000-00003C270000}"/>
    <cellStyle name="Input 3 9 3 3 2" xfId="10666" xr:uid="{00000000-0005-0000-0000-00003D270000}"/>
    <cellStyle name="Input 3 9 3 4" xfId="10667" xr:uid="{00000000-0005-0000-0000-00003E270000}"/>
    <cellStyle name="Input 3 9 4" xfId="10668" xr:uid="{00000000-0005-0000-0000-00003F270000}"/>
    <cellStyle name="Input 3 9 4 2" xfId="10669" xr:uid="{00000000-0005-0000-0000-000040270000}"/>
    <cellStyle name="Input 3 9 4 2 2" xfId="10670" xr:uid="{00000000-0005-0000-0000-000041270000}"/>
    <cellStyle name="Input 3 9 4 3" xfId="10671" xr:uid="{00000000-0005-0000-0000-000042270000}"/>
    <cellStyle name="Input 3 9 5" xfId="10672" xr:uid="{00000000-0005-0000-0000-000043270000}"/>
    <cellStyle name="Input 3 9 5 2" xfId="10673" xr:uid="{00000000-0005-0000-0000-000044270000}"/>
    <cellStyle name="Input 3 9 6" xfId="10674" xr:uid="{00000000-0005-0000-0000-000045270000}"/>
    <cellStyle name="Input 30" xfId="10675" xr:uid="{00000000-0005-0000-0000-000046270000}"/>
    <cellStyle name="Input 30 2" xfId="10676" xr:uid="{00000000-0005-0000-0000-000047270000}"/>
    <cellStyle name="Input 30 2 2" xfId="10677" xr:uid="{00000000-0005-0000-0000-000048270000}"/>
    <cellStyle name="Input 30 2 2 2" xfId="10678" xr:uid="{00000000-0005-0000-0000-000049270000}"/>
    <cellStyle name="Input 30 2 3" xfId="10679" xr:uid="{00000000-0005-0000-0000-00004A270000}"/>
    <cellStyle name="Input 30 3" xfId="10680" xr:uid="{00000000-0005-0000-0000-00004B270000}"/>
    <cellStyle name="Input 30 3 2" xfId="10681" xr:uid="{00000000-0005-0000-0000-00004C270000}"/>
    <cellStyle name="Input 30 4" xfId="10682" xr:uid="{00000000-0005-0000-0000-00004D270000}"/>
    <cellStyle name="Input 31" xfId="10683" xr:uid="{00000000-0005-0000-0000-00004E270000}"/>
    <cellStyle name="Input 31 2" xfId="10684" xr:uid="{00000000-0005-0000-0000-00004F270000}"/>
    <cellStyle name="Input 31 2 2" xfId="10685" xr:uid="{00000000-0005-0000-0000-000050270000}"/>
    <cellStyle name="Input 31 2 2 2" xfId="10686" xr:uid="{00000000-0005-0000-0000-000051270000}"/>
    <cellStyle name="Input 31 2 3" xfId="10687" xr:uid="{00000000-0005-0000-0000-000052270000}"/>
    <cellStyle name="Input 31 3" xfId="10688" xr:uid="{00000000-0005-0000-0000-000053270000}"/>
    <cellStyle name="Input 31 3 2" xfId="10689" xr:uid="{00000000-0005-0000-0000-000054270000}"/>
    <cellStyle name="Input 31 4" xfId="10690" xr:uid="{00000000-0005-0000-0000-000055270000}"/>
    <cellStyle name="Input 32" xfId="10691" xr:uid="{00000000-0005-0000-0000-000056270000}"/>
    <cellStyle name="Input 32 2" xfId="10692" xr:uid="{00000000-0005-0000-0000-000057270000}"/>
    <cellStyle name="Input 32 2 2" xfId="10693" xr:uid="{00000000-0005-0000-0000-000058270000}"/>
    <cellStyle name="Input 32 2 2 2" xfId="10694" xr:uid="{00000000-0005-0000-0000-000059270000}"/>
    <cellStyle name="Input 32 2 3" xfId="10695" xr:uid="{00000000-0005-0000-0000-00005A270000}"/>
    <cellStyle name="Input 32 3" xfId="10696" xr:uid="{00000000-0005-0000-0000-00005B270000}"/>
    <cellStyle name="Input 32 3 2" xfId="10697" xr:uid="{00000000-0005-0000-0000-00005C270000}"/>
    <cellStyle name="Input 32 4" xfId="10698" xr:uid="{00000000-0005-0000-0000-00005D270000}"/>
    <cellStyle name="Input 33" xfId="10699" xr:uid="{00000000-0005-0000-0000-00005E270000}"/>
    <cellStyle name="Input 33 2" xfId="10700" xr:uid="{00000000-0005-0000-0000-00005F270000}"/>
    <cellStyle name="Input 33 2 2" xfId="10701" xr:uid="{00000000-0005-0000-0000-000060270000}"/>
    <cellStyle name="Input 33 2 2 2" xfId="10702" xr:uid="{00000000-0005-0000-0000-000061270000}"/>
    <cellStyle name="Input 33 2 3" xfId="10703" xr:uid="{00000000-0005-0000-0000-000062270000}"/>
    <cellStyle name="Input 33 3" xfId="10704" xr:uid="{00000000-0005-0000-0000-000063270000}"/>
    <cellStyle name="Input 33 3 2" xfId="10705" xr:uid="{00000000-0005-0000-0000-000064270000}"/>
    <cellStyle name="Input 33 4" xfId="10706" xr:uid="{00000000-0005-0000-0000-000065270000}"/>
    <cellStyle name="Input 34" xfId="10707" xr:uid="{00000000-0005-0000-0000-000066270000}"/>
    <cellStyle name="Input 34 2" xfId="10708" xr:uid="{00000000-0005-0000-0000-000067270000}"/>
    <cellStyle name="Input 34 2 2" xfId="10709" xr:uid="{00000000-0005-0000-0000-000068270000}"/>
    <cellStyle name="Input 34 2 2 2" xfId="10710" xr:uid="{00000000-0005-0000-0000-000069270000}"/>
    <cellStyle name="Input 34 2 3" xfId="10711" xr:uid="{00000000-0005-0000-0000-00006A270000}"/>
    <cellStyle name="Input 34 3" xfId="10712" xr:uid="{00000000-0005-0000-0000-00006B270000}"/>
    <cellStyle name="Input 34 3 2" xfId="10713" xr:uid="{00000000-0005-0000-0000-00006C270000}"/>
    <cellStyle name="Input 34 4" xfId="10714" xr:uid="{00000000-0005-0000-0000-00006D270000}"/>
    <cellStyle name="Input 35" xfId="10715" xr:uid="{00000000-0005-0000-0000-00006E270000}"/>
    <cellStyle name="Input 35 2" xfId="10716" xr:uid="{00000000-0005-0000-0000-00006F270000}"/>
    <cellStyle name="Input 35 2 2" xfId="10717" xr:uid="{00000000-0005-0000-0000-000070270000}"/>
    <cellStyle name="Input 35 2 2 2" xfId="10718" xr:uid="{00000000-0005-0000-0000-000071270000}"/>
    <cellStyle name="Input 35 2 3" xfId="10719" xr:uid="{00000000-0005-0000-0000-000072270000}"/>
    <cellStyle name="Input 35 3" xfId="10720" xr:uid="{00000000-0005-0000-0000-000073270000}"/>
    <cellStyle name="Input 35 3 2" xfId="10721" xr:uid="{00000000-0005-0000-0000-000074270000}"/>
    <cellStyle name="Input 35 4" xfId="10722" xr:uid="{00000000-0005-0000-0000-000075270000}"/>
    <cellStyle name="Input 36" xfId="10723" xr:uid="{00000000-0005-0000-0000-000076270000}"/>
    <cellStyle name="Input 36 2" xfId="10724" xr:uid="{00000000-0005-0000-0000-000077270000}"/>
    <cellStyle name="Input 36 2 2" xfId="10725" xr:uid="{00000000-0005-0000-0000-000078270000}"/>
    <cellStyle name="Input 36 2 2 2" xfId="10726" xr:uid="{00000000-0005-0000-0000-000079270000}"/>
    <cellStyle name="Input 36 2 3" xfId="10727" xr:uid="{00000000-0005-0000-0000-00007A270000}"/>
    <cellStyle name="Input 36 3" xfId="10728" xr:uid="{00000000-0005-0000-0000-00007B270000}"/>
    <cellStyle name="Input 36 3 2" xfId="10729" xr:uid="{00000000-0005-0000-0000-00007C270000}"/>
    <cellStyle name="Input 36 4" xfId="10730" xr:uid="{00000000-0005-0000-0000-00007D270000}"/>
    <cellStyle name="Input 37" xfId="10731" xr:uid="{00000000-0005-0000-0000-00007E270000}"/>
    <cellStyle name="Input 37 2" xfId="10732" xr:uid="{00000000-0005-0000-0000-00007F270000}"/>
    <cellStyle name="Input 37 2 2" xfId="10733" xr:uid="{00000000-0005-0000-0000-000080270000}"/>
    <cellStyle name="Input 37 2 2 2" xfId="10734" xr:uid="{00000000-0005-0000-0000-000081270000}"/>
    <cellStyle name="Input 37 2 3" xfId="10735" xr:uid="{00000000-0005-0000-0000-000082270000}"/>
    <cellStyle name="Input 37 3" xfId="10736" xr:uid="{00000000-0005-0000-0000-000083270000}"/>
    <cellStyle name="Input 37 3 2" xfId="10737" xr:uid="{00000000-0005-0000-0000-000084270000}"/>
    <cellStyle name="Input 37 4" xfId="10738" xr:uid="{00000000-0005-0000-0000-000085270000}"/>
    <cellStyle name="Input 38" xfId="10739" xr:uid="{00000000-0005-0000-0000-000086270000}"/>
    <cellStyle name="Input 38 2" xfId="10740" xr:uid="{00000000-0005-0000-0000-000087270000}"/>
    <cellStyle name="Input 38 2 2" xfId="10741" xr:uid="{00000000-0005-0000-0000-000088270000}"/>
    <cellStyle name="Input 38 2 2 2" xfId="10742" xr:uid="{00000000-0005-0000-0000-000089270000}"/>
    <cellStyle name="Input 38 2 3" xfId="10743" xr:uid="{00000000-0005-0000-0000-00008A270000}"/>
    <cellStyle name="Input 38 3" xfId="10744" xr:uid="{00000000-0005-0000-0000-00008B270000}"/>
    <cellStyle name="Input 38 3 2" xfId="10745" xr:uid="{00000000-0005-0000-0000-00008C270000}"/>
    <cellStyle name="Input 38 4" xfId="10746" xr:uid="{00000000-0005-0000-0000-00008D270000}"/>
    <cellStyle name="Input 39" xfId="10747" xr:uid="{00000000-0005-0000-0000-00008E270000}"/>
    <cellStyle name="Input 39 2" xfId="10748" xr:uid="{00000000-0005-0000-0000-00008F270000}"/>
    <cellStyle name="Input 39 2 2" xfId="10749" xr:uid="{00000000-0005-0000-0000-000090270000}"/>
    <cellStyle name="Input 39 2 2 2" xfId="10750" xr:uid="{00000000-0005-0000-0000-000091270000}"/>
    <cellStyle name="Input 39 2 3" xfId="10751" xr:uid="{00000000-0005-0000-0000-000092270000}"/>
    <cellStyle name="Input 39 3" xfId="10752" xr:uid="{00000000-0005-0000-0000-000093270000}"/>
    <cellStyle name="Input 39 3 2" xfId="10753" xr:uid="{00000000-0005-0000-0000-000094270000}"/>
    <cellStyle name="Input 39 4" xfId="10754" xr:uid="{00000000-0005-0000-0000-000095270000}"/>
    <cellStyle name="Input 4" xfId="10755" xr:uid="{00000000-0005-0000-0000-000096270000}"/>
    <cellStyle name="Input 4 2" xfId="10756" xr:uid="{00000000-0005-0000-0000-000097270000}"/>
    <cellStyle name="Input 4 2 2" xfId="10757" xr:uid="{00000000-0005-0000-0000-000098270000}"/>
    <cellStyle name="Input 4 2 2 2" xfId="10758" xr:uid="{00000000-0005-0000-0000-000099270000}"/>
    <cellStyle name="Input 4 2 3" xfId="10759" xr:uid="{00000000-0005-0000-0000-00009A270000}"/>
    <cellStyle name="Input 4 2 3 2" xfId="10760" xr:uid="{00000000-0005-0000-0000-00009B270000}"/>
    <cellStyle name="Input 4 2 3 2 2" xfId="10761" xr:uid="{00000000-0005-0000-0000-00009C270000}"/>
    <cellStyle name="Input 4 2 3 3" xfId="10762" xr:uid="{00000000-0005-0000-0000-00009D270000}"/>
    <cellStyle name="Input 4 2 4" xfId="10763" xr:uid="{00000000-0005-0000-0000-00009E270000}"/>
    <cellStyle name="Input 4 3" xfId="10764" xr:uid="{00000000-0005-0000-0000-00009F270000}"/>
    <cellStyle name="Input 4 3 2" xfId="10765" xr:uid="{00000000-0005-0000-0000-0000A0270000}"/>
    <cellStyle name="Input 4 3 2 2" xfId="10766" xr:uid="{00000000-0005-0000-0000-0000A1270000}"/>
    <cellStyle name="Input 4 3 2 2 2" xfId="10767" xr:uid="{00000000-0005-0000-0000-0000A2270000}"/>
    <cellStyle name="Input 4 3 2 3" xfId="10768" xr:uid="{00000000-0005-0000-0000-0000A3270000}"/>
    <cellStyle name="Input 4 3 3" xfId="10769" xr:uid="{00000000-0005-0000-0000-0000A4270000}"/>
    <cellStyle name="Input 4 3 3 2" xfId="10770" xr:uid="{00000000-0005-0000-0000-0000A5270000}"/>
    <cellStyle name="Input 4 3 3 2 2" xfId="10771" xr:uid="{00000000-0005-0000-0000-0000A6270000}"/>
    <cellStyle name="Input 4 3 3 2 2 2" xfId="10772" xr:uid="{00000000-0005-0000-0000-0000A7270000}"/>
    <cellStyle name="Input 4 3 3 2 3" xfId="10773" xr:uid="{00000000-0005-0000-0000-0000A8270000}"/>
    <cellStyle name="Input 4 3 3 3" xfId="10774" xr:uid="{00000000-0005-0000-0000-0000A9270000}"/>
    <cellStyle name="Input 4 3 3 3 2" xfId="10775" xr:uid="{00000000-0005-0000-0000-0000AA270000}"/>
    <cellStyle name="Input 4 3 3 4" xfId="10776" xr:uid="{00000000-0005-0000-0000-0000AB270000}"/>
    <cellStyle name="Input 4 3 4" xfId="10777" xr:uid="{00000000-0005-0000-0000-0000AC270000}"/>
    <cellStyle name="Input 4 3 4 2" xfId="10778" xr:uid="{00000000-0005-0000-0000-0000AD270000}"/>
    <cellStyle name="Input 4 3 5" xfId="10779" xr:uid="{00000000-0005-0000-0000-0000AE270000}"/>
    <cellStyle name="Input 4 4" xfId="10780" xr:uid="{00000000-0005-0000-0000-0000AF270000}"/>
    <cellStyle name="Input 4 4 2" xfId="10781" xr:uid="{00000000-0005-0000-0000-0000B0270000}"/>
    <cellStyle name="Input 4 4 2 2" xfId="10782" xr:uid="{00000000-0005-0000-0000-0000B1270000}"/>
    <cellStyle name="Input 4 4 2 2 2" xfId="10783" xr:uid="{00000000-0005-0000-0000-0000B2270000}"/>
    <cellStyle name="Input 4 4 2 3" xfId="10784" xr:uid="{00000000-0005-0000-0000-0000B3270000}"/>
    <cellStyle name="Input 4 4 3" xfId="10785" xr:uid="{00000000-0005-0000-0000-0000B4270000}"/>
    <cellStyle name="Input 4 4 3 2" xfId="10786" xr:uid="{00000000-0005-0000-0000-0000B5270000}"/>
    <cellStyle name="Input 4 4 4" xfId="10787" xr:uid="{00000000-0005-0000-0000-0000B6270000}"/>
    <cellStyle name="Input 4 5" xfId="10788" xr:uid="{00000000-0005-0000-0000-0000B7270000}"/>
    <cellStyle name="Input 4 5 2" xfId="10789" xr:uid="{00000000-0005-0000-0000-0000B8270000}"/>
    <cellStyle name="Input 4 5 2 2" xfId="10790" xr:uid="{00000000-0005-0000-0000-0000B9270000}"/>
    <cellStyle name="Input 4 5 3" xfId="10791" xr:uid="{00000000-0005-0000-0000-0000BA270000}"/>
    <cellStyle name="Input 4 6" xfId="10792" xr:uid="{00000000-0005-0000-0000-0000BB270000}"/>
    <cellStyle name="Input 4 6 2" xfId="10793" xr:uid="{00000000-0005-0000-0000-0000BC270000}"/>
    <cellStyle name="Input 4 6 2 2" xfId="10794" xr:uid="{00000000-0005-0000-0000-0000BD270000}"/>
    <cellStyle name="Input 4 6 2 2 2" xfId="10795" xr:uid="{00000000-0005-0000-0000-0000BE270000}"/>
    <cellStyle name="Input 4 6 2 2 2 2" xfId="10796" xr:uid="{00000000-0005-0000-0000-0000BF270000}"/>
    <cellStyle name="Input 4 6 2 2 2 2 2" xfId="10797" xr:uid="{00000000-0005-0000-0000-0000C0270000}"/>
    <cellStyle name="Input 4 6 2 2 2 3" xfId="10798" xr:uid="{00000000-0005-0000-0000-0000C1270000}"/>
    <cellStyle name="Input 4 6 2 2 3" xfId="10799" xr:uid="{00000000-0005-0000-0000-0000C2270000}"/>
    <cellStyle name="Input 4 6 2 2 3 2" xfId="10800" xr:uid="{00000000-0005-0000-0000-0000C3270000}"/>
    <cellStyle name="Input 4 6 2 2 4" xfId="10801" xr:uid="{00000000-0005-0000-0000-0000C4270000}"/>
    <cellStyle name="Input 4 6 2 3" xfId="10802" xr:uid="{00000000-0005-0000-0000-0000C5270000}"/>
    <cellStyle name="Input 4 6 2 3 2" xfId="10803" xr:uid="{00000000-0005-0000-0000-0000C6270000}"/>
    <cellStyle name="Input 4 6 2 3 2 2" xfId="10804" xr:uid="{00000000-0005-0000-0000-0000C7270000}"/>
    <cellStyle name="Input 4 6 2 3 3" xfId="10805" xr:uid="{00000000-0005-0000-0000-0000C8270000}"/>
    <cellStyle name="Input 4 6 2 4" xfId="10806" xr:uid="{00000000-0005-0000-0000-0000C9270000}"/>
    <cellStyle name="Input 4 6 2 4 2" xfId="10807" xr:uid="{00000000-0005-0000-0000-0000CA270000}"/>
    <cellStyle name="Input 4 6 2 5" xfId="10808" xr:uid="{00000000-0005-0000-0000-0000CB270000}"/>
    <cellStyle name="Input 4 6 3" xfId="10809" xr:uid="{00000000-0005-0000-0000-0000CC270000}"/>
    <cellStyle name="Input 4 6 3 2" xfId="10810" xr:uid="{00000000-0005-0000-0000-0000CD270000}"/>
    <cellStyle name="Input 4 6 3 2 2" xfId="10811" xr:uid="{00000000-0005-0000-0000-0000CE270000}"/>
    <cellStyle name="Input 4 6 3 2 2 2" xfId="10812" xr:uid="{00000000-0005-0000-0000-0000CF270000}"/>
    <cellStyle name="Input 4 6 3 2 3" xfId="10813" xr:uid="{00000000-0005-0000-0000-0000D0270000}"/>
    <cellStyle name="Input 4 6 3 3" xfId="10814" xr:uid="{00000000-0005-0000-0000-0000D1270000}"/>
    <cellStyle name="Input 4 6 3 3 2" xfId="10815" xr:uid="{00000000-0005-0000-0000-0000D2270000}"/>
    <cellStyle name="Input 4 6 3 4" xfId="10816" xr:uid="{00000000-0005-0000-0000-0000D3270000}"/>
    <cellStyle name="Input 4 6 4" xfId="10817" xr:uid="{00000000-0005-0000-0000-0000D4270000}"/>
    <cellStyle name="Input 4 6 4 2" xfId="10818" xr:uid="{00000000-0005-0000-0000-0000D5270000}"/>
    <cellStyle name="Input 4 6 4 2 2" xfId="10819" xr:uid="{00000000-0005-0000-0000-0000D6270000}"/>
    <cellStyle name="Input 4 6 4 3" xfId="10820" xr:uid="{00000000-0005-0000-0000-0000D7270000}"/>
    <cellStyle name="Input 4 6 5" xfId="10821" xr:uid="{00000000-0005-0000-0000-0000D8270000}"/>
    <cellStyle name="Input 4 6 5 2" xfId="10822" xr:uid="{00000000-0005-0000-0000-0000D9270000}"/>
    <cellStyle name="Input 4 6 6" xfId="10823" xr:uid="{00000000-0005-0000-0000-0000DA270000}"/>
    <cellStyle name="Input 4 7" xfId="10824" xr:uid="{00000000-0005-0000-0000-0000DB270000}"/>
    <cellStyle name="Input 4 7 2" xfId="10825" xr:uid="{00000000-0005-0000-0000-0000DC270000}"/>
    <cellStyle name="Input 4 7 2 2" xfId="10826" xr:uid="{00000000-0005-0000-0000-0000DD270000}"/>
    <cellStyle name="Input 4 7 3" xfId="10827" xr:uid="{00000000-0005-0000-0000-0000DE270000}"/>
    <cellStyle name="Input 4 8" xfId="10828" xr:uid="{00000000-0005-0000-0000-0000DF270000}"/>
    <cellStyle name="Input 4 8 2" xfId="10829" xr:uid="{00000000-0005-0000-0000-0000E0270000}"/>
    <cellStyle name="Input 4 9" xfId="10830" xr:uid="{00000000-0005-0000-0000-0000E1270000}"/>
    <cellStyle name="Input 40" xfId="10831" xr:uid="{00000000-0005-0000-0000-0000E2270000}"/>
    <cellStyle name="Input 40 2" xfId="10832" xr:uid="{00000000-0005-0000-0000-0000E3270000}"/>
    <cellStyle name="Input 40 2 2" xfId="10833" xr:uid="{00000000-0005-0000-0000-0000E4270000}"/>
    <cellStyle name="Input 40 2 2 2" xfId="10834" xr:uid="{00000000-0005-0000-0000-0000E5270000}"/>
    <cellStyle name="Input 40 2 3" xfId="10835" xr:uid="{00000000-0005-0000-0000-0000E6270000}"/>
    <cellStyle name="Input 40 3" xfId="10836" xr:uid="{00000000-0005-0000-0000-0000E7270000}"/>
    <cellStyle name="Input 40 3 2" xfId="10837" xr:uid="{00000000-0005-0000-0000-0000E8270000}"/>
    <cellStyle name="Input 40 4" xfId="10838" xr:uid="{00000000-0005-0000-0000-0000E9270000}"/>
    <cellStyle name="Input 41" xfId="10839" xr:uid="{00000000-0005-0000-0000-0000EA270000}"/>
    <cellStyle name="Input 41 2" xfId="10840" xr:uid="{00000000-0005-0000-0000-0000EB270000}"/>
    <cellStyle name="Input 41 2 2" xfId="10841" xr:uid="{00000000-0005-0000-0000-0000EC270000}"/>
    <cellStyle name="Input 41 2 2 2" xfId="10842" xr:uid="{00000000-0005-0000-0000-0000ED270000}"/>
    <cellStyle name="Input 41 2 3" xfId="10843" xr:uid="{00000000-0005-0000-0000-0000EE270000}"/>
    <cellStyle name="Input 41 3" xfId="10844" xr:uid="{00000000-0005-0000-0000-0000EF270000}"/>
    <cellStyle name="Input 41 3 2" xfId="10845" xr:uid="{00000000-0005-0000-0000-0000F0270000}"/>
    <cellStyle name="Input 41 4" xfId="10846" xr:uid="{00000000-0005-0000-0000-0000F1270000}"/>
    <cellStyle name="Input 42" xfId="10847" xr:uid="{00000000-0005-0000-0000-0000F2270000}"/>
    <cellStyle name="Input 42 2" xfId="10848" xr:uid="{00000000-0005-0000-0000-0000F3270000}"/>
    <cellStyle name="Input 42 2 2" xfId="10849" xr:uid="{00000000-0005-0000-0000-0000F4270000}"/>
    <cellStyle name="Input 42 2 2 2" xfId="10850" xr:uid="{00000000-0005-0000-0000-0000F5270000}"/>
    <cellStyle name="Input 42 2 3" xfId="10851" xr:uid="{00000000-0005-0000-0000-0000F6270000}"/>
    <cellStyle name="Input 42 3" xfId="10852" xr:uid="{00000000-0005-0000-0000-0000F7270000}"/>
    <cellStyle name="Input 42 3 2" xfId="10853" xr:uid="{00000000-0005-0000-0000-0000F8270000}"/>
    <cellStyle name="Input 42 4" xfId="10854" xr:uid="{00000000-0005-0000-0000-0000F9270000}"/>
    <cellStyle name="Input 43" xfId="10855" xr:uid="{00000000-0005-0000-0000-0000FA270000}"/>
    <cellStyle name="Input 43 2" xfId="10856" xr:uid="{00000000-0005-0000-0000-0000FB270000}"/>
    <cellStyle name="Input 43 2 2" xfId="10857" xr:uid="{00000000-0005-0000-0000-0000FC270000}"/>
    <cellStyle name="Input 43 2 2 2" xfId="10858" xr:uid="{00000000-0005-0000-0000-0000FD270000}"/>
    <cellStyle name="Input 43 2 3" xfId="10859" xr:uid="{00000000-0005-0000-0000-0000FE270000}"/>
    <cellStyle name="Input 43 3" xfId="10860" xr:uid="{00000000-0005-0000-0000-0000FF270000}"/>
    <cellStyle name="Input 43 3 2" xfId="10861" xr:uid="{00000000-0005-0000-0000-000000280000}"/>
    <cellStyle name="Input 43 4" xfId="10862" xr:uid="{00000000-0005-0000-0000-000001280000}"/>
    <cellStyle name="Input 44" xfId="10863" xr:uid="{00000000-0005-0000-0000-000002280000}"/>
    <cellStyle name="Input 44 2" xfId="10864" xr:uid="{00000000-0005-0000-0000-000003280000}"/>
    <cellStyle name="Input 44 2 2" xfId="10865" xr:uid="{00000000-0005-0000-0000-000004280000}"/>
    <cellStyle name="Input 44 2 2 2" xfId="10866" xr:uid="{00000000-0005-0000-0000-000005280000}"/>
    <cellStyle name="Input 44 2 3" xfId="10867" xr:uid="{00000000-0005-0000-0000-000006280000}"/>
    <cellStyle name="Input 44 3" xfId="10868" xr:uid="{00000000-0005-0000-0000-000007280000}"/>
    <cellStyle name="Input 44 3 2" xfId="10869" xr:uid="{00000000-0005-0000-0000-000008280000}"/>
    <cellStyle name="Input 44 4" xfId="10870" xr:uid="{00000000-0005-0000-0000-000009280000}"/>
    <cellStyle name="Input 45" xfId="10871" xr:uid="{00000000-0005-0000-0000-00000A280000}"/>
    <cellStyle name="Input 45 2" xfId="10872" xr:uid="{00000000-0005-0000-0000-00000B280000}"/>
    <cellStyle name="Input 45 2 2" xfId="10873" xr:uid="{00000000-0005-0000-0000-00000C280000}"/>
    <cellStyle name="Input 45 2 2 2" xfId="10874" xr:uid="{00000000-0005-0000-0000-00000D280000}"/>
    <cellStyle name="Input 45 2 3" xfId="10875" xr:uid="{00000000-0005-0000-0000-00000E280000}"/>
    <cellStyle name="Input 45 3" xfId="10876" xr:uid="{00000000-0005-0000-0000-00000F280000}"/>
    <cellStyle name="Input 45 3 2" xfId="10877" xr:uid="{00000000-0005-0000-0000-000010280000}"/>
    <cellStyle name="Input 45 4" xfId="10878" xr:uid="{00000000-0005-0000-0000-000011280000}"/>
    <cellStyle name="Input 46" xfId="10879" xr:uid="{00000000-0005-0000-0000-000012280000}"/>
    <cellStyle name="Input 46 2" xfId="10880" xr:uid="{00000000-0005-0000-0000-000013280000}"/>
    <cellStyle name="Input 46 2 2" xfId="10881" xr:uid="{00000000-0005-0000-0000-000014280000}"/>
    <cellStyle name="Input 46 2 2 2" xfId="10882" xr:uid="{00000000-0005-0000-0000-000015280000}"/>
    <cellStyle name="Input 46 2 3" xfId="10883" xr:uid="{00000000-0005-0000-0000-000016280000}"/>
    <cellStyle name="Input 46 3" xfId="10884" xr:uid="{00000000-0005-0000-0000-000017280000}"/>
    <cellStyle name="Input 46 3 2" xfId="10885" xr:uid="{00000000-0005-0000-0000-000018280000}"/>
    <cellStyle name="Input 46 4" xfId="10886" xr:uid="{00000000-0005-0000-0000-000019280000}"/>
    <cellStyle name="Input 47" xfId="10887" xr:uid="{00000000-0005-0000-0000-00001A280000}"/>
    <cellStyle name="Input 47 2" xfId="10888" xr:uid="{00000000-0005-0000-0000-00001B280000}"/>
    <cellStyle name="Input 47 2 2" xfId="10889" xr:uid="{00000000-0005-0000-0000-00001C280000}"/>
    <cellStyle name="Input 47 2 2 2" xfId="10890" xr:uid="{00000000-0005-0000-0000-00001D280000}"/>
    <cellStyle name="Input 47 2 3" xfId="10891" xr:uid="{00000000-0005-0000-0000-00001E280000}"/>
    <cellStyle name="Input 47 3" xfId="10892" xr:uid="{00000000-0005-0000-0000-00001F280000}"/>
    <cellStyle name="Input 47 3 2" xfId="10893" xr:uid="{00000000-0005-0000-0000-000020280000}"/>
    <cellStyle name="Input 47 4" xfId="10894" xr:uid="{00000000-0005-0000-0000-000021280000}"/>
    <cellStyle name="Input 48" xfId="10895" xr:uid="{00000000-0005-0000-0000-000022280000}"/>
    <cellStyle name="Input 48 2" xfId="10896" xr:uid="{00000000-0005-0000-0000-000023280000}"/>
    <cellStyle name="Input 48 2 2" xfId="10897" xr:uid="{00000000-0005-0000-0000-000024280000}"/>
    <cellStyle name="Input 48 2 2 2" xfId="10898" xr:uid="{00000000-0005-0000-0000-000025280000}"/>
    <cellStyle name="Input 48 2 3" xfId="10899" xr:uid="{00000000-0005-0000-0000-000026280000}"/>
    <cellStyle name="Input 48 3" xfId="10900" xr:uid="{00000000-0005-0000-0000-000027280000}"/>
    <cellStyle name="Input 48 3 2" xfId="10901" xr:uid="{00000000-0005-0000-0000-000028280000}"/>
    <cellStyle name="Input 48 3 2 2" xfId="10902" xr:uid="{00000000-0005-0000-0000-000029280000}"/>
    <cellStyle name="Input 48 3 2 2 2" xfId="10903" xr:uid="{00000000-0005-0000-0000-00002A280000}"/>
    <cellStyle name="Input 48 3 2 3" xfId="10904" xr:uid="{00000000-0005-0000-0000-00002B280000}"/>
    <cellStyle name="Input 48 3 3" xfId="10905" xr:uid="{00000000-0005-0000-0000-00002C280000}"/>
    <cellStyle name="Input 48 3 3 2" xfId="10906" xr:uid="{00000000-0005-0000-0000-00002D280000}"/>
    <cellStyle name="Input 48 3 4" xfId="10907" xr:uid="{00000000-0005-0000-0000-00002E280000}"/>
    <cellStyle name="Input 48 4" xfId="10908" xr:uid="{00000000-0005-0000-0000-00002F280000}"/>
    <cellStyle name="Input 48 4 2" xfId="10909" xr:uid="{00000000-0005-0000-0000-000030280000}"/>
    <cellStyle name="Input 48 5" xfId="10910" xr:uid="{00000000-0005-0000-0000-000031280000}"/>
    <cellStyle name="Input 49" xfId="10911" xr:uid="{00000000-0005-0000-0000-000032280000}"/>
    <cellStyle name="Input 49 2" xfId="10912" xr:uid="{00000000-0005-0000-0000-000033280000}"/>
    <cellStyle name="Input 49 2 2" xfId="10913" xr:uid="{00000000-0005-0000-0000-000034280000}"/>
    <cellStyle name="Input 49 2 2 2" xfId="10914" xr:uid="{00000000-0005-0000-0000-000035280000}"/>
    <cellStyle name="Input 49 2 3" xfId="10915" xr:uid="{00000000-0005-0000-0000-000036280000}"/>
    <cellStyle name="Input 49 3" xfId="10916" xr:uid="{00000000-0005-0000-0000-000037280000}"/>
    <cellStyle name="Input 49 3 2" xfId="10917" xr:uid="{00000000-0005-0000-0000-000038280000}"/>
    <cellStyle name="Input 49 3 2 2" xfId="10918" xr:uid="{00000000-0005-0000-0000-000039280000}"/>
    <cellStyle name="Input 49 3 2 2 2" xfId="10919" xr:uid="{00000000-0005-0000-0000-00003A280000}"/>
    <cellStyle name="Input 49 3 2 3" xfId="10920" xr:uid="{00000000-0005-0000-0000-00003B280000}"/>
    <cellStyle name="Input 49 3 3" xfId="10921" xr:uid="{00000000-0005-0000-0000-00003C280000}"/>
    <cellStyle name="Input 49 3 3 2" xfId="10922" xr:uid="{00000000-0005-0000-0000-00003D280000}"/>
    <cellStyle name="Input 49 3 4" xfId="10923" xr:uid="{00000000-0005-0000-0000-00003E280000}"/>
    <cellStyle name="Input 49 4" xfId="10924" xr:uid="{00000000-0005-0000-0000-00003F280000}"/>
    <cellStyle name="Input 49 4 2" xfId="10925" xr:uid="{00000000-0005-0000-0000-000040280000}"/>
    <cellStyle name="Input 49 5" xfId="10926" xr:uid="{00000000-0005-0000-0000-000041280000}"/>
    <cellStyle name="Input 5" xfId="10927" xr:uid="{00000000-0005-0000-0000-000042280000}"/>
    <cellStyle name="Input 5 2" xfId="10928" xr:uid="{00000000-0005-0000-0000-000043280000}"/>
    <cellStyle name="Input 5 2 2" xfId="10929" xr:uid="{00000000-0005-0000-0000-000044280000}"/>
    <cellStyle name="Input 5 2 2 2" xfId="10930" xr:uid="{00000000-0005-0000-0000-000045280000}"/>
    <cellStyle name="Input 5 2 2 2 2" xfId="10931" xr:uid="{00000000-0005-0000-0000-000046280000}"/>
    <cellStyle name="Input 5 2 2 3" xfId="10932" xr:uid="{00000000-0005-0000-0000-000047280000}"/>
    <cellStyle name="Input 5 2 3" xfId="10933" xr:uid="{00000000-0005-0000-0000-000048280000}"/>
    <cellStyle name="Input 5 2 3 2" xfId="10934" xr:uid="{00000000-0005-0000-0000-000049280000}"/>
    <cellStyle name="Input 5 2 3 2 2" xfId="10935" xr:uid="{00000000-0005-0000-0000-00004A280000}"/>
    <cellStyle name="Input 5 2 3 2 2 2" xfId="10936" xr:uid="{00000000-0005-0000-0000-00004B280000}"/>
    <cellStyle name="Input 5 2 3 2 3" xfId="10937" xr:uid="{00000000-0005-0000-0000-00004C280000}"/>
    <cellStyle name="Input 5 2 3 3" xfId="10938" xr:uid="{00000000-0005-0000-0000-00004D280000}"/>
    <cellStyle name="Input 5 2 3 3 2" xfId="10939" xr:uid="{00000000-0005-0000-0000-00004E280000}"/>
    <cellStyle name="Input 5 2 3 4" xfId="10940" xr:uid="{00000000-0005-0000-0000-00004F280000}"/>
    <cellStyle name="Input 5 2 4" xfId="10941" xr:uid="{00000000-0005-0000-0000-000050280000}"/>
    <cellStyle name="Input 5 2 4 2" xfId="10942" xr:uid="{00000000-0005-0000-0000-000051280000}"/>
    <cellStyle name="Input 5 2 5" xfId="10943" xr:uid="{00000000-0005-0000-0000-000052280000}"/>
    <cellStyle name="Input 5 3" xfId="10944" xr:uid="{00000000-0005-0000-0000-000053280000}"/>
    <cellStyle name="Input 5 3 2" xfId="10945" xr:uid="{00000000-0005-0000-0000-000054280000}"/>
    <cellStyle name="Input 5 3 2 2" xfId="10946" xr:uid="{00000000-0005-0000-0000-000055280000}"/>
    <cellStyle name="Input 5 3 2 2 2" xfId="10947" xr:uid="{00000000-0005-0000-0000-000056280000}"/>
    <cellStyle name="Input 5 3 2 3" xfId="10948" xr:uid="{00000000-0005-0000-0000-000057280000}"/>
    <cellStyle name="Input 5 3 3" xfId="10949" xr:uid="{00000000-0005-0000-0000-000058280000}"/>
    <cellStyle name="Input 5 3 3 2" xfId="10950" xr:uid="{00000000-0005-0000-0000-000059280000}"/>
    <cellStyle name="Input 5 3 3 2 2" xfId="10951" xr:uid="{00000000-0005-0000-0000-00005A280000}"/>
    <cellStyle name="Input 5 3 3 2 2 2" xfId="10952" xr:uid="{00000000-0005-0000-0000-00005B280000}"/>
    <cellStyle name="Input 5 3 3 2 3" xfId="10953" xr:uid="{00000000-0005-0000-0000-00005C280000}"/>
    <cellStyle name="Input 5 3 3 3" xfId="10954" xr:uid="{00000000-0005-0000-0000-00005D280000}"/>
    <cellStyle name="Input 5 3 3 3 2" xfId="10955" xr:uid="{00000000-0005-0000-0000-00005E280000}"/>
    <cellStyle name="Input 5 3 3 4" xfId="10956" xr:uid="{00000000-0005-0000-0000-00005F280000}"/>
    <cellStyle name="Input 5 3 4" xfId="10957" xr:uid="{00000000-0005-0000-0000-000060280000}"/>
    <cellStyle name="Input 5 3 4 2" xfId="10958" xr:uid="{00000000-0005-0000-0000-000061280000}"/>
    <cellStyle name="Input 5 3 5" xfId="10959" xr:uid="{00000000-0005-0000-0000-000062280000}"/>
    <cellStyle name="Input 5 4" xfId="10960" xr:uid="{00000000-0005-0000-0000-000063280000}"/>
    <cellStyle name="Input 5 4 2" xfId="10961" xr:uid="{00000000-0005-0000-0000-000064280000}"/>
    <cellStyle name="Input 5 4 2 2" xfId="10962" xr:uid="{00000000-0005-0000-0000-000065280000}"/>
    <cellStyle name="Input 5 4 3" xfId="10963" xr:uid="{00000000-0005-0000-0000-000066280000}"/>
    <cellStyle name="Input 5 5" xfId="10964" xr:uid="{00000000-0005-0000-0000-000067280000}"/>
    <cellStyle name="Input 5 5 2" xfId="10965" xr:uid="{00000000-0005-0000-0000-000068280000}"/>
    <cellStyle name="Input 5 5 2 2" xfId="10966" xr:uid="{00000000-0005-0000-0000-000069280000}"/>
    <cellStyle name="Input 5 5 2 2 2" xfId="10967" xr:uid="{00000000-0005-0000-0000-00006A280000}"/>
    <cellStyle name="Input 5 5 2 2 2 2" xfId="10968" xr:uid="{00000000-0005-0000-0000-00006B280000}"/>
    <cellStyle name="Input 5 5 2 2 2 2 2" xfId="10969" xr:uid="{00000000-0005-0000-0000-00006C280000}"/>
    <cellStyle name="Input 5 5 2 2 2 3" xfId="10970" xr:uid="{00000000-0005-0000-0000-00006D280000}"/>
    <cellStyle name="Input 5 5 2 2 3" xfId="10971" xr:uid="{00000000-0005-0000-0000-00006E280000}"/>
    <cellStyle name="Input 5 5 2 2 3 2" xfId="10972" xr:uid="{00000000-0005-0000-0000-00006F280000}"/>
    <cellStyle name="Input 5 5 2 2 4" xfId="10973" xr:uid="{00000000-0005-0000-0000-000070280000}"/>
    <cellStyle name="Input 5 5 2 3" xfId="10974" xr:uid="{00000000-0005-0000-0000-000071280000}"/>
    <cellStyle name="Input 5 5 2 3 2" xfId="10975" xr:uid="{00000000-0005-0000-0000-000072280000}"/>
    <cellStyle name="Input 5 5 2 3 2 2" xfId="10976" xr:uid="{00000000-0005-0000-0000-000073280000}"/>
    <cellStyle name="Input 5 5 2 3 3" xfId="10977" xr:uid="{00000000-0005-0000-0000-000074280000}"/>
    <cellStyle name="Input 5 5 2 4" xfId="10978" xr:uid="{00000000-0005-0000-0000-000075280000}"/>
    <cellStyle name="Input 5 5 2 4 2" xfId="10979" xr:uid="{00000000-0005-0000-0000-000076280000}"/>
    <cellStyle name="Input 5 5 2 5" xfId="10980" xr:uid="{00000000-0005-0000-0000-000077280000}"/>
    <cellStyle name="Input 5 5 3" xfId="10981" xr:uid="{00000000-0005-0000-0000-000078280000}"/>
    <cellStyle name="Input 5 5 3 2" xfId="10982" xr:uid="{00000000-0005-0000-0000-000079280000}"/>
    <cellStyle name="Input 5 5 3 2 2" xfId="10983" xr:uid="{00000000-0005-0000-0000-00007A280000}"/>
    <cellStyle name="Input 5 5 3 2 2 2" xfId="10984" xr:uid="{00000000-0005-0000-0000-00007B280000}"/>
    <cellStyle name="Input 5 5 3 2 3" xfId="10985" xr:uid="{00000000-0005-0000-0000-00007C280000}"/>
    <cellStyle name="Input 5 5 3 3" xfId="10986" xr:uid="{00000000-0005-0000-0000-00007D280000}"/>
    <cellStyle name="Input 5 5 3 3 2" xfId="10987" xr:uid="{00000000-0005-0000-0000-00007E280000}"/>
    <cellStyle name="Input 5 5 3 4" xfId="10988" xr:uid="{00000000-0005-0000-0000-00007F280000}"/>
    <cellStyle name="Input 5 5 4" xfId="10989" xr:uid="{00000000-0005-0000-0000-000080280000}"/>
    <cellStyle name="Input 5 5 4 2" xfId="10990" xr:uid="{00000000-0005-0000-0000-000081280000}"/>
    <cellStyle name="Input 5 5 4 2 2" xfId="10991" xr:uid="{00000000-0005-0000-0000-000082280000}"/>
    <cellStyle name="Input 5 5 4 3" xfId="10992" xr:uid="{00000000-0005-0000-0000-000083280000}"/>
    <cellStyle name="Input 5 5 5" xfId="10993" xr:uid="{00000000-0005-0000-0000-000084280000}"/>
    <cellStyle name="Input 5 5 5 2" xfId="10994" xr:uid="{00000000-0005-0000-0000-000085280000}"/>
    <cellStyle name="Input 5 5 6" xfId="10995" xr:uid="{00000000-0005-0000-0000-000086280000}"/>
    <cellStyle name="Input 5 6" xfId="10996" xr:uid="{00000000-0005-0000-0000-000087280000}"/>
    <cellStyle name="Input 5 6 2" xfId="10997" xr:uid="{00000000-0005-0000-0000-000088280000}"/>
    <cellStyle name="Input 5 7" xfId="10998" xr:uid="{00000000-0005-0000-0000-000089280000}"/>
    <cellStyle name="Input 50" xfId="10999" xr:uid="{00000000-0005-0000-0000-00008A280000}"/>
    <cellStyle name="Input 50 2" xfId="11000" xr:uid="{00000000-0005-0000-0000-00008B280000}"/>
    <cellStyle name="Input 50 2 2" xfId="11001" xr:uid="{00000000-0005-0000-0000-00008C280000}"/>
    <cellStyle name="Input 50 2 2 2" xfId="11002" xr:uid="{00000000-0005-0000-0000-00008D280000}"/>
    <cellStyle name="Input 50 2 3" xfId="11003" xr:uid="{00000000-0005-0000-0000-00008E280000}"/>
    <cellStyle name="Input 50 3" xfId="11004" xr:uid="{00000000-0005-0000-0000-00008F280000}"/>
    <cellStyle name="Input 50 3 2" xfId="11005" xr:uid="{00000000-0005-0000-0000-000090280000}"/>
    <cellStyle name="Input 50 3 2 2" xfId="11006" xr:uid="{00000000-0005-0000-0000-000091280000}"/>
    <cellStyle name="Input 50 3 2 2 2" xfId="11007" xr:uid="{00000000-0005-0000-0000-000092280000}"/>
    <cellStyle name="Input 50 3 2 3" xfId="11008" xr:uid="{00000000-0005-0000-0000-000093280000}"/>
    <cellStyle name="Input 50 3 3" xfId="11009" xr:uid="{00000000-0005-0000-0000-000094280000}"/>
    <cellStyle name="Input 50 3 3 2" xfId="11010" xr:uid="{00000000-0005-0000-0000-000095280000}"/>
    <cellStyle name="Input 50 3 4" xfId="11011" xr:uid="{00000000-0005-0000-0000-000096280000}"/>
    <cellStyle name="Input 50 4" xfId="11012" xr:uid="{00000000-0005-0000-0000-000097280000}"/>
    <cellStyle name="Input 50 4 2" xfId="11013" xr:uid="{00000000-0005-0000-0000-000098280000}"/>
    <cellStyle name="Input 50 5" xfId="11014" xr:uid="{00000000-0005-0000-0000-000099280000}"/>
    <cellStyle name="Input 51" xfId="11015" xr:uid="{00000000-0005-0000-0000-00009A280000}"/>
    <cellStyle name="Input 51 2" xfId="11016" xr:uid="{00000000-0005-0000-0000-00009B280000}"/>
    <cellStyle name="Input 51 2 2" xfId="11017" xr:uid="{00000000-0005-0000-0000-00009C280000}"/>
    <cellStyle name="Input 51 2 2 2" xfId="11018" xr:uid="{00000000-0005-0000-0000-00009D280000}"/>
    <cellStyle name="Input 51 2 3" xfId="11019" xr:uid="{00000000-0005-0000-0000-00009E280000}"/>
    <cellStyle name="Input 51 3" xfId="11020" xr:uid="{00000000-0005-0000-0000-00009F280000}"/>
    <cellStyle name="Input 51 3 2" xfId="11021" xr:uid="{00000000-0005-0000-0000-0000A0280000}"/>
    <cellStyle name="Input 51 3 2 2" xfId="11022" xr:uid="{00000000-0005-0000-0000-0000A1280000}"/>
    <cellStyle name="Input 51 3 2 2 2" xfId="11023" xr:uid="{00000000-0005-0000-0000-0000A2280000}"/>
    <cellStyle name="Input 51 3 2 3" xfId="11024" xr:uid="{00000000-0005-0000-0000-0000A3280000}"/>
    <cellStyle name="Input 51 3 3" xfId="11025" xr:uid="{00000000-0005-0000-0000-0000A4280000}"/>
    <cellStyle name="Input 51 3 3 2" xfId="11026" xr:uid="{00000000-0005-0000-0000-0000A5280000}"/>
    <cellStyle name="Input 51 3 4" xfId="11027" xr:uid="{00000000-0005-0000-0000-0000A6280000}"/>
    <cellStyle name="Input 51 4" xfId="11028" xr:uid="{00000000-0005-0000-0000-0000A7280000}"/>
    <cellStyle name="Input 51 4 2" xfId="11029" xr:uid="{00000000-0005-0000-0000-0000A8280000}"/>
    <cellStyle name="Input 51 5" xfId="11030" xr:uid="{00000000-0005-0000-0000-0000A9280000}"/>
    <cellStyle name="Input 52" xfId="11031" xr:uid="{00000000-0005-0000-0000-0000AA280000}"/>
    <cellStyle name="Input 52 2" xfId="11032" xr:uid="{00000000-0005-0000-0000-0000AB280000}"/>
    <cellStyle name="Input 52 2 2" xfId="11033" xr:uid="{00000000-0005-0000-0000-0000AC280000}"/>
    <cellStyle name="Input 52 2 2 2" xfId="11034" xr:uid="{00000000-0005-0000-0000-0000AD280000}"/>
    <cellStyle name="Input 52 2 3" xfId="11035" xr:uid="{00000000-0005-0000-0000-0000AE280000}"/>
    <cellStyle name="Input 52 3" xfId="11036" xr:uid="{00000000-0005-0000-0000-0000AF280000}"/>
    <cellStyle name="Input 52 3 2" xfId="11037" xr:uid="{00000000-0005-0000-0000-0000B0280000}"/>
    <cellStyle name="Input 52 4" xfId="11038" xr:uid="{00000000-0005-0000-0000-0000B1280000}"/>
    <cellStyle name="Input 53" xfId="11039" xr:uid="{00000000-0005-0000-0000-0000B2280000}"/>
    <cellStyle name="Input 53 2" xfId="11040" xr:uid="{00000000-0005-0000-0000-0000B3280000}"/>
    <cellStyle name="Input 53 2 2" xfId="11041" xr:uid="{00000000-0005-0000-0000-0000B4280000}"/>
    <cellStyle name="Input 53 2 2 2" xfId="11042" xr:uid="{00000000-0005-0000-0000-0000B5280000}"/>
    <cellStyle name="Input 53 2 3" xfId="11043" xr:uid="{00000000-0005-0000-0000-0000B6280000}"/>
    <cellStyle name="Input 53 3" xfId="11044" xr:uid="{00000000-0005-0000-0000-0000B7280000}"/>
    <cellStyle name="Input 53 3 2" xfId="11045" xr:uid="{00000000-0005-0000-0000-0000B8280000}"/>
    <cellStyle name="Input 53 4" xfId="11046" xr:uid="{00000000-0005-0000-0000-0000B9280000}"/>
    <cellStyle name="Input 54" xfId="11047" xr:uid="{00000000-0005-0000-0000-0000BA280000}"/>
    <cellStyle name="Input 54 2" xfId="11048" xr:uid="{00000000-0005-0000-0000-0000BB280000}"/>
    <cellStyle name="Input 54 2 2" xfId="11049" xr:uid="{00000000-0005-0000-0000-0000BC280000}"/>
    <cellStyle name="Input 54 2 2 2" xfId="11050" xr:uid="{00000000-0005-0000-0000-0000BD280000}"/>
    <cellStyle name="Input 54 2 3" xfId="11051" xr:uid="{00000000-0005-0000-0000-0000BE280000}"/>
    <cellStyle name="Input 54 3" xfId="11052" xr:uid="{00000000-0005-0000-0000-0000BF280000}"/>
    <cellStyle name="Input 54 3 2" xfId="11053" xr:uid="{00000000-0005-0000-0000-0000C0280000}"/>
    <cellStyle name="Input 54 4" xfId="11054" xr:uid="{00000000-0005-0000-0000-0000C1280000}"/>
    <cellStyle name="Input 55" xfId="11055" xr:uid="{00000000-0005-0000-0000-0000C2280000}"/>
    <cellStyle name="Input 55 2" xfId="11056" xr:uid="{00000000-0005-0000-0000-0000C3280000}"/>
    <cellStyle name="Input 55 2 2" xfId="11057" xr:uid="{00000000-0005-0000-0000-0000C4280000}"/>
    <cellStyle name="Input 55 2 2 2" xfId="11058" xr:uid="{00000000-0005-0000-0000-0000C5280000}"/>
    <cellStyle name="Input 55 2 3" xfId="11059" xr:uid="{00000000-0005-0000-0000-0000C6280000}"/>
    <cellStyle name="Input 55 3" xfId="11060" xr:uid="{00000000-0005-0000-0000-0000C7280000}"/>
    <cellStyle name="Input 55 3 2" xfId="11061" xr:uid="{00000000-0005-0000-0000-0000C8280000}"/>
    <cellStyle name="Input 55 4" xfId="11062" xr:uid="{00000000-0005-0000-0000-0000C9280000}"/>
    <cellStyle name="Input 56" xfId="11063" xr:uid="{00000000-0005-0000-0000-0000CA280000}"/>
    <cellStyle name="Input 56 2" xfId="11064" xr:uid="{00000000-0005-0000-0000-0000CB280000}"/>
    <cellStyle name="Input 56 2 2" xfId="11065" xr:uid="{00000000-0005-0000-0000-0000CC280000}"/>
    <cellStyle name="Input 56 2 2 2" xfId="11066" xr:uid="{00000000-0005-0000-0000-0000CD280000}"/>
    <cellStyle name="Input 56 2 3" xfId="11067" xr:uid="{00000000-0005-0000-0000-0000CE280000}"/>
    <cellStyle name="Input 56 3" xfId="11068" xr:uid="{00000000-0005-0000-0000-0000CF280000}"/>
    <cellStyle name="Input 56 3 2" xfId="11069" xr:uid="{00000000-0005-0000-0000-0000D0280000}"/>
    <cellStyle name="Input 56 4" xfId="11070" xr:uid="{00000000-0005-0000-0000-0000D1280000}"/>
    <cellStyle name="Input 57" xfId="11071" xr:uid="{00000000-0005-0000-0000-0000D2280000}"/>
    <cellStyle name="Input 57 2" xfId="11072" xr:uid="{00000000-0005-0000-0000-0000D3280000}"/>
    <cellStyle name="Input 57 2 2" xfId="11073" xr:uid="{00000000-0005-0000-0000-0000D4280000}"/>
    <cellStyle name="Input 57 2 2 2" xfId="11074" xr:uid="{00000000-0005-0000-0000-0000D5280000}"/>
    <cellStyle name="Input 57 2 3" xfId="11075" xr:uid="{00000000-0005-0000-0000-0000D6280000}"/>
    <cellStyle name="Input 57 3" xfId="11076" xr:uid="{00000000-0005-0000-0000-0000D7280000}"/>
    <cellStyle name="Input 57 3 2" xfId="11077" xr:uid="{00000000-0005-0000-0000-0000D8280000}"/>
    <cellStyle name="Input 57 4" xfId="11078" xr:uid="{00000000-0005-0000-0000-0000D9280000}"/>
    <cellStyle name="Input 58" xfId="11079" xr:uid="{00000000-0005-0000-0000-0000DA280000}"/>
    <cellStyle name="Input 58 2" xfId="11080" xr:uid="{00000000-0005-0000-0000-0000DB280000}"/>
    <cellStyle name="Input 58 2 2" xfId="11081" xr:uid="{00000000-0005-0000-0000-0000DC280000}"/>
    <cellStyle name="Input 58 2 2 2" xfId="11082" xr:uid="{00000000-0005-0000-0000-0000DD280000}"/>
    <cellStyle name="Input 58 2 3" xfId="11083" xr:uid="{00000000-0005-0000-0000-0000DE280000}"/>
    <cellStyle name="Input 58 3" xfId="11084" xr:uid="{00000000-0005-0000-0000-0000DF280000}"/>
    <cellStyle name="Input 58 3 2" xfId="11085" xr:uid="{00000000-0005-0000-0000-0000E0280000}"/>
    <cellStyle name="Input 58 3 2 2" xfId="11086" xr:uid="{00000000-0005-0000-0000-0000E1280000}"/>
    <cellStyle name="Input 58 3 2 2 2" xfId="11087" xr:uid="{00000000-0005-0000-0000-0000E2280000}"/>
    <cellStyle name="Input 58 3 2 3" xfId="11088" xr:uid="{00000000-0005-0000-0000-0000E3280000}"/>
    <cellStyle name="Input 58 3 3" xfId="11089" xr:uid="{00000000-0005-0000-0000-0000E4280000}"/>
    <cellStyle name="Input 58 3 3 2" xfId="11090" xr:uid="{00000000-0005-0000-0000-0000E5280000}"/>
    <cellStyle name="Input 58 3 4" xfId="11091" xr:uid="{00000000-0005-0000-0000-0000E6280000}"/>
    <cellStyle name="Input 58 4" xfId="11092" xr:uid="{00000000-0005-0000-0000-0000E7280000}"/>
    <cellStyle name="Input 58 4 2" xfId="11093" xr:uid="{00000000-0005-0000-0000-0000E8280000}"/>
    <cellStyle name="Input 58 5" xfId="11094" xr:uid="{00000000-0005-0000-0000-0000E9280000}"/>
    <cellStyle name="Input 59" xfId="11095" xr:uid="{00000000-0005-0000-0000-0000EA280000}"/>
    <cellStyle name="Input 59 2" xfId="11096" xr:uid="{00000000-0005-0000-0000-0000EB280000}"/>
    <cellStyle name="Input 59 2 2" xfId="11097" xr:uid="{00000000-0005-0000-0000-0000EC280000}"/>
    <cellStyle name="Input 59 2 2 2" xfId="11098" xr:uid="{00000000-0005-0000-0000-0000ED280000}"/>
    <cellStyle name="Input 59 2 3" xfId="11099" xr:uid="{00000000-0005-0000-0000-0000EE280000}"/>
    <cellStyle name="Input 59 3" xfId="11100" xr:uid="{00000000-0005-0000-0000-0000EF280000}"/>
    <cellStyle name="Input 59 3 2" xfId="11101" xr:uid="{00000000-0005-0000-0000-0000F0280000}"/>
    <cellStyle name="Input 59 3 2 2" xfId="11102" xr:uid="{00000000-0005-0000-0000-0000F1280000}"/>
    <cellStyle name="Input 59 3 2 2 2" xfId="11103" xr:uid="{00000000-0005-0000-0000-0000F2280000}"/>
    <cellStyle name="Input 59 3 2 3" xfId="11104" xr:uid="{00000000-0005-0000-0000-0000F3280000}"/>
    <cellStyle name="Input 59 3 3" xfId="11105" xr:uid="{00000000-0005-0000-0000-0000F4280000}"/>
    <cellStyle name="Input 59 3 3 2" xfId="11106" xr:uid="{00000000-0005-0000-0000-0000F5280000}"/>
    <cellStyle name="Input 59 3 4" xfId="11107" xr:uid="{00000000-0005-0000-0000-0000F6280000}"/>
    <cellStyle name="Input 59 4" xfId="11108" xr:uid="{00000000-0005-0000-0000-0000F7280000}"/>
    <cellStyle name="Input 59 4 2" xfId="11109" xr:uid="{00000000-0005-0000-0000-0000F8280000}"/>
    <cellStyle name="Input 59 5" xfId="11110" xr:uid="{00000000-0005-0000-0000-0000F9280000}"/>
    <cellStyle name="Input 6" xfId="11111" xr:uid="{00000000-0005-0000-0000-0000FA280000}"/>
    <cellStyle name="Input 6 2" xfId="11112" xr:uid="{00000000-0005-0000-0000-0000FB280000}"/>
    <cellStyle name="Input 6 2 2" xfId="11113" xr:uid="{00000000-0005-0000-0000-0000FC280000}"/>
    <cellStyle name="Input 6 2 2 2" xfId="11114" xr:uid="{00000000-0005-0000-0000-0000FD280000}"/>
    <cellStyle name="Input 6 2 2 2 2" xfId="11115" xr:uid="{00000000-0005-0000-0000-0000FE280000}"/>
    <cellStyle name="Input 6 2 2 3" xfId="11116" xr:uid="{00000000-0005-0000-0000-0000FF280000}"/>
    <cellStyle name="Input 6 2 3" xfId="11117" xr:uid="{00000000-0005-0000-0000-000000290000}"/>
    <cellStyle name="Input 6 2 3 2" xfId="11118" xr:uid="{00000000-0005-0000-0000-000001290000}"/>
    <cellStyle name="Input 6 2 3 2 2" xfId="11119" xr:uid="{00000000-0005-0000-0000-000002290000}"/>
    <cellStyle name="Input 6 2 3 2 2 2" xfId="11120" xr:uid="{00000000-0005-0000-0000-000003290000}"/>
    <cellStyle name="Input 6 2 3 2 3" xfId="11121" xr:uid="{00000000-0005-0000-0000-000004290000}"/>
    <cellStyle name="Input 6 2 3 3" xfId="11122" xr:uid="{00000000-0005-0000-0000-000005290000}"/>
    <cellStyle name="Input 6 2 3 3 2" xfId="11123" xr:uid="{00000000-0005-0000-0000-000006290000}"/>
    <cellStyle name="Input 6 2 3 4" xfId="11124" xr:uid="{00000000-0005-0000-0000-000007290000}"/>
    <cellStyle name="Input 6 2 4" xfId="11125" xr:uid="{00000000-0005-0000-0000-000008290000}"/>
    <cellStyle name="Input 6 2 4 2" xfId="11126" xr:uid="{00000000-0005-0000-0000-000009290000}"/>
    <cellStyle name="Input 6 2 5" xfId="11127" xr:uid="{00000000-0005-0000-0000-00000A290000}"/>
    <cellStyle name="Input 6 3" xfId="11128" xr:uid="{00000000-0005-0000-0000-00000B290000}"/>
    <cellStyle name="Input 6 3 2" xfId="11129" xr:uid="{00000000-0005-0000-0000-00000C290000}"/>
    <cellStyle name="Input 6 3 2 2" xfId="11130" xr:uid="{00000000-0005-0000-0000-00000D290000}"/>
    <cellStyle name="Input 6 3 3" xfId="11131" xr:uid="{00000000-0005-0000-0000-00000E290000}"/>
    <cellStyle name="Input 6 4" xfId="11132" xr:uid="{00000000-0005-0000-0000-00000F290000}"/>
    <cellStyle name="Input 6 4 2" xfId="11133" xr:uid="{00000000-0005-0000-0000-000010290000}"/>
    <cellStyle name="Input 6 4 2 2" xfId="11134" xr:uid="{00000000-0005-0000-0000-000011290000}"/>
    <cellStyle name="Input 6 4 2 2 2" xfId="11135" xr:uid="{00000000-0005-0000-0000-000012290000}"/>
    <cellStyle name="Input 6 4 2 2 2 2" xfId="11136" xr:uid="{00000000-0005-0000-0000-000013290000}"/>
    <cellStyle name="Input 6 4 2 2 2 2 2" xfId="11137" xr:uid="{00000000-0005-0000-0000-000014290000}"/>
    <cellStyle name="Input 6 4 2 2 2 3" xfId="11138" xr:uid="{00000000-0005-0000-0000-000015290000}"/>
    <cellStyle name="Input 6 4 2 2 3" xfId="11139" xr:uid="{00000000-0005-0000-0000-000016290000}"/>
    <cellStyle name="Input 6 4 2 2 3 2" xfId="11140" xr:uid="{00000000-0005-0000-0000-000017290000}"/>
    <cellStyle name="Input 6 4 2 2 4" xfId="11141" xr:uid="{00000000-0005-0000-0000-000018290000}"/>
    <cellStyle name="Input 6 4 2 3" xfId="11142" xr:uid="{00000000-0005-0000-0000-000019290000}"/>
    <cellStyle name="Input 6 4 2 3 2" xfId="11143" xr:uid="{00000000-0005-0000-0000-00001A290000}"/>
    <cellStyle name="Input 6 4 2 3 2 2" xfId="11144" xr:uid="{00000000-0005-0000-0000-00001B290000}"/>
    <cellStyle name="Input 6 4 2 3 3" xfId="11145" xr:uid="{00000000-0005-0000-0000-00001C290000}"/>
    <cellStyle name="Input 6 4 2 4" xfId="11146" xr:uid="{00000000-0005-0000-0000-00001D290000}"/>
    <cellStyle name="Input 6 4 2 4 2" xfId="11147" xr:uid="{00000000-0005-0000-0000-00001E290000}"/>
    <cellStyle name="Input 6 4 2 5" xfId="11148" xr:uid="{00000000-0005-0000-0000-00001F290000}"/>
    <cellStyle name="Input 6 4 3" xfId="11149" xr:uid="{00000000-0005-0000-0000-000020290000}"/>
    <cellStyle name="Input 6 4 3 2" xfId="11150" xr:uid="{00000000-0005-0000-0000-000021290000}"/>
    <cellStyle name="Input 6 4 3 2 2" xfId="11151" xr:uid="{00000000-0005-0000-0000-000022290000}"/>
    <cellStyle name="Input 6 4 3 2 2 2" xfId="11152" xr:uid="{00000000-0005-0000-0000-000023290000}"/>
    <cellStyle name="Input 6 4 3 2 3" xfId="11153" xr:uid="{00000000-0005-0000-0000-000024290000}"/>
    <cellStyle name="Input 6 4 3 3" xfId="11154" xr:uid="{00000000-0005-0000-0000-000025290000}"/>
    <cellStyle name="Input 6 4 3 3 2" xfId="11155" xr:uid="{00000000-0005-0000-0000-000026290000}"/>
    <cellStyle name="Input 6 4 3 4" xfId="11156" xr:uid="{00000000-0005-0000-0000-000027290000}"/>
    <cellStyle name="Input 6 4 4" xfId="11157" xr:uid="{00000000-0005-0000-0000-000028290000}"/>
    <cellStyle name="Input 6 4 4 2" xfId="11158" xr:uid="{00000000-0005-0000-0000-000029290000}"/>
    <cellStyle name="Input 6 4 4 2 2" xfId="11159" xr:uid="{00000000-0005-0000-0000-00002A290000}"/>
    <cellStyle name="Input 6 4 4 3" xfId="11160" xr:uid="{00000000-0005-0000-0000-00002B290000}"/>
    <cellStyle name="Input 6 4 5" xfId="11161" xr:uid="{00000000-0005-0000-0000-00002C290000}"/>
    <cellStyle name="Input 6 4 5 2" xfId="11162" xr:uid="{00000000-0005-0000-0000-00002D290000}"/>
    <cellStyle name="Input 6 4 6" xfId="11163" xr:uid="{00000000-0005-0000-0000-00002E290000}"/>
    <cellStyle name="Input 6 5" xfId="11164" xr:uid="{00000000-0005-0000-0000-00002F290000}"/>
    <cellStyle name="Input 6 5 2" xfId="11165" xr:uid="{00000000-0005-0000-0000-000030290000}"/>
    <cellStyle name="Input 6 6" xfId="11166" xr:uid="{00000000-0005-0000-0000-000031290000}"/>
    <cellStyle name="Input 60" xfId="11167" xr:uid="{00000000-0005-0000-0000-000032290000}"/>
    <cellStyle name="Input 60 2" xfId="11168" xr:uid="{00000000-0005-0000-0000-000033290000}"/>
    <cellStyle name="Input 60 2 2" xfId="11169" xr:uid="{00000000-0005-0000-0000-000034290000}"/>
    <cellStyle name="Input 60 2 2 2" xfId="11170" xr:uid="{00000000-0005-0000-0000-000035290000}"/>
    <cellStyle name="Input 60 2 3" xfId="11171" xr:uid="{00000000-0005-0000-0000-000036290000}"/>
    <cellStyle name="Input 60 3" xfId="11172" xr:uid="{00000000-0005-0000-0000-000037290000}"/>
    <cellStyle name="Input 60 3 2" xfId="11173" xr:uid="{00000000-0005-0000-0000-000038290000}"/>
    <cellStyle name="Input 60 3 2 2" xfId="11174" xr:uid="{00000000-0005-0000-0000-000039290000}"/>
    <cellStyle name="Input 60 3 2 2 2" xfId="11175" xr:uid="{00000000-0005-0000-0000-00003A290000}"/>
    <cellStyle name="Input 60 3 2 3" xfId="11176" xr:uid="{00000000-0005-0000-0000-00003B290000}"/>
    <cellStyle name="Input 60 3 3" xfId="11177" xr:uid="{00000000-0005-0000-0000-00003C290000}"/>
    <cellStyle name="Input 60 3 3 2" xfId="11178" xr:uid="{00000000-0005-0000-0000-00003D290000}"/>
    <cellStyle name="Input 60 3 4" xfId="11179" xr:uid="{00000000-0005-0000-0000-00003E290000}"/>
    <cellStyle name="Input 60 4" xfId="11180" xr:uid="{00000000-0005-0000-0000-00003F290000}"/>
    <cellStyle name="Input 60 4 2" xfId="11181" xr:uid="{00000000-0005-0000-0000-000040290000}"/>
    <cellStyle name="Input 60 5" xfId="11182" xr:uid="{00000000-0005-0000-0000-000041290000}"/>
    <cellStyle name="Input 61" xfId="11183" xr:uid="{00000000-0005-0000-0000-000042290000}"/>
    <cellStyle name="Input 61 2" xfId="11184" xr:uid="{00000000-0005-0000-0000-000043290000}"/>
    <cellStyle name="Input 61 2 2" xfId="11185" xr:uid="{00000000-0005-0000-0000-000044290000}"/>
    <cellStyle name="Input 61 2 2 2" xfId="11186" xr:uid="{00000000-0005-0000-0000-000045290000}"/>
    <cellStyle name="Input 61 2 3" xfId="11187" xr:uid="{00000000-0005-0000-0000-000046290000}"/>
    <cellStyle name="Input 61 3" xfId="11188" xr:uid="{00000000-0005-0000-0000-000047290000}"/>
    <cellStyle name="Input 61 3 2" xfId="11189" xr:uid="{00000000-0005-0000-0000-000048290000}"/>
    <cellStyle name="Input 61 3 2 2" xfId="11190" xr:uid="{00000000-0005-0000-0000-000049290000}"/>
    <cellStyle name="Input 61 3 2 2 2" xfId="11191" xr:uid="{00000000-0005-0000-0000-00004A290000}"/>
    <cellStyle name="Input 61 3 2 3" xfId="11192" xr:uid="{00000000-0005-0000-0000-00004B290000}"/>
    <cellStyle name="Input 61 3 3" xfId="11193" xr:uid="{00000000-0005-0000-0000-00004C290000}"/>
    <cellStyle name="Input 61 3 3 2" xfId="11194" xr:uid="{00000000-0005-0000-0000-00004D290000}"/>
    <cellStyle name="Input 61 3 4" xfId="11195" xr:uid="{00000000-0005-0000-0000-00004E290000}"/>
    <cellStyle name="Input 61 4" xfId="11196" xr:uid="{00000000-0005-0000-0000-00004F290000}"/>
    <cellStyle name="Input 61 4 2" xfId="11197" xr:uid="{00000000-0005-0000-0000-000050290000}"/>
    <cellStyle name="Input 61 5" xfId="11198" xr:uid="{00000000-0005-0000-0000-000051290000}"/>
    <cellStyle name="Input 62" xfId="11199" xr:uid="{00000000-0005-0000-0000-000052290000}"/>
    <cellStyle name="Input 62 2" xfId="11200" xr:uid="{00000000-0005-0000-0000-000053290000}"/>
    <cellStyle name="Input 62 2 2" xfId="11201" xr:uid="{00000000-0005-0000-0000-000054290000}"/>
    <cellStyle name="Input 62 2 2 2" xfId="11202" xr:uid="{00000000-0005-0000-0000-000055290000}"/>
    <cellStyle name="Input 62 2 3" xfId="11203" xr:uid="{00000000-0005-0000-0000-000056290000}"/>
    <cellStyle name="Input 62 3" xfId="11204" xr:uid="{00000000-0005-0000-0000-000057290000}"/>
    <cellStyle name="Input 62 3 2" xfId="11205" xr:uid="{00000000-0005-0000-0000-000058290000}"/>
    <cellStyle name="Input 62 3 2 2" xfId="11206" xr:uid="{00000000-0005-0000-0000-000059290000}"/>
    <cellStyle name="Input 62 3 2 2 2" xfId="11207" xr:uid="{00000000-0005-0000-0000-00005A290000}"/>
    <cellStyle name="Input 62 3 2 3" xfId="11208" xr:uid="{00000000-0005-0000-0000-00005B290000}"/>
    <cellStyle name="Input 62 3 3" xfId="11209" xr:uid="{00000000-0005-0000-0000-00005C290000}"/>
    <cellStyle name="Input 62 3 3 2" xfId="11210" xr:uid="{00000000-0005-0000-0000-00005D290000}"/>
    <cellStyle name="Input 62 3 4" xfId="11211" xr:uid="{00000000-0005-0000-0000-00005E290000}"/>
    <cellStyle name="Input 62 4" xfId="11212" xr:uid="{00000000-0005-0000-0000-00005F290000}"/>
    <cellStyle name="Input 62 4 2" xfId="11213" xr:uid="{00000000-0005-0000-0000-000060290000}"/>
    <cellStyle name="Input 62 5" xfId="11214" xr:uid="{00000000-0005-0000-0000-000061290000}"/>
    <cellStyle name="Input 63" xfId="11215" xr:uid="{00000000-0005-0000-0000-000062290000}"/>
    <cellStyle name="Input 63 2" xfId="11216" xr:uid="{00000000-0005-0000-0000-000063290000}"/>
    <cellStyle name="Input 63 2 2" xfId="11217" xr:uid="{00000000-0005-0000-0000-000064290000}"/>
    <cellStyle name="Input 63 2 2 2" xfId="11218" xr:uid="{00000000-0005-0000-0000-000065290000}"/>
    <cellStyle name="Input 63 2 3" xfId="11219" xr:uid="{00000000-0005-0000-0000-000066290000}"/>
    <cellStyle name="Input 63 3" xfId="11220" xr:uid="{00000000-0005-0000-0000-000067290000}"/>
    <cellStyle name="Input 63 3 2" xfId="11221" xr:uid="{00000000-0005-0000-0000-000068290000}"/>
    <cellStyle name="Input 63 3 2 2" xfId="11222" xr:uid="{00000000-0005-0000-0000-000069290000}"/>
    <cellStyle name="Input 63 3 2 2 2" xfId="11223" xr:uid="{00000000-0005-0000-0000-00006A290000}"/>
    <cellStyle name="Input 63 3 2 3" xfId="11224" xr:uid="{00000000-0005-0000-0000-00006B290000}"/>
    <cellStyle name="Input 63 3 3" xfId="11225" xr:uid="{00000000-0005-0000-0000-00006C290000}"/>
    <cellStyle name="Input 63 3 3 2" xfId="11226" xr:uid="{00000000-0005-0000-0000-00006D290000}"/>
    <cellStyle name="Input 63 3 4" xfId="11227" xr:uid="{00000000-0005-0000-0000-00006E290000}"/>
    <cellStyle name="Input 63 4" xfId="11228" xr:uid="{00000000-0005-0000-0000-00006F290000}"/>
    <cellStyle name="Input 63 4 2" xfId="11229" xr:uid="{00000000-0005-0000-0000-000070290000}"/>
    <cellStyle name="Input 63 5" xfId="11230" xr:uid="{00000000-0005-0000-0000-000071290000}"/>
    <cellStyle name="Input 64" xfId="11231" xr:uid="{00000000-0005-0000-0000-000072290000}"/>
    <cellStyle name="Input 64 2" xfId="11232" xr:uid="{00000000-0005-0000-0000-000073290000}"/>
    <cellStyle name="Input 64 2 2" xfId="11233" xr:uid="{00000000-0005-0000-0000-000074290000}"/>
    <cellStyle name="Input 64 2 2 2" xfId="11234" xr:uid="{00000000-0005-0000-0000-000075290000}"/>
    <cellStyle name="Input 64 2 3" xfId="11235" xr:uid="{00000000-0005-0000-0000-000076290000}"/>
    <cellStyle name="Input 64 3" xfId="11236" xr:uid="{00000000-0005-0000-0000-000077290000}"/>
    <cellStyle name="Input 64 3 2" xfId="11237" xr:uid="{00000000-0005-0000-0000-000078290000}"/>
    <cellStyle name="Input 64 3 2 2" xfId="11238" xr:uid="{00000000-0005-0000-0000-000079290000}"/>
    <cellStyle name="Input 64 3 2 2 2" xfId="11239" xr:uid="{00000000-0005-0000-0000-00007A290000}"/>
    <cellStyle name="Input 64 3 2 3" xfId="11240" xr:uid="{00000000-0005-0000-0000-00007B290000}"/>
    <cellStyle name="Input 64 3 3" xfId="11241" xr:uid="{00000000-0005-0000-0000-00007C290000}"/>
    <cellStyle name="Input 64 3 3 2" xfId="11242" xr:uid="{00000000-0005-0000-0000-00007D290000}"/>
    <cellStyle name="Input 64 3 4" xfId="11243" xr:uid="{00000000-0005-0000-0000-00007E290000}"/>
    <cellStyle name="Input 64 4" xfId="11244" xr:uid="{00000000-0005-0000-0000-00007F290000}"/>
    <cellStyle name="Input 64 4 2" xfId="11245" xr:uid="{00000000-0005-0000-0000-000080290000}"/>
    <cellStyle name="Input 64 5" xfId="11246" xr:uid="{00000000-0005-0000-0000-000081290000}"/>
    <cellStyle name="Input 65" xfId="11247" xr:uid="{00000000-0005-0000-0000-000082290000}"/>
    <cellStyle name="Input 65 2" xfId="11248" xr:uid="{00000000-0005-0000-0000-000083290000}"/>
    <cellStyle name="Input 65 2 2" xfId="11249" xr:uid="{00000000-0005-0000-0000-000084290000}"/>
    <cellStyle name="Input 65 2 2 2" xfId="11250" xr:uid="{00000000-0005-0000-0000-000085290000}"/>
    <cellStyle name="Input 65 2 3" xfId="11251" xr:uid="{00000000-0005-0000-0000-000086290000}"/>
    <cellStyle name="Input 65 3" xfId="11252" xr:uid="{00000000-0005-0000-0000-000087290000}"/>
    <cellStyle name="Input 65 3 2" xfId="11253" xr:uid="{00000000-0005-0000-0000-000088290000}"/>
    <cellStyle name="Input 65 3 2 2" xfId="11254" xr:uid="{00000000-0005-0000-0000-000089290000}"/>
    <cellStyle name="Input 65 3 2 2 2" xfId="11255" xr:uid="{00000000-0005-0000-0000-00008A290000}"/>
    <cellStyle name="Input 65 3 2 3" xfId="11256" xr:uid="{00000000-0005-0000-0000-00008B290000}"/>
    <cellStyle name="Input 65 3 3" xfId="11257" xr:uid="{00000000-0005-0000-0000-00008C290000}"/>
    <cellStyle name="Input 65 3 3 2" xfId="11258" xr:uid="{00000000-0005-0000-0000-00008D290000}"/>
    <cellStyle name="Input 65 3 4" xfId="11259" xr:uid="{00000000-0005-0000-0000-00008E290000}"/>
    <cellStyle name="Input 65 4" xfId="11260" xr:uid="{00000000-0005-0000-0000-00008F290000}"/>
    <cellStyle name="Input 65 4 2" xfId="11261" xr:uid="{00000000-0005-0000-0000-000090290000}"/>
    <cellStyle name="Input 65 5" xfId="11262" xr:uid="{00000000-0005-0000-0000-000091290000}"/>
    <cellStyle name="Input 66" xfId="11263" xr:uid="{00000000-0005-0000-0000-000092290000}"/>
    <cellStyle name="Input 66 2" xfId="11264" xr:uid="{00000000-0005-0000-0000-000093290000}"/>
    <cellStyle name="Input 66 2 2" xfId="11265" xr:uid="{00000000-0005-0000-0000-000094290000}"/>
    <cellStyle name="Input 66 2 2 2" xfId="11266" xr:uid="{00000000-0005-0000-0000-000095290000}"/>
    <cellStyle name="Input 66 2 3" xfId="11267" xr:uid="{00000000-0005-0000-0000-000096290000}"/>
    <cellStyle name="Input 66 3" xfId="11268" xr:uid="{00000000-0005-0000-0000-000097290000}"/>
    <cellStyle name="Input 66 3 2" xfId="11269" xr:uid="{00000000-0005-0000-0000-000098290000}"/>
    <cellStyle name="Input 66 3 2 2" xfId="11270" xr:uid="{00000000-0005-0000-0000-000099290000}"/>
    <cellStyle name="Input 66 3 2 2 2" xfId="11271" xr:uid="{00000000-0005-0000-0000-00009A290000}"/>
    <cellStyle name="Input 66 3 2 3" xfId="11272" xr:uid="{00000000-0005-0000-0000-00009B290000}"/>
    <cellStyle name="Input 66 3 3" xfId="11273" xr:uid="{00000000-0005-0000-0000-00009C290000}"/>
    <cellStyle name="Input 66 3 3 2" xfId="11274" xr:uid="{00000000-0005-0000-0000-00009D290000}"/>
    <cellStyle name="Input 66 3 4" xfId="11275" xr:uid="{00000000-0005-0000-0000-00009E290000}"/>
    <cellStyle name="Input 66 4" xfId="11276" xr:uid="{00000000-0005-0000-0000-00009F290000}"/>
    <cellStyle name="Input 66 4 2" xfId="11277" xr:uid="{00000000-0005-0000-0000-0000A0290000}"/>
    <cellStyle name="Input 66 5" xfId="11278" xr:uid="{00000000-0005-0000-0000-0000A1290000}"/>
    <cellStyle name="Input 67" xfId="11279" xr:uid="{00000000-0005-0000-0000-0000A2290000}"/>
    <cellStyle name="Input 67 2" xfId="11280" xr:uid="{00000000-0005-0000-0000-0000A3290000}"/>
    <cellStyle name="Input 67 2 2" xfId="11281" xr:uid="{00000000-0005-0000-0000-0000A4290000}"/>
    <cellStyle name="Input 67 2 2 2" xfId="11282" xr:uid="{00000000-0005-0000-0000-0000A5290000}"/>
    <cellStyle name="Input 67 2 3" xfId="11283" xr:uid="{00000000-0005-0000-0000-0000A6290000}"/>
    <cellStyle name="Input 67 3" xfId="11284" xr:uid="{00000000-0005-0000-0000-0000A7290000}"/>
    <cellStyle name="Input 67 3 2" xfId="11285" xr:uid="{00000000-0005-0000-0000-0000A8290000}"/>
    <cellStyle name="Input 67 3 2 2" xfId="11286" xr:uid="{00000000-0005-0000-0000-0000A9290000}"/>
    <cellStyle name="Input 67 3 2 2 2" xfId="11287" xr:uid="{00000000-0005-0000-0000-0000AA290000}"/>
    <cellStyle name="Input 67 3 2 3" xfId="11288" xr:uid="{00000000-0005-0000-0000-0000AB290000}"/>
    <cellStyle name="Input 67 3 3" xfId="11289" xr:uid="{00000000-0005-0000-0000-0000AC290000}"/>
    <cellStyle name="Input 67 3 3 2" xfId="11290" xr:uid="{00000000-0005-0000-0000-0000AD290000}"/>
    <cellStyle name="Input 67 3 4" xfId="11291" xr:uid="{00000000-0005-0000-0000-0000AE290000}"/>
    <cellStyle name="Input 67 4" xfId="11292" xr:uid="{00000000-0005-0000-0000-0000AF290000}"/>
    <cellStyle name="Input 67 4 2" xfId="11293" xr:uid="{00000000-0005-0000-0000-0000B0290000}"/>
    <cellStyle name="Input 67 5" xfId="11294" xr:uid="{00000000-0005-0000-0000-0000B1290000}"/>
    <cellStyle name="Input 68" xfId="11295" xr:uid="{00000000-0005-0000-0000-0000B2290000}"/>
    <cellStyle name="Input 68 2" xfId="11296" xr:uid="{00000000-0005-0000-0000-0000B3290000}"/>
    <cellStyle name="Input 68 2 2" xfId="11297" xr:uid="{00000000-0005-0000-0000-0000B4290000}"/>
    <cellStyle name="Input 68 2 2 2" xfId="11298" xr:uid="{00000000-0005-0000-0000-0000B5290000}"/>
    <cellStyle name="Input 68 2 3" xfId="11299" xr:uid="{00000000-0005-0000-0000-0000B6290000}"/>
    <cellStyle name="Input 68 3" xfId="11300" xr:uid="{00000000-0005-0000-0000-0000B7290000}"/>
    <cellStyle name="Input 68 3 2" xfId="11301" xr:uid="{00000000-0005-0000-0000-0000B8290000}"/>
    <cellStyle name="Input 68 3 2 2" xfId="11302" xr:uid="{00000000-0005-0000-0000-0000B9290000}"/>
    <cellStyle name="Input 68 3 2 2 2" xfId="11303" xr:uid="{00000000-0005-0000-0000-0000BA290000}"/>
    <cellStyle name="Input 68 3 2 3" xfId="11304" xr:uid="{00000000-0005-0000-0000-0000BB290000}"/>
    <cellStyle name="Input 68 3 3" xfId="11305" xr:uid="{00000000-0005-0000-0000-0000BC290000}"/>
    <cellStyle name="Input 68 3 3 2" xfId="11306" xr:uid="{00000000-0005-0000-0000-0000BD290000}"/>
    <cellStyle name="Input 68 3 4" xfId="11307" xr:uid="{00000000-0005-0000-0000-0000BE290000}"/>
    <cellStyle name="Input 68 4" xfId="11308" xr:uid="{00000000-0005-0000-0000-0000BF290000}"/>
    <cellStyle name="Input 68 4 2" xfId="11309" xr:uid="{00000000-0005-0000-0000-0000C0290000}"/>
    <cellStyle name="Input 68 5" xfId="11310" xr:uid="{00000000-0005-0000-0000-0000C1290000}"/>
    <cellStyle name="Input 69" xfId="11311" xr:uid="{00000000-0005-0000-0000-0000C2290000}"/>
    <cellStyle name="Input 69 2" xfId="11312" xr:uid="{00000000-0005-0000-0000-0000C3290000}"/>
    <cellStyle name="Input 69 2 2" xfId="11313" xr:uid="{00000000-0005-0000-0000-0000C4290000}"/>
    <cellStyle name="Input 69 2 2 2" xfId="11314" xr:uid="{00000000-0005-0000-0000-0000C5290000}"/>
    <cellStyle name="Input 69 2 3" xfId="11315" xr:uid="{00000000-0005-0000-0000-0000C6290000}"/>
    <cellStyle name="Input 69 3" xfId="11316" xr:uid="{00000000-0005-0000-0000-0000C7290000}"/>
    <cellStyle name="Input 69 3 2" xfId="11317" xr:uid="{00000000-0005-0000-0000-0000C8290000}"/>
    <cellStyle name="Input 69 3 2 2" xfId="11318" xr:uid="{00000000-0005-0000-0000-0000C9290000}"/>
    <cellStyle name="Input 69 3 2 2 2" xfId="11319" xr:uid="{00000000-0005-0000-0000-0000CA290000}"/>
    <cellStyle name="Input 69 3 2 3" xfId="11320" xr:uid="{00000000-0005-0000-0000-0000CB290000}"/>
    <cellStyle name="Input 69 3 3" xfId="11321" xr:uid="{00000000-0005-0000-0000-0000CC290000}"/>
    <cellStyle name="Input 69 3 3 2" xfId="11322" xr:uid="{00000000-0005-0000-0000-0000CD290000}"/>
    <cellStyle name="Input 69 3 4" xfId="11323" xr:uid="{00000000-0005-0000-0000-0000CE290000}"/>
    <cellStyle name="Input 69 4" xfId="11324" xr:uid="{00000000-0005-0000-0000-0000CF290000}"/>
    <cellStyle name="Input 69 4 2" xfId="11325" xr:uid="{00000000-0005-0000-0000-0000D0290000}"/>
    <cellStyle name="Input 69 5" xfId="11326" xr:uid="{00000000-0005-0000-0000-0000D1290000}"/>
    <cellStyle name="Input 7" xfId="11327" xr:uid="{00000000-0005-0000-0000-0000D2290000}"/>
    <cellStyle name="Input 7 2" xfId="11328" xr:uid="{00000000-0005-0000-0000-0000D3290000}"/>
    <cellStyle name="Input 7 2 2" xfId="11329" xr:uid="{00000000-0005-0000-0000-0000D4290000}"/>
    <cellStyle name="Input 7 2 2 2" xfId="11330" xr:uid="{00000000-0005-0000-0000-0000D5290000}"/>
    <cellStyle name="Input 7 2 2 2 2" xfId="11331" xr:uid="{00000000-0005-0000-0000-0000D6290000}"/>
    <cellStyle name="Input 7 2 2 3" xfId="11332" xr:uid="{00000000-0005-0000-0000-0000D7290000}"/>
    <cellStyle name="Input 7 2 3" xfId="11333" xr:uid="{00000000-0005-0000-0000-0000D8290000}"/>
    <cellStyle name="Input 7 2 3 2" xfId="11334" xr:uid="{00000000-0005-0000-0000-0000D9290000}"/>
    <cellStyle name="Input 7 2 3 2 2" xfId="11335" xr:uid="{00000000-0005-0000-0000-0000DA290000}"/>
    <cellStyle name="Input 7 2 3 2 2 2" xfId="11336" xr:uid="{00000000-0005-0000-0000-0000DB290000}"/>
    <cellStyle name="Input 7 2 3 2 3" xfId="11337" xr:uid="{00000000-0005-0000-0000-0000DC290000}"/>
    <cellStyle name="Input 7 2 3 3" xfId="11338" xr:uid="{00000000-0005-0000-0000-0000DD290000}"/>
    <cellStyle name="Input 7 2 3 3 2" xfId="11339" xr:uid="{00000000-0005-0000-0000-0000DE290000}"/>
    <cellStyle name="Input 7 2 3 4" xfId="11340" xr:uid="{00000000-0005-0000-0000-0000DF290000}"/>
    <cellStyle name="Input 7 2 4" xfId="11341" xr:uid="{00000000-0005-0000-0000-0000E0290000}"/>
    <cellStyle name="Input 7 2 4 2" xfId="11342" xr:uid="{00000000-0005-0000-0000-0000E1290000}"/>
    <cellStyle name="Input 7 2 5" xfId="11343" xr:uid="{00000000-0005-0000-0000-0000E2290000}"/>
    <cellStyle name="Input 7 3" xfId="11344" xr:uid="{00000000-0005-0000-0000-0000E3290000}"/>
    <cellStyle name="Input 7 3 2" xfId="11345" xr:uid="{00000000-0005-0000-0000-0000E4290000}"/>
    <cellStyle name="Input 7 3 2 2" xfId="11346" xr:uid="{00000000-0005-0000-0000-0000E5290000}"/>
    <cellStyle name="Input 7 3 3" xfId="11347" xr:uid="{00000000-0005-0000-0000-0000E6290000}"/>
    <cellStyle name="Input 7 4" xfId="11348" xr:uid="{00000000-0005-0000-0000-0000E7290000}"/>
    <cellStyle name="Input 7 4 2" xfId="11349" xr:uid="{00000000-0005-0000-0000-0000E8290000}"/>
    <cellStyle name="Input 7 4 2 2" xfId="11350" xr:uid="{00000000-0005-0000-0000-0000E9290000}"/>
    <cellStyle name="Input 7 4 2 2 2" xfId="11351" xr:uid="{00000000-0005-0000-0000-0000EA290000}"/>
    <cellStyle name="Input 7 4 2 2 2 2" xfId="11352" xr:uid="{00000000-0005-0000-0000-0000EB290000}"/>
    <cellStyle name="Input 7 4 2 2 2 2 2" xfId="11353" xr:uid="{00000000-0005-0000-0000-0000EC290000}"/>
    <cellStyle name="Input 7 4 2 2 2 3" xfId="11354" xr:uid="{00000000-0005-0000-0000-0000ED290000}"/>
    <cellStyle name="Input 7 4 2 2 3" xfId="11355" xr:uid="{00000000-0005-0000-0000-0000EE290000}"/>
    <cellStyle name="Input 7 4 2 2 3 2" xfId="11356" xr:uid="{00000000-0005-0000-0000-0000EF290000}"/>
    <cellStyle name="Input 7 4 2 2 4" xfId="11357" xr:uid="{00000000-0005-0000-0000-0000F0290000}"/>
    <cellStyle name="Input 7 4 2 3" xfId="11358" xr:uid="{00000000-0005-0000-0000-0000F1290000}"/>
    <cellStyle name="Input 7 4 2 3 2" xfId="11359" xr:uid="{00000000-0005-0000-0000-0000F2290000}"/>
    <cellStyle name="Input 7 4 2 3 2 2" xfId="11360" xr:uid="{00000000-0005-0000-0000-0000F3290000}"/>
    <cellStyle name="Input 7 4 2 3 3" xfId="11361" xr:uid="{00000000-0005-0000-0000-0000F4290000}"/>
    <cellStyle name="Input 7 4 2 4" xfId="11362" xr:uid="{00000000-0005-0000-0000-0000F5290000}"/>
    <cellStyle name="Input 7 4 2 4 2" xfId="11363" xr:uid="{00000000-0005-0000-0000-0000F6290000}"/>
    <cellStyle name="Input 7 4 2 5" xfId="11364" xr:uid="{00000000-0005-0000-0000-0000F7290000}"/>
    <cellStyle name="Input 7 4 3" xfId="11365" xr:uid="{00000000-0005-0000-0000-0000F8290000}"/>
    <cellStyle name="Input 7 4 3 2" xfId="11366" xr:uid="{00000000-0005-0000-0000-0000F9290000}"/>
    <cellStyle name="Input 7 4 3 2 2" xfId="11367" xr:uid="{00000000-0005-0000-0000-0000FA290000}"/>
    <cellStyle name="Input 7 4 3 2 2 2" xfId="11368" xr:uid="{00000000-0005-0000-0000-0000FB290000}"/>
    <cellStyle name="Input 7 4 3 2 3" xfId="11369" xr:uid="{00000000-0005-0000-0000-0000FC290000}"/>
    <cellStyle name="Input 7 4 3 3" xfId="11370" xr:uid="{00000000-0005-0000-0000-0000FD290000}"/>
    <cellStyle name="Input 7 4 3 3 2" xfId="11371" xr:uid="{00000000-0005-0000-0000-0000FE290000}"/>
    <cellStyle name="Input 7 4 3 4" xfId="11372" xr:uid="{00000000-0005-0000-0000-0000FF290000}"/>
    <cellStyle name="Input 7 4 4" xfId="11373" xr:uid="{00000000-0005-0000-0000-0000002A0000}"/>
    <cellStyle name="Input 7 4 4 2" xfId="11374" xr:uid="{00000000-0005-0000-0000-0000012A0000}"/>
    <cellStyle name="Input 7 4 4 2 2" xfId="11375" xr:uid="{00000000-0005-0000-0000-0000022A0000}"/>
    <cellStyle name="Input 7 4 4 3" xfId="11376" xr:uid="{00000000-0005-0000-0000-0000032A0000}"/>
    <cellStyle name="Input 7 4 5" xfId="11377" xr:uid="{00000000-0005-0000-0000-0000042A0000}"/>
    <cellStyle name="Input 7 4 5 2" xfId="11378" xr:uid="{00000000-0005-0000-0000-0000052A0000}"/>
    <cellStyle name="Input 7 4 6" xfId="11379" xr:uid="{00000000-0005-0000-0000-0000062A0000}"/>
    <cellStyle name="Input 7 5" xfId="11380" xr:uid="{00000000-0005-0000-0000-0000072A0000}"/>
    <cellStyle name="Input 7 5 2" xfId="11381" xr:uid="{00000000-0005-0000-0000-0000082A0000}"/>
    <cellStyle name="Input 7 6" xfId="11382" xr:uid="{00000000-0005-0000-0000-0000092A0000}"/>
    <cellStyle name="Input 70" xfId="11383" xr:uid="{00000000-0005-0000-0000-00000A2A0000}"/>
    <cellStyle name="Input 70 2" xfId="11384" xr:uid="{00000000-0005-0000-0000-00000B2A0000}"/>
    <cellStyle name="Input 70 2 2" xfId="11385" xr:uid="{00000000-0005-0000-0000-00000C2A0000}"/>
    <cellStyle name="Input 70 2 2 2" xfId="11386" xr:uid="{00000000-0005-0000-0000-00000D2A0000}"/>
    <cellStyle name="Input 70 2 3" xfId="11387" xr:uid="{00000000-0005-0000-0000-00000E2A0000}"/>
    <cellStyle name="Input 70 3" xfId="11388" xr:uid="{00000000-0005-0000-0000-00000F2A0000}"/>
    <cellStyle name="Input 70 3 2" xfId="11389" xr:uid="{00000000-0005-0000-0000-0000102A0000}"/>
    <cellStyle name="Input 70 3 2 2" xfId="11390" xr:uid="{00000000-0005-0000-0000-0000112A0000}"/>
    <cellStyle name="Input 70 3 2 2 2" xfId="11391" xr:uid="{00000000-0005-0000-0000-0000122A0000}"/>
    <cellStyle name="Input 70 3 2 3" xfId="11392" xr:uid="{00000000-0005-0000-0000-0000132A0000}"/>
    <cellStyle name="Input 70 3 3" xfId="11393" xr:uid="{00000000-0005-0000-0000-0000142A0000}"/>
    <cellStyle name="Input 70 3 3 2" xfId="11394" xr:uid="{00000000-0005-0000-0000-0000152A0000}"/>
    <cellStyle name="Input 70 3 4" xfId="11395" xr:uid="{00000000-0005-0000-0000-0000162A0000}"/>
    <cellStyle name="Input 70 4" xfId="11396" xr:uid="{00000000-0005-0000-0000-0000172A0000}"/>
    <cellStyle name="Input 70 4 2" xfId="11397" xr:uid="{00000000-0005-0000-0000-0000182A0000}"/>
    <cellStyle name="Input 70 5" xfId="11398" xr:uid="{00000000-0005-0000-0000-0000192A0000}"/>
    <cellStyle name="Input 71" xfId="11399" xr:uid="{00000000-0005-0000-0000-00001A2A0000}"/>
    <cellStyle name="Input 71 2" xfId="11400" xr:uid="{00000000-0005-0000-0000-00001B2A0000}"/>
    <cellStyle name="Input 71 2 2" xfId="11401" xr:uid="{00000000-0005-0000-0000-00001C2A0000}"/>
    <cellStyle name="Input 71 2 2 2" xfId="11402" xr:uid="{00000000-0005-0000-0000-00001D2A0000}"/>
    <cellStyle name="Input 71 2 3" xfId="11403" xr:uid="{00000000-0005-0000-0000-00001E2A0000}"/>
    <cellStyle name="Input 71 3" xfId="11404" xr:uid="{00000000-0005-0000-0000-00001F2A0000}"/>
    <cellStyle name="Input 71 3 2" xfId="11405" xr:uid="{00000000-0005-0000-0000-0000202A0000}"/>
    <cellStyle name="Input 71 3 2 2" xfId="11406" xr:uid="{00000000-0005-0000-0000-0000212A0000}"/>
    <cellStyle name="Input 71 3 2 2 2" xfId="11407" xr:uid="{00000000-0005-0000-0000-0000222A0000}"/>
    <cellStyle name="Input 71 3 2 3" xfId="11408" xr:uid="{00000000-0005-0000-0000-0000232A0000}"/>
    <cellStyle name="Input 71 3 3" xfId="11409" xr:uid="{00000000-0005-0000-0000-0000242A0000}"/>
    <cellStyle name="Input 71 3 3 2" xfId="11410" xr:uid="{00000000-0005-0000-0000-0000252A0000}"/>
    <cellStyle name="Input 71 3 4" xfId="11411" xr:uid="{00000000-0005-0000-0000-0000262A0000}"/>
    <cellStyle name="Input 71 4" xfId="11412" xr:uid="{00000000-0005-0000-0000-0000272A0000}"/>
    <cellStyle name="Input 71 4 2" xfId="11413" xr:uid="{00000000-0005-0000-0000-0000282A0000}"/>
    <cellStyle name="Input 71 5" xfId="11414" xr:uid="{00000000-0005-0000-0000-0000292A0000}"/>
    <cellStyle name="Input 72" xfId="11415" xr:uid="{00000000-0005-0000-0000-00002A2A0000}"/>
    <cellStyle name="Input 72 2" xfId="11416" xr:uid="{00000000-0005-0000-0000-00002B2A0000}"/>
    <cellStyle name="Input 72 2 2" xfId="11417" xr:uid="{00000000-0005-0000-0000-00002C2A0000}"/>
    <cellStyle name="Input 72 2 2 2" xfId="11418" xr:uid="{00000000-0005-0000-0000-00002D2A0000}"/>
    <cellStyle name="Input 72 2 3" xfId="11419" xr:uid="{00000000-0005-0000-0000-00002E2A0000}"/>
    <cellStyle name="Input 72 3" xfId="11420" xr:uid="{00000000-0005-0000-0000-00002F2A0000}"/>
    <cellStyle name="Input 72 3 2" xfId="11421" xr:uid="{00000000-0005-0000-0000-0000302A0000}"/>
    <cellStyle name="Input 72 3 2 2" xfId="11422" xr:uid="{00000000-0005-0000-0000-0000312A0000}"/>
    <cellStyle name="Input 72 3 2 2 2" xfId="11423" xr:uid="{00000000-0005-0000-0000-0000322A0000}"/>
    <cellStyle name="Input 72 3 2 3" xfId="11424" xr:uid="{00000000-0005-0000-0000-0000332A0000}"/>
    <cellStyle name="Input 72 3 3" xfId="11425" xr:uid="{00000000-0005-0000-0000-0000342A0000}"/>
    <cellStyle name="Input 72 3 3 2" xfId="11426" xr:uid="{00000000-0005-0000-0000-0000352A0000}"/>
    <cellStyle name="Input 72 3 4" xfId="11427" xr:uid="{00000000-0005-0000-0000-0000362A0000}"/>
    <cellStyle name="Input 72 4" xfId="11428" xr:uid="{00000000-0005-0000-0000-0000372A0000}"/>
    <cellStyle name="Input 72 4 2" xfId="11429" xr:uid="{00000000-0005-0000-0000-0000382A0000}"/>
    <cellStyle name="Input 72 5" xfId="11430" xr:uid="{00000000-0005-0000-0000-0000392A0000}"/>
    <cellStyle name="Input 73" xfId="11431" xr:uid="{00000000-0005-0000-0000-00003A2A0000}"/>
    <cellStyle name="Input 73 2" xfId="11432" xr:uid="{00000000-0005-0000-0000-00003B2A0000}"/>
    <cellStyle name="Input 73 2 2" xfId="11433" xr:uid="{00000000-0005-0000-0000-00003C2A0000}"/>
    <cellStyle name="Input 73 2 2 2" xfId="11434" xr:uid="{00000000-0005-0000-0000-00003D2A0000}"/>
    <cellStyle name="Input 73 2 3" xfId="11435" xr:uid="{00000000-0005-0000-0000-00003E2A0000}"/>
    <cellStyle name="Input 73 3" xfId="11436" xr:uid="{00000000-0005-0000-0000-00003F2A0000}"/>
    <cellStyle name="Input 73 3 2" xfId="11437" xr:uid="{00000000-0005-0000-0000-0000402A0000}"/>
    <cellStyle name="Input 73 3 2 2" xfId="11438" xr:uid="{00000000-0005-0000-0000-0000412A0000}"/>
    <cellStyle name="Input 73 3 2 2 2" xfId="11439" xr:uid="{00000000-0005-0000-0000-0000422A0000}"/>
    <cellStyle name="Input 73 3 2 3" xfId="11440" xr:uid="{00000000-0005-0000-0000-0000432A0000}"/>
    <cellStyle name="Input 73 3 3" xfId="11441" xr:uid="{00000000-0005-0000-0000-0000442A0000}"/>
    <cellStyle name="Input 73 3 3 2" xfId="11442" xr:uid="{00000000-0005-0000-0000-0000452A0000}"/>
    <cellStyle name="Input 73 3 4" xfId="11443" xr:uid="{00000000-0005-0000-0000-0000462A0000}"/>
    <cellStyle name="Input 73 4" xfId="11444" xr:uid="{00000000-0005-0000-0000-0000472A0000}"/>
    <cellStyle name="Input 73 4 2" xfId="11445" xr:uid="{00000000-0005-0000-0000-0000482A0000}"/>
    <cellStyle name="Input 73 5" xfId="11446" xr:uid="{00000000-0005-0000-0000-0000492A0000}"/>
    <cellStyle name="Input 74" xfId="11447" xr:uid="{00000000-0005-0000-0000-00004A2A0000}"/>
    <cellStyle name="Input 74 2" xfId="11448" xr:uid="{00000000-0005-0000-0000-00004B2A0000}"/>
    <cellStyle name="Input 74 2 2" xfId="11449" xr:uid="{00000000-0005-0000-0000-00004C2A0000}"/>
    <cellStyle name="Input 74 2 2 2" xfId="11450" xr:uid="{00000000-0005-0000-0000-00004D2A0000}"/>
    <cellStyle name="Input 74 2 3" xfId="11451" xr:uid="{00000000-0005-0000-0000-00004E2A0000}"/>
    <cellStyle name="Input 74 3" xfId="11452" xr:uid="{00000000-0005-0000-0000-00004F2A0000}"/>
    <cellStyle name="Input 74 3 2" xfId="11453" xr:uid="{00000000-0005-0000-0000-0000502A0000}"/>
    <cellStyle name="Input 74 3 2 2" xfId="11454" xr:uid="{00000000-0005-0000-0000-0000512A0000}"/>
    <cellStyle name="Input 74 3 2 2 2" xfId="11455" xr:uid="{00000000-0005-0000-0000-0000522A0000}"/>
    <cellStyle name="Input 74 3 2 3" xfId="11456" xr:uid="{00000000-0005-0000-0000-0000532A0000}"/>
    <cellStyle name="Input 74 3 3" xfId="11457" xr:uid="{00000000-0005-0000-0000-0000542A0000}"/>
    <cellStyle name="Input 74 3 3 2" xfId="11458" xr:uid="{00000000-0005-0000-0000-0000552A0000}"/>
    <cellStyle name="Input 74 3 4" xfId="11459" xr:uid="{00000000-0005-0000-0000-0000562A0000}"/>
    <cellStyle name="Input 74 4" xfId="11460" xr:uid="{00000000-0005-0000-0000-0000572A0000}"/>
    <cellStyle name="Input 74 4 2" xfId="11461" xr:uid="{00000000-0005-0000-0000-0000582A0000}"/>
    <cellStyle name="Input 74 5" xfId="11462" xr:uid="{00000000-0005-0000-0000-0000592A0000}"/>
    <cellStyle name="Input 75" xfId="11463" xr:uid="{00000000-0005-0000-0000-00005A2A0000}"/>
    <cellStyle name="Input 75 2" xfId="11464" xr:uid="{00000000-0005-0000-0000-00005B2A0000}"/>
    <cellStyle name="Input 75 2 2" xfId="11465" xr:uid="{00000000-0005-0000-0000-00005C2A0000}"/>
    <cellStyle name="Input 75 2 2 2" xfId="11466" xr:uid="{00000000-0005-0000-0000-00005D2A0000}"/>
    <cellStyle name="Input 75 2 3" xfId="11467" xr:uid="{00000000-0005-0000-0000-00005E2A0000}"/>
    <cellStyle name="Input 75 3" xfId="11468" xr:uid="{00000000-0005-0000-0000-00005F2A0000}"/>
    <cellStyle name="Input 75 3 2" xfId="11469" xr:uid="{00000000-0005-0000-0000-0000602A0000}"/>
    <cellStyle name="Input 75 3 2 2" xfId="11470" xr:uid="{00000000-0005-0000-0000-0000612A0000}"/>
    <cellStyle name="Input 75 3 2 2 2" xfId="11471" xr:uid="{00000000-0005-0000-0000-0000622A0000}"/>
    <cellStyle name="Input 75 3 2 3" xfId="11472" xr:uid="{00000000-0005-0000-0000-0000632A0000}"/>
    <cellStyle name="Input 75 3 3" xfId="11473" xr:uid="{00000000-0005-0000-0000-0000642A0000}"/>
    <cellStyle name="Input 75 3 3 2" xfId="11474" xr:uid="{00000000-0005-0000-0000-0000652A0000}"/>
    <cellStyle name="Input 75 3 4" xfId="11475" xr:uid="{00000000-0005-0000-0000-0000662A0000}"/>
    <cellStyle name="Input 75 4" xfId="11476" xr:uid="{00000000-0005-0000-0000-0000672A0000}"/>
    <cellStyle name="Input 75 4 2" xfId="11477" xr:uid="{00000000-0005-0000-0000-0000682A0000}"/>
    <cellStyle name="Input 75 5" xfId="11478" xr:uid="{00000000-0005-0000-0000-0000692A0000}"/>
    <cellStyle name="Input 76" xfId="11479" xr:uid="{00000000-0005-0000-0000-00006A2A0000}"/>
    <cellStyle name="Input 76 2" xfId="11480" xr:uid="{00000000-0005-0000-0000-00006B2A0000}"/>
    <cellStyle name="Input 76 2 2" xfId="11481" xr:uid="{00000000-0005-0000-0000-00006C2A0000}"/>
    <cellStyle name="Input 76 2 2 2" xfId="11482" xr:uid="{00000000-0005-0000-0000-00006D2A0000}"/>
    <cellStyle name="Input 76 2 3" xfId="11483" xr:uid="{00000000-0005-0000-0000-00006E2A0000}"/>
    <cellStyle name="Input 76 3" xfId="11484" xr:uid="{00000000-0005-0000-0000-00006F2A0000}"/>
    <cellStyle name="Input 76 3 2" xfId="11485" xr:uid="{00000000-0005-0000-0000-0000702A0000}"/>
    <cellStyle name="Input 76 3 2 2" xfId="11486" xr:uid="{00000000-0005-0000-0000-0000712A0000}"/>
    <cellStyle name="Input 76 3 2 2 2" xfId="11487" xr:uid="{00000000-0005-0000-0000-0000722A0000}"/>
    <cellStyle name="Input 76 3 2 3" xfId="11488" xr:uid="{00000000-0005-0000-0000-0000732A0000}"/>
    <cellStyle name="Input 76 3 3" xfId="11489" xr:uid="{00000000-0005-0000-0000-0000742A0000}"/>
    <cellStyle name="Input 76 3 3 2" xfId="11490" xr:uid="{00000000-0005-0000-0000-0000752A0000}"/>
    <cellStyle name="Input 76 3 4" xfId="11491" xr:uid="{00000000-0005-0000-0000-0000762A0000}"/>
    <cellStyle name="Input 76 4" xfId="11492" xr:uid="{00000000-0005-0000-0000-0000772A0000}"/>
    <cellStyle name="Input 76 4 2" xfId="11493" xr:uid="{00000000-0005-0000-0000-0000782A0000}"/>
    <cellStyle name="Input 76 5" xfId="11494" xr:uid="{00000000-0005-0000-0000-0000792A0000}"/>
    <cellStyle name="Input 77" xfId="11495" xr:uid="{00000000-0005-0000-0000-00007A2A0000}"/>
    <cellStyle name="Input 77 2" xfId="11496" xr:uid="{00000000-0005-0000-0000-00007B2A0000}"/>
    <cellStyle name="Input 77 2 2" xfId="11497" xr:uid="{00000000-0005-0000-0000-00007C2A0000}"/>
    <cellStyle name="Input 77 2 2 2" xfId="11498" xr:uid="{00000000-0005-0000-0000-00007D2A0000}"/>
    <cellStyle name="Input 77 2 3" xfId="11499" xr:uid="{00000000-0005-0000-0000-00007E2A0000}"/>
    <cellStyle name="Input 77 3" xfId="11500" xr:uid="{00000000-0005-0000-0000-00007F2A0000}"/>
    <cellStyle name="Input 77 3 2" xfId="11501" xr:uid="{00000000-0005-0000-0000-0000802A0000}"/>
    <cellStyle name="Input 77 3 2 2" xfId="11502" xr:uid="{00000000-0005-0000-0000-0000812A0000}"/>
    <cellStyle name="Input 77 3 2 2 2" xfId="11503" xr:uid="{00000000-0005-0000-0000-0000822A0000}"/>
    <cellStyle name="Input 77 3 2 3" xfId="11504" xr:uid="{00000000-0005-0000-0000-0000832A0000}"/>
    <cellStyle name="Input 77 3 3" xfId="11505" xr:uid="{00000000-0005-0000-0000-0000842A0000}"/>
    <cellStyle name="Input 77 3 3 2" xfId="11506" xr:uid="{00000000-0005-0000-0000-0000852A0000}"/>
    <cellStyle name="Input 77 3 4" xfId="11507" xr:uid="{00000000-0005-0000-0000-0000862A0000}"/>
    <cellStyle name="Input 77 4" xfId="11508" xr:uid="{00000000-0005-0000-0000-0000872A0000}"/>
    <cellStyle name="Input 77 4 2" xfId="11509" xr:uid="{00000000-0005-0000-0000-0000882A0000}"/>
    <cellStyle name="Input 77 5" xfId="11510" xr:uid="{00000000-0005-0000-0000-0000892A0000}"/>
    <cellStyle name="Input 78" xfId="11511" xr:uid="{00000000-0005-0000-0000-00008A2A0000}"/>
    <cellStyle name="Input 78 2" xfId="11512" xr:uid="{00000000-0005-0000-0000-00008B2A0000}"/>
    <cellStyle name="Input 78 2 2" xfId="11513" xr:uid="{00000000-0005-0000-0000-00008C2A0000}"/>
    <cellStyle name="Input 78 2 2 2" xfId="11514" xr:uid="{00000000-0005-0000-0000-00008D2A0000}"/>
    <cellStyle name="Input 78 2 3" xfId="11515" xr:uid="{00000000-0005-0000-0000-00008E2A0000}"/>
    <cellStyle name="Input 78 3" xfId="11516" xr:uid="{00000000-0005-0000-0000-00008F2A0000}"/>
    <cellStyle name="Input 78 3 2" xfId="11517" xr:uid="{00000000-0005-0000-0000-0000902A0000}"/>
    <cellStyle name="Input 78 3 2 2" xfId="11518" xr:uid="{00000000-0005-0000-0000-0000912A0000}"/>
    <cellStyle name="Input 78 3 2 2 2" xfId="11519" xr:uid="{00000000-0005-0000-0000-0000922A0000}"/>
    <cellStyle name="Input 78 3 2 3" xfId="11520" xr:uid="{00000000-0005-0000-0000-0000932A0000}"/>
    <cellStyle name="Input 78 3 3" xfId="11521" xr:uid="{00000000-0005-0000-0000-0000942A0000}"/>
    <cellStyle name="Input 78 3 3 2" xfId="11522" xr:uid="{00000000-0005-0000-0000-0000952A0000}"/>
    <cellStyle name="Input 78 3 4" xfId="11523" xr:uid="{00000000-0005-0000-0000-0000962A0000}"/>
    <cellStyle name="Input 78 4" xfId="11524" xr:uid="{00000000-0005-0000-0000-0000972A0000}"/>
    <cellStyle name="Input 78 4 2" xfId="11525" xr:uid="{00000000-0005-0000-0000-0000982A0000}"/>
    <cellStyle name="Input 78 5" xfId="11526" xr:uid="{00000000-0005-0000-0000-0000992A0000}"/>
    <cellStyle name="Input 79" xfId="11527" xr:uid="{00000000-0005-0000-0000-00009A2A0000}"/>
    <cellStyle name="Input 79 2" xfId="11528" xr:uid="{00000000-0005-0000-0000-00009B2A0000}"/>
    <cellStyle name="Input 79 2 2" xfId="11529" xr:uid="{00000000-0005-0000-0000-00009C2A0000}"/>
    <cellStyle name="Input 79 2 2 2" xfId="11530" xr:uid="{00000000-0005-0000-0000-00009D2A0000}"/>
    <cellStyle name="Input 79 2 3" xfId="11531" xr:uid="{00000000-0005-0000-0000-00009E2A0000}"/>
    <cellStyle name="Input 79 3" xfId="11532" xr:uid="{00000000-0005-0000-0000-00009F2A0000}"/>
    <cellStyle name="Input 79 3 2" xfId="11533" xr:uid="{00000000-0005-0000-0000-0000A02A0000}"/>
    <cellStyle name="Input 79 3 2 2" xfId="11534" xr:uid="{00000000-0005-0000-0000-0000A12A0000}"/>
    <cellStyle name="Input 79 3 2 2 2" xfId="11535" xr:uid="{00000000-0005-0000-0000-0000A22A0000}"/>
    <cellStyle name="Input 79 3 2 3" xfId="11536" xr:uid="{00000000-0005-0000-0000-0000A32A0000}"/>
    <cellStyle name="Input 79 3 3" xfId="11537" xr:uid="{00000000-0005-0000-0000-0000A42A0000}"/>
    <cellStyle name="Input 79 3 3 2" xfId="11538" xr:uid="{00000000-0005-0000-0000-0000A52A0000}"/>
    <cellStyle name="Input 79 3 4" xfId="11539" xr:uid="{00000000-0005-0000-0000-0000A62A0000}"/>
    <cellStyle name="Input 79 4" xfId="11540" xr:uid="{00000000-0005-0000-0000-0000A72A0000}"/>
    <cellStyle name="Input 79 4 2" xfId="11541" xr:uid="{00000000-0005-0000-0000-0000A82A0000}"/>
    <cellStyle name="Input 79 5" xfId="11542" xr:uid="{00000000-0005-0000-0000-0000A92A0000}"/>
    <cellStyle name="Input 8" xfId="11543" xr:uid="{00000000-0005-0000-0000-0000AA2A0000}"/>
    <cellStyle name="Input 8 2" xfId="11544" xr:uid="{00000000-0005-0000-0000-0000AB2A0000}"/>
    <cellStyle name="Input 8 2 2" xfId="11545" xr:uid="{00000000-0005-0000-0000-0000AC2A0000}"/>
    <cellStyle name="Input 8 2 2 2" xfId="11546" xr:uid="{00000000-0005-0000-0000-0000AD2A0000}"/>
    <cellStyle name="Input 8 2 3" xfId="11547" xr:uid="{00000000-0005-0000-0000-0000AE2A0000}"/>
    <cellStyle name="Input 8 3" xfId="11548" xr:uid="{00000000-0005-0000-0000-0000AF2A0000}"/>
    <cellStyle name="Input 8 3 2" xfId="11549" xr:uid="{00000000-0005-0000-0000-0000B02A0000}"/>
    <cellStyle name="Input 8 4" xfId="11550" xr:uid="{00000000-0005-0000-0000-0000B12A0000}"/>
    <cellStyle name="Input 80" xfId="11551" xr:uid="{00000000-0005-0000-0000-0000B22A0000}"/>
    <cellStyle name="Input 80 2" xfId="11552" xr:uid="{00000000-0005-0000-0000-0000B32A0000}"/>
    <cellStyle name="Input 80 2 2" xfId="11553" xr:uid="{00000000-0005-0000-0000-0000B42A0000}"/>
    <cellStyle name="Input 80 2 2 2" xfId="11554" xr:uid="{00000000-0005-0000-0000-0000B52A0000}"/>
    <cellStyle name="Input 80 2 3" xfId="11555" xr:uid="{00000000-0005-0000-0000-0000B62A0000}"/>
    <cellStyle name="Input 80 3" xfId="11556" xr:uid="{00000000-0005-0000-0000-0000B72A0000}"/>
    <cellStyle name="Input 80 3 2" xfId="11557" xr:uid="{00000000-0005-0000-0000-0000B82A0000}"/>
    <cellStyle name="Input 80 3 2 2" xfId="11558" xr:uid="{00000000-0005-0000-0000-0000B92A0000}"/>
    <cellStyle name="Input 80 3 2 2 2" xfId="11559" xr:uid="{00000000-0005-0000-0000-0000BA2A0000}"/>
    <cellStyle name="Input 80 3 2 3" xfId="11560" xr:uid="{00000000-0005-0000-0000-0000BB2A0000}"/>
    <cellStyle name="Input 80 3 3" xfId="11561" xr:uid="{00000000-0005-0000-0000-0000BC2A0000}"/>
    <cellStyle name="Input 80 3 3 2" xfId="11562" xr:uid="{00000000-0005-0000-0000-0000BD2A0000}"/>
    <cellStyle name="Input 80 3 4" xfId="11563" xr:uid="{00000000-0005-0000-0000-0000BE2A0000}"/>
    <cellStyle name="Input 80 4" xfId="11564" xr:uid="{00000000-0005-0000-0000-0000BF2A0000}"/>
    <cellStyle name="Input 80 4 2" xfId="11565" xr:uid="{00000000-0005-0000-0000-0000C02A0000}"/>
    <cellStyle name="Input 80 5" xfId="11566" xr:uid="{00000000-0005-0000-0000-0000C12A0000}"/>
    <cellStyle name="Input 81" xfId="11567" xr:uid="{00000000-0005-0000-0000-0000C22A0000}"/>
    <cellStyle name="Input 81 2" xfId="11568" xr:uid="{00000000-0005-0000-0000-0000C32A0000}"/>
    <cellStyle name="Input 81 2 2" xfId="11569" xr:uid="{00000000-0005-0000-0000-0000C42A0000}"/>
    <cellStyle name="Input 81 2 2 2" xfId="11570" xr:uid="{00000000-0005-0000-0000-0000C52A0000}"/>
    <cellStyle name="Input 81 2 3" xfId="11571" xr:uid="{00000000-0005-0000-0000-0000C62A0000}"/>
    <cellStyle name="Input 81 3" xfId="11572" xr:uid="{00000000-0005-0000-0000-0000C72A0000}"/>
    <cellStyle name="Input 81 3 2" xfId="11573" xr:uid="{00000000-0005-0000-0000-0000C82A0000}"/>
    <cellStyle name="Input 81 3 2 2" xfId="11574" xr:uid="{00000000-0005-0000-0000-0000C92A0000}"/>
    <cellStyle name="Input 81 3 2 2 2" xfId="11575" xr:uid="{00000000-0005-0000-0000-0000CA2A0000}"/>
    <cellStyle name="Input 81 3 2 3" xfId="11576" xr:uid="{00000000-0005-0000-0000-0000CB2A0000}"/>
    <cellStyle name="Input 81 3 3" xfId="11577" xr:uid="{00000000-0005-0000-0000-0000CC2A0000}"/>
    <cellStyle name="Input 81 3 3 2" xfId="11578" xr:uid="{00000000-0005-0000-0000-0000CD2A0000}"/>
    <cellStyle name="Input 81 3 4" xfId="11579" xr:uid="{00000000-0005-0000-0000-0000CE2A0000}"/>
    <cellStyle name="Input 81 4" xfId="11580" xr:uid="{00000000-0005-0000-0000-0000CF2A0000}"/>
    <cellStyle name="Input 81 4 2" xfId="11581" xr:uid="{00000000-0005-0000-0000-0000D02A0000}"/>
    <cellStyle name="Input 81 5" xfId="11582" xr:uid="{00000000-0005-0000-0000-0000D12A0000}"/>
    <cellStyle name="Input 82" xfId="11583" xr:uid="{00000000-0005-0000-0000-0000D22A0000}"/>
    <cellStyle name="Input 82 2" xfId="11584" xr:uid="{00000000-0005-0000-0000-0000D32A0000}"/>
    <cellStyle name="Input 82 2 2" xfId="11585" xr:uid="{00000000-0005-0000-0000-0000D42A0000}"/>
    <cellStyle name="Input 82 2 2 2" xfId="11586" xr:uid="{00000000-0005-0000-0000-0000D52A0000}"/>
    <cellStyle name="Input 82 2 3" xfId="11587" xr:uid="{00000000-0005-0000-0000-0000D62A0000}"/>
    <cellStyle name="Input 82 3" xfId="11588" xr:uid="{00000000-0005-0000-0000-0000D72A0000}"/>
    <cellStyle name="Input 82 3 2" xfId="11589" xr:uid="{00000000-0005-0000-0000-0000D82A0000}"/>
    <cellStyle name="Input 82 3 2 2" xfId="11590" xr:uid="{00000000-0005-0000-0000-0000D92A0000}"/>
    <cellStyle name="Input 82 3 2 2 2" xfId="11591" xr:uid="{00000000-0005-0000-0000-0000DA2A0000}"/>
    <cellStyle name="Input 82 3 2 3" xfId="11592" xr:uid="{00000000-0005-0000-0000-0000DB2A0000}"/>
    <cellStyle name="Input 82 3 3" xfId="11593" xr:uid="{00000000-0005-0000-0000-0000DC2A0000}"/>
    <cellStyle name="Input 82 3 3 2" xfId="11594" xr:uid="{00000000-0005-0000-0000-0000DD2A0000}"/>
    <cellStyle name="Input 82 3 4" xfId="11595" xr:uid="{00000000-0005-0000-0000-0000DE2A0000}"/>
    <cellStyle name="Input 82 4" xfId="11596" xr:uid="{00000000-0005-0000-0000-0000DF2A0000}"/>
    <cellStyle name="Input 82 4 2" xfId="11597" xr:uid="{00000000-0005-0000-0000-0000E02A0000}"/>
    <cellStyle name="Input 82 5" xfId="11598" xr:uid="{00000000-0005-0000-0000-0000E12A0000}"/>
    <cellStyle name="Input 83" xfId="11599" xr:uid="{00000000-0005-0000-0000-0000E22A0000}"/>
    <cellStyle name="Input 83 2" xfId="11600" xr:uid="{00000000-0005-0000-0000-0000E32A0000}"/>
    <cellStyle name="Input 83 2 2" xfId="11601" xr:uid="{00000000-0005-0000-0000-0000E42A0000}"/>
    <cellStyle name="Input 83 2 2 2" xfId="11602" xr:uid="{00000000-0005-0000-0000-0000E52A0000}"/>
    <cellStyle name="Input 83 2 3" xfId="11603" xr:uid="{00000000-0005-0000-0000-0000E62A0000}"/>
    <cellStyle name="Input 83 3" xfId="11604" xr:uid="{00000000-0005-0000-0000-0000E72A0000}"/>
    <cellStyle name="Input 83 3 2" xfId="11605" xr:uid="{00000000-0005-0000-0000-0000E82A0000}"/>
    <cellStyle name="Input 83 3 2 2" xfId="11606" xr:uid="{00000000-0005-0000-0000-0000E92A0000}"/>
    <cellStyle name="Input 83 3 2 2 2" xfId="11607" xr:uid="{00000000-0005-0000-0000-0000EA2A0000}"/>
    <cellStyle name="Input 83 3 2 3" xfId="11608" xr:uid="{00000000-0005-0000-0000-0000EB2A0000}"/>
    <cellStyle name="Input 83 3 3" xfId="11609" xr:uid="{00000000-0005-0000-0000-0000EC2A0000}"/>
    <cellStyle name="Input 83 3 3 2" xfId="11610" xr:uid="{00000000-0005-0000-0000-0000ED2A0000}"/>
    <cellStyle name="Input 83 3 4" xfId="11611" xr:uid="{00000000-0005-0000-0000-0000EE2A0000}"/>
    <cellStyle name="Input 83 4" xfId="11612" xr:uid="{00000000-0005-0000-0000-0000EF2A0000}"/>
    <cellStyle name="Input 83 4 2" xfId="11613" xr:uid="{00000000-0005-0000-0000-0000F02A0000}"/>
    <cellStyle name="Input 83 5" xfId="11614" xr:uid="{00000000-0005-0000-0000-0000F12A0000}"/>
    <cellStyle name="Input 84" xfId="11615" xr:uid="{00000000-0005-0000-0000-0000F22A0000}"/>
    <cellStyle name="Input 84 2" xfId="11616" xr:uid="{00000000-0005-0000-0000-0000F32A0000}"/>
    <cellStyle name="Input 84 2 2" xfId="11617" xr:uid="{00000000-0005-0000-0000-0000F42A0000}"/>
    <cellStyle name="Input 84 2 2 2" xfId="11618" xr:uid="{00000000-0005-0000-0000-0000F52A0000}"/>
    <cellStyle name="Input 84 2 3" xfId="11619" xr:uid="{00000000-0005-0000-0000-0000F62A0000}"/>
    <cellStyle name="Input 84 3" xfId="11620" xr:uid="{00000000-0005-0000-0000-0000F72A0000}"/>
    <cellStyle name="Input 84 3 2" xfId="11621" xr:uid="{00000000-0005-0000-0000-0000F82A0000}"/>
    <cellStyle name="Input 84 4" xfId="11622" xr:uid="{00000000-0005-0000-0000-0000F92A0000}"/>
    <cellStyle name="Input 85" xfId="11623" xr:uid="{00000000-0005-0000-0000-0000FA2A0000}"/>
    <cellStyle name="Input 85 2" xfId="11624" xr:uid="{00000000-0005-0000-0000-0000FB2A0000}"/>
    <cellStyle name="Input 85 2 2" xfId="11625" xr:uid="{00000000-0005-0000-0000-0000FC2A0000}"/>
    <cellStyle name="Input 85 2 2 2" xfId="11626" xr:uid="{00000000-0005-0000-0000-0000FD2A0000}"/>
    <cellStyle name="Input 85 2 3" xfId="11627" xr:uid="{00000000-0005-0000-0000-0000FE2A0000}"/>
    <cellStyle name="Input 85 3" xfId="11628" xr:uid="{00000000-0005-0000-0000-0000FF2A0000}"/>
    <cellStyle name="Input 85 3 2" xfId="11629" xr:uid="{00000000-0005-0000-0000-0000002B0000}"/>
    <cellStyle name="Input 85 4" xfId="11630" xr:uid="{00000000-0005-0000-0000-0000012B0000}"/>
    <cellStyle name="Input 86" xfId="11631" xr:uid="{00000000-0005-0000-0000-0000022B0000}"/>
    <cellStyle name="Input 86 2" xfId="11632" xr:uid="{00000000-0005-0000-0000-0000032B0000}"/>
    <cellStyle name="Input 86 2 2" xfId="11633" xr:uid="{00000000-0005-0000-0000-0000042B0000}"/>
    <cellStyle name="Input 86 2 2 2" xfId="11634" xr:uid="{00000000-0005-0000-0000-0000052B0000}"/>
    <cellStyle name="Input 86 2 3" xfId="11635" xr:uid="{00000000-0005-0000-0000-0000062B0000}"/>
    <cellStyle name="Input 86 3" xfId="11636" xr:uid="{00000000-0005-0000-0000-0000072B0000}"/>
    <cellStyle name="Input 86 3 2" xfId="11637" xr:uid="{00000000-0005-0000-0000-0000082B0000}"/>
    <cellStyle name="Input 86 4" xfId="11638" xr:uid="{00000000-0005-0000-0000-0000092B0000}"/>
    <cellStyle name="Input 87" xfId="11639" xr:uid="{00000000-0005-0000-0000-00000A2B0000}"/>
    <cellStyle name="Input 87 2" xfId="11640" xr:uid="{00000000-0005-0000-0000-00000B2B0000}"/>
    <cellStyle name="Input 87 2 2" xfId="11641" xr:uid="{00000000-0005-0000-0000-00000C2B0000}"/>
    <cellStyle name="Input 87 2 2 2" xfId="11642" xr:uid="{00000000-0005-0000-0000-00000D2B0000}"/>
    <cellStyle name="Input 87 2 3" xfId="11643" xr:uid="{00000000-0005-0000-0000-00000E2B0000}"/>
    <cellStyle name="Input 87 3" xfId="11644" xr:uid="{00000000-0005-0000-0000-00000F2B0000}"/>
    <cellStyle name="Input 87 3 2" xfId="11645" xr:uid="{00000000-0005-0000-0000-0000102B0000}"/>
    <cellStyle name="Input 87 4" xfId="11646" xr:uid="{00000000-0005-0000-0000-0000112B0000}"/>
    <cellStyle name="Input 88" xfId="11647" xr:uid="{00000000-0005-0000-0000-0000122B0000}"/>
    <cellStyle name="Input 88 2" xfId="11648" xr:uid="{00000000-0005-0000-0000-0000132B0000}"/>
    <cellStyle name="Input 88 2 2" xfId="11649" xr:uid="{00000000-0005-0000-0000-0000142B0000}"/>
    <cellStyle name="Input 88 2 2 2" xfId="11650" xr:uid="{00000000-0005-0000-0000-0000152B0000}"/>
    <cellStyle name="Input 88 2 3" xfId="11651" xr:uid="{00000000-0005-0000-0000-0000162B0000}"/>
    <cellStyle name="Input 88 3" xfId="11652" xr:uid="{00000000-0005-0000-0000-0000172B0000}"/>
    <cellStyle name="Input 88 3 2" xfId="11653" xr:uid="{00000000-0005-0000-0000-0000182B0000}"/>
    <cellStyle name="Input 88 4" xfId="11654" xr:uid="{00000000-0005-0000-0000-0000192B0000}"/>
    <cellStyle name="Input 89" xfId="11655" xr:uid="{00000000-0005-0000-0000-00001A2B0000}"/>
    <cellStyle name="Input 89 2" xfId="11656" xr:uid="{00000000-0005-0000-0000-00001B2B0000}"/>
    <cellStyle name="Input 89 2 2" xfId="11657" xr:uid="{00000000-0005-0000-0000-00001C2B0000}"/>
    <cellStyle name="Input 89 2 2 2" xfId="11658" xr:uid="{00000000-0005-0000-0000-00001D2B0000}"/>
    <cellStyle name="Input 89 2 3" xfId="11659" xr:uid="{00000000-0005-0000-0000-00001E2B0000}"/>
    <cellStyle name="Input 89 3" xfId="11660" xr:uid="{00000000-0005-0000-0000-00001F2B0000}"/>
    <cellStyle name="Input 89 3 2" xfId="11661" xr:uid="{00000000-0005-0000-0000-0000202B0000}"/>
    <cellStyle name="Input 89 4" xfId="11662" xr:uid="{00000000-0005-0000-0000-0000212B0000}"/>
    <cellStyle name="Input 9" xfId="11663" xr:uid="{00000000-0005-0000-0000-0000222B0000}"/>
    <cellStyle name="Input 9 2" xfId="11664" xr:uid="{00000000-0005-0000-0000-0000232B0000}"/>
    <cellStyle name="Input 9 2 2" xfId="11665" xr:uid="{00000000-0005-0000-0000-0000242B0000}"/>
    <cellStyle name="Input 9 2 2 2" xfId="11666" xr:uid="{00000000-0005-0000-0000-0000252B0000}"/>
    <cellStyle name="Input 9 2 3" xfId="11667" xr:uid="{00000000-0005-0000-0000-0000262B0000}"/>
    <cellStyle name="Input 9 3" xfId="11668" xr:uid="{00000000-0005-0000-0000-0000272B0000}"/>
    <cellStyle name="Input 9 3 2" xfId="11669" xr:uid="{00000000-0005-0000-0000-0000282B0000}"/>
    <cellStyle name="Input 9 4" xfId="11670" xr:uid="{00000000-0005-0000-0000-0000292B0000}"/>
    <cellStyle name="Input 90" xfId="11671" xr:uid="{00000000-0005-0000-0000-00002A2B0000}"/>
    <cellStyle name="Input 90 2" xfId="11672" xr:uid="{00000000-0005-0000-0000-00002B2B0000}"/>
    <cellStyle name="Input 90 2 2" xfId="11673" xr:uid="{00000000-0005-0000-0000-00002C2B0000}"/>
    <cellStyle name="Input 90 2 2 2" xfId="11674" xr:uid="{00000000-0005-0000-0000-00002D2B0000}"/>
    <cellStyle name="Input 90 2 3" xfId="11675" xr:uid="{00000000-0005-0000-0000-00002E2B0000}"/>
    <cellStyle name="Input 90 3" xfId="11676" xr:uid="{00000000-0005-0000-0000-00002F2B0000}"/>
    <cellStyle name="Input 90 3 2" xfId="11677" xr:uid="{00000000-0005-0000-0000-0000302B0000}"/>
    <cellStyle name="Input 90 4" xfId="11678" xr:uid="{00000000-0005-0000-0000-0000312B0000}"/>
    <cellStyle name="Input 91" xfId="11679" xr:uid="{00000000-0005-0000-0000-0000322B0000}"/>
    <cellStyle name="Input 91 2" xfId="11680" xr:uid="{00000000-0005-0000-0000-0000332B0000}"/>
    <cellStyle name="Input 91 2 2" xfId="11681" xr:uid="{00000000-0005-0000-0000-0000342B0000}"/>
    <cellStyle name="Input 91 2 2 2" xfId="11682" xr:uid="{00000000-0005-0000-0000-0000352B0000}"/>
    <cellStyle name="Input 91 2 3" xfId="11683" xr:uid="{00000000-0005-0000-0000-0000362B0000}"/>
    <cellStyle name="Input 91 3" xfId="11684" xr:uid="{00000000-0005-0000-0000-0000372B0000}"/>
    <cellStyle name="Input 91 3 2" xfId="11685" xr:uid="{00000000-0005-0000-0000-0000382B0000}"/>
    <cellStyle name="Input 91 4" xfId="11686" xr:uid="{00000000-0005-0000-0000-0000392B0000}"/>
    <cellStyle name="Input 92" xfId="11687" xr:uid="{00000000-0005-0000-0000-00003A2B0000}"/>
    <cellStyle name="Input 92 2" xfId="11688" xr:uid="{00000000-0005-0000-0000-00003B2B0000}"/>
    <cellStyle name="Input 92 2 2" xfId="11689" xr:uid="{00000000-0005-0000-0000-00003C2B0000}"/>
    <cellStyle name="Input 92 2 2 2" xfId="11690" xr:uid="{00000000-0005-0000-0000-00003D2B0000}"/>
    <cellStyle name="Input 92 2 3" xfId="11691" xr:uid="{00000000-0005-0000-0000-00003E2B0000}"/>
    <cellStyle name="Input 92 3" xfId="11692" xr:uid="{00000000-0005-0000-0000-00003F2B0000}"/>
    <cellStyle name="Input 92 3 2" xfId="11693" xr:uid="{00000000-0005-0000-0000-0000402B0000}"/>
    <cellStyle name="Input 92 4" xfId="11694" xr:uid="{00000000-0005-0000-0000-0000412B0000}"/>
    <cellStyle name="Input 93" xfId="11695" xr:uid="{00000000-0005-0000-0000-0000422B0000}"/>
    <cellStyle name="Input 93 2" xfId="11696" xr:uid="{00000000-0005-0000-0000-0000432B0000}"/>
    <cellStyle name="Input 93 2 2" xfId="11697" xr:uid="{00000000-0005-0000-0000-0000442B0000}"/>
    <cellStyle name="Input 93 2 2 2" xfId="11698" xr:uid="{00000000-0005-0000-0000-0000452B0000}"/>
    <cellStyle name="Input 93 2 3" xfId="11699" xr:uid="{00000000-0005-0000-0000-0000462B0000}"/>
    <cellStyle name="Input 93 3" xfId="11700" xr:uid="{00000000-0005-0000-0000-0000472B0000}"/>
    <cellStyle name="Input 93 3 2" xfId="11701" xr:uid="{00000000-0005-0000-0000-0000482B0000}"/>
    <cellStyle name="Input 93 4" xfId="11702" xr:uid="{00000000-0005-0000-0000-0000492B0000}"/>
    <cellStyle name="Input 94" xfId="11703" xr:uid="{00000000-0005-0000-0000-00004A2B0000}"/>
    <cellStyle name="Input 94 2" xfId="11704" xr:uid="{00000000-0005-0000-0000-00004B2B0000}"/>
    <cellStyle name="Input 94 2 2" xfId="11705" xr:uid="{00000000-0005-0000-0000-00004C2B0000}"/>
    <cellStyle name="Input 94 2 2 2" xfId="11706" xr:uid="{00000000-0005-0000-0000-00004D2B0000}"/>
    <cellStyle name="Input 94 2 3" xfId="11707" xr:uid="{00000000-0005-0000-0000-00004E2B0000}"/>
    <cellStyle name="Input 94 3" xfId="11708" xr:uid="{00000000-0005-0000-0000-00004F2B0000}"/>
    <cellStyle name="Input 94 3 2" xfId="11709" xr:uid="{00000000-0005-0000-0000-0000502B0000}"/>
    <cellStyle name="Input 94 4" xfId="11710" xr:uid="{00000000-0005-0000-0000-0000512B0000}"/>
    <cellStyle name="Input 95" xfId="11711" xr:uid="{00000000-0005-0000-0000-0000522B0000}"/>
    <cellStyle name="Input 95 2" xfId="11712" xr:uid="{00000000-0005-0000-0000-0000532B0000}"/>
    <cellStyle name="Input 95 2 2" xfId="11713" xr:uid="{00000000-0005-0000-0000-0000542B0000}"/>
    <cellStyle name="Input 95 2 2 2" xfId="11714" xr:uid="{00000000-0005-0000-0000-0000552B0000}"/>
    <cellStyle name="Input 95 2 3" xfId="11715" xr:uid="{00000000-0005-0000-0000-0000562B0000}"/>
    <cellStyle name="Input 95 3" xfId="11716" xr:uid="{00000000-0005-0000-0000-0000572B0000}"/>
    <cellStyle name="Input 95 3 2" xfId="11717" xr:uid="{00000000-0005-0000-0000-0000582B0000}"/>
    <cellStyle name="Input 95 4" xfId="11718" xr:uid="{00000000-0005-0000-0000-0000592B0000}"/>
    <cellStyle name="Input 96" xfId="11719" xr:uid="{00000000-0005-0000-0000-00005A2B0000}"/>
    <cellStyle name="Input 96 2" xfId="11720" xr:uid="{00000000-0005-0000-0000-00005B2B0000}"/>
    <cellStyle name="Input 96 2 2" xfId="11721" xr:uid="{00000000-0005-0000-0000-00005C2B0000}"/>
    <cellStyle name="Input 96 2 2 2" xfId="11722" xr:uid="{00000000-0005-0000-0000-00005D2B0000}"/>
    <cellStyle name="Input 96 2 3" xfId="11723" xr:uid="{00000000-0005-0000-0000-00005E2B0000}"/>
    <cellStyle name="Input 96 3" xfId="11724" xr:uid="{00000000-0005-0000-0000-00005F2B0000}"/>
    <cellStyle name="Input 96 3 2" xfId="11725" xr:uid="{00000000-0005-0000-0000-0000602B0000}"/>
    <cellStyle name="Input 96 4" xfId="11726" xr:uid="{00000000-0005-0000-0000-0000612B0000}"/>
    <cellStyle name="Input 97" xfId="11727" xr:uid="{00000000-0005-0000-0000-0000622B0000}"/>
    <cellStyle name="Input 97 2" xfId="11728" xr:uid="{00000000-0005-0000-0000-0000632B0000}"/>
    <cellStyle name="Input 97 2 2" xfId="11729" xr:uid="{00000000-0005-0000-0000-0000642B0000}"/>
    <cellStyle name="Input 97 2 2 2" xfId="11730" xr:uid="{00000000-0005-0000-0000-0000652B0000}"/>
    <cellStyle name="Input 97 2 3" xfId="11731" xr:uid="{00000000-0005-0000-0000-0000662B0000}"/>
    <cellStyle name="Input 97 3" xfId="11732" xr:uid="{00000000-0005-0000-0000-0000672B0000}"/>
    <cellStyle name="Input 97 3 2" xfId="11733" xr:uid="{00000000-0005-0000-0000-0000682B0000}"/>
    <cellStyle name="Input 97 4" xfId="11734" xr:uid="{00000000-0005-0000-0000-0000692B0000}"/>
    <cellStyle name="Input 98" xfId="11735" xr:uid="{00000000-0005-0000-0000-00006A2B0000}"/>
    <cellStyle name="Input 98 2" xfId="11736" xr:uid="{00000000-0005-0000-0000-00006B2B0000}"/>
    <cellStyle name="Input 98 2 2" xfId="11737" xr:uid="{00000000-0005-0000-0000-00006C2B0000}"/>
    <cellStyle name="Input 98 2 2 2" xfId="11738" xr:uid="{00000000-0005-0000-0000-00006D2B0000}"/>
    <cellStyle name="Input 98 2 3" xfId="11739" xr:uid="{00000000-0005-0000-0000-00006E2B0000}"/>
    <cellStyle name="Input 98 3" xfId="11740" xr:uid="{00000000-0005-0000-0000-00006F2B0000}"/>
    <cellStyle name="Input 98 3 2" xfId="11741" xr:uid="{00000000-0005-0000-0000-0000702B0000}"/>
    <cellStyle name="Input 98 4" xfId="11742" xr:uid="{00000000-0005-0000-0000-0000712B0000}"/>
    <cellStyle name="Input 99" xfId="11743" xr:uid="{00000000-0005-0000-0000-0000722B0000}"/>
    <cellStyle name="Input 99 2" xfId="11744" xr:uid="{00000000-0005-0000-0000-0000732B0000}"/>
    <cellStyle name="Input 99 2 2" xfId="11745" xr:uid="{00000000-0005-0000-0000-0000742B0000}"/>
    <cellStyle name="Input 99 2 2 2" xfId="11746" xr:uid="{00000000-0005-0000-0000-0000752B0000}"/>
    <cellStyle name="Input 99 2 3" xfId="11747" xr:uid="{00000000-0005-0000-0000-0000762B0000}"/>
    <cellStyle name="Input 99 3" xfId="11748" xr:uid="{00000000-0005-0000-0000-0000772B0000}"/>
    <cellStyle name="Input 99 3 2" xfId="11749" xr:uid="{00000000-0005-0000-0000-0000782B0000}"/>
    <cellStyle name="Input 99 4" xfId="11750" xr:uid="{00000000-0005-0000-0000-0000792B0000}"/>
    <cellStyle name="IntegerNoZero" xfId="11751" xr:uid="{00000000-0005-0000-0000-00007A2B0000}"/>
    <cellStyle name="Linked" xfId="11752" xr:uid="{00000000-0005-0000-0000-00007B2B0000}"/>
    <cellStyle name="Linked 2" xfId="11753" xr:uid="{00000000-0005-0000-0000-00007C2B0000}"/>
    <cellStyle name="Linked Cell 2" xfId="11754" xr:uid="{00000000-0005-0000-0000-00007D2B0000}"/>
    <cellStyle name="Linked Cell 2 10" xfId="11755" xr:uid="{00000000-0005-0000-0000-00007E2B0000}"/>
    <cellStyle name="Linked Cell 2 10 2" xfId="11756" xr:uid="{00000000-0005-0000-0000-00007F2B0000}"/>
    <cellStyle name="Linked Cell 2 11" xfId="11757" xr:uid="{00000000-0005-0000-0000-0000802B0000}"/>
    <cellStyle name="Linked Cell 2 12" xfId="11758" xr:uid="{00000000-0005-0000-0000-0000812B0000}"/>
    <cellStyle name="Linked Cell 2 2" xfId="11759" xr:uid="{00000000-0005-0000-0000-0000822B0000}"/>
    <cellStyle name="Linked Cell 2 2 2" xfId="11760" xr:uid="{00000000-0005-0000-0000-0000832B0000}"/>
    <cellStyle name="Linked Cell 2 2 2 2" xfId="11761" xr:uid="{00000000-0005-0000-0000-0000842B0000}"/>
    <cellStyle name="Linked Cell 2 2 3" xfId="11762" xr:uid="{00000000-0005-0000-0000-0000852B0000}"/>
    <cellStyle name="Linked Cell 2 2 3 2" xfId="11763" xr:uid="{00000000-0005-0000-0000-0000862B0000}"/>
    <cellStyle name="Linked Cell 2 2 3 2 2" xfId="11764" xr:uid="{00000000-0005-0000-0000-0000872B0000}"/>
    <cellStyle name="Linked Cell 2 2 3 3" xfId="11765" xr:uid="{00000000-0005-0000-0000-0000882B0000}"/>
    <cellStyle name="Linked Cell 2 2 4" xfId="11766" xr:uid="{00000000-0005-0000-0000-0000892B0000}"/>
    <cellStyle name="Linked Cell 2 3" xfId="11767" xr:uid="{00000000-0005-0000-0000-00008A2B0000}"/>
    <cellStyle name="Linked Cell 2 3 2" xfId="11768" xr:uid="{00000000-0005-0000-0000-00008B2B0000}"/>
    <cellStyle name="Linked Cell 2 3 2 2" xfId="11769" xr:uid="{00000000-0005-0000-0000-00008C2B0000}"/>
    <cellStyle name="Linked Cell 2 3 3" xfId="11770" xr:uid="{00000000-0005-0000-0000-00008D2B0000}"/>
    <cellStyle name="Linked Cell 2 3 3 2" xfId="11771" xr:uid="{00000000-0005-0000-0000-00008E2B0000}"/>
    <cellStyle name="Linked Cell 2 3 3 2 2" xfId="11772" xr:uid="{00000000-0005-0000-0000-00008F2B0000}"/>
    <cellStyle name="Linked Cell 2 3 3 3" xfId="11773" xr:uid="{00000000-0005-0000-0000-0000902B0000}"/>
    <cellStyle name="Linked Cell 2 3 4" xfId="11774" xr:uid="{00000000-0005-0000-0000-0000912B0000}"/>
    <cellStyle name="Linked Cell 2 4" xfId="11775" xr:uid="{00000000-0005-0000-0000-0000922B0000}"/>
    <cellStyle name="Linked Cell 2 4 2" xfId="11776" xr:uid="{00000000-0005-0000-0000-0000932B0000}"/>
    <cellStyle name="Linked Cell 2 4 2 2" xfId="11777" xr:uid="{00000000-0005-0000-0000-0000942B0000}"/>
    <cellStyle name="Linked Cell 2 4 3" xfId="11778" xr:uid="{00000000-0005-0000-0000-0000952B0000}"/>
    <cellStyle name="Linked Cell 2 5" xfId="11779" xr:uid="{00000000-0005-0000-0000-0000962B0000}"/>
    <cellStyle name="Linked Cell 2 5 2" xfId="11780" xr:uid="{00000000-0005-0000-0000-0000972B0000}"/>
    <cellStyle name="Linked Cell 2 5 2 2" xfId="11781" xr:uid="{00000000-0005-0000-0000-0000982B0000}"/>
    <cellStyle name="Linked Cell 2 5 3" xfId="11782" xr:uid="{00000000-0005-0000-0000-0000992B0000}"/>
    <cellStyle name="Linked Cell 2 5 3 2" xfId="11783" xr:uid="{00000000-0005-0000-0000-00009A2B0000}"/>
    <cellStyle name="Linked Cell 2 5 3 2 2" xfId="11784" xr:uid="{00000000-0005-0000-0000-00009B2B0000}"/>
    <cellStyle name="Linked Cell 2 5 3 3" xfId="11785" xr:uid="{00000000-0005-0000-0000-00009C2B0000}"/>
    <cellStyle name="Linked Cell 2 5 4" xfId="11786" xr:uid="{00000000-0005-0000-0000-00009D2B0000}"/>
    <cellStyle name="Linked Cell 2 6" xfId="11787" xr:uid="{00000000-0005-0000-0000-00009E2B0000}"/>
    <cellStyle name="Linked Cell 2 6 2" xfId="11788" xr:uid="{00000000-0005-0000-0000-00009F2B0000}"/>
    <cellStyle name="Linked Cell 2 6 2 2" xfId="11789" xr:uid="{00000000-0005-0000-0000-0000A02B0000}"/>
    <cellStyle name="Linked Cell 2 6 3" xfId="11790" xr:uid="{00000000-0005-0000-0000-0000A12B0000}"/>
    <cellStyle name="Linked Cell 2 6 3 2" xfId="11791" xr:uid="{00000000-0005-0000-0000-0000A22B0000}"/>
    <cellStyle name="Linked Cell 2 6 4" xfId="11792" xr:uid="{00000000-0005-0000-0000-0000A32B0000}"/>
    <cellStyle name="Linked Cell 2 7" xfId="11793" xr:uid="{00000000-0005-0000-0000-0000A42B0000}"/>
    <cellStyle name="Linked Cell 2 7 2" xfId="11794" xr:uid="{00000000-0005-0000-0000-0000A52B0000}"/>
    <cellStyle name="Linked Cell 2 8" xfId="11795" xr:uid="{00000000-0005-0000-0000-0000A62B0000}"/>
    <cellStyle name="Linked Cell 2 8 2" xfId="11796" xr:uid="{00000000-0005-0000-0000-0000A72B0000}"/>
    <cellStyle name="Linked Cell 2 8 2 2" xfId="11797" xr:uid="{00000000-0005-0000-0000-0000A82B0000}"/>
    <cellStyle name="Linked Cell 2 8 3" xfId="11798" xr:uid="{00000000-0005-0000-0000-0000A92B0000}"/>
    <cellStyle name="Linked Cell 2 9" xfId="11799" xr:uid="{00000000-0005-0000-0000-0000AA2B0000}"/>
    <cellStyle name="Linked Cell 2 9 2" xfId="11800" xr:uid="{00000000-0005-0000-0000-0000AB2B0000}"/>
    <cellStyle name="Linked Cell 2 9 2 2" xfId="11801" xr:uid="{00000000-0005-0000-0000-0000AC2B0000}"/>
    <cellStyle name="Linked Cell 2 9 3" xfId="11802" xr:uid="{00000000-0005-0000-0000-0000AD2B0000}"/>
    <cellStyle name="Linked Cell 3" xfId="11803" xr:uid="{00000000-0005-0000-0000-0000AE2B0000}"/>
    <cellStyle name="Linked Cell 3 2" xfId="11804" xr:uid="{00000000-0005-0000-0000-0000AF2B0000}"/>
    <cellStyle name="Linked Cell 3 2 2" xfId="11805" xr:uid="{00000000-0005-0000-0000-0000B02B0000}"/>
    <cellStyle name="Linked Cell 3 3" xfId="11806" xr:uid="{00000000-0005-0000-0000-0000B12B0000}"/>
    <cellStyle name="Linked Cell 3 3 2" xfId="11807" xr:uid="{00000000-0005-0000-0000-0000B22B0000}"/>
    <cellStyle name="Linked Cell 3 4" xfId="11808" xr:uid="{00000000-0005-0000-0000-0000B32B0000}"/>
    <cellStyle name="Linked Cell 3 4 2" xfId="11809" xr:uid="{00000000-0005-0000-0000-0000B42B0000}"/>
    <cellStyle name="Linked Cell 3 4 2 2" xfId="11810" xr:uid="{00000000-0005-0000-0000-0000B52B0000}"/>
    <cellStyle name="Linked Cell 3 4 3" xfId="11811" xr:uid="{00000000-0005-0000-0000-0000B62B0000}"/>
    <cellStyle name="Linked Cell 3 5" xfId="11812" xr:uid="{00000000-0005-0000-0000-0000B72B0000}"/>
    <cellStyle name="Linked Cell 4" xfId="11813" xr:uid="{00000000-0005-0000-0000-0000B82B0000}"/>
    <cellStyle name="Linked Cell 4 2" xfId="11814" xr:uid="{00000000-0005-0000-0000-0000B92B0000}"/>
    <cellStyle name="Linked Cell 4 2 2" xfId="11815" xr:uid="{00000000-0005-0000-0000-0000BA2B0000}"/>
    <cellStyle name="Linked Cell 4 3" xfId="11816" xr:uid="{00000000-0005-0000-0000-0000BB2B0000}"/>
    <cellStyle name="Linked Cell 4 3 2" xfId="11817" xr:uid="{00000000-0005-0000-0000-0000BC2B0000}"/>
    <cellStyle name="Linked Cell 4 3 2 2" xfId="11818" xr:uid="{00000000-0005-0000-0000-0000BD2B0000}"/>
    <cellStyle name="Linked Cell 4 3 3" xfId="11819" xr:uid="{00000000-0005-0000-0000-0000BE2B0000}"/>
    <cellStyle name="Linked Cell 4 4" xfId="11820" xr:uid="{00000000-0005-0000-0000-0000BF2B0000}"/>
    <cellStyle name="Linked Cell 5" xfId="11821" xr:uid="{00000000-0005-0000-0000-0000C02B0000}"/>
    <cellStyle name="Linked Cell 5 2" xfId="11822" xr:uid="{00000000-0005-0000-0000-0000C12B0000}"/>
    <cellStyle name="Linked Cell 5 2 2" xfId="11823" xr:uid="{00000000-0005-0000-0000-0000C22B0000}"/>
    <cellStyle name="Linked Cell 5 3" xfId="11824" xr:uid="{00000000-0005-0000-0000-0000C32B0000}"/>
    <cellStyle name="Linked Cell 5 3 2" xfId="11825" xr:uid="{00000000-0005-0000-0000-0000C42B0000}"/>
    <cellStyle name="Linked Cell 5 3 2 2" xfId="11826" xr:uid="{00000000-0005-0000-0000-0000C52B0000}"/>
    <cellStyle name="Linked Cell 5 3 3" xfId="11827" xr:uid="{00000000-0005-0000-0000-0000C62B0000}"/>
    <cellStyle name="Linked Cell 5 4" xfId="11828" xr:uid="{00000000-0005-0000-0000-0000C72B0000}"/>
    <cellStyle name="Linked Cell 6" xfId="11829" xr:uid="{00000000-0005-0000-0000-0000C82B0000}"/>
    <cellStyle name="Linked Cell 6 2" xfId="11830" xr:uid="{00000000-0005-0000-0000-0000C92B0000}"/>
    <cellStyle name="Linked Cell 6 2 2" xfId="11831" xr:uid="{00000000-0005-0000-0000-0000CA2B0000}"/>
    <cellStyle name="Linked Cell 6 3" xfId="11832" xr:uid="{00000000-0005-0000-0000-0000CB2B0000}"/>
    <cellStyle name="Linked Cell 7" xfId="11833" xr:uid="{00000000-0005-0000-0000-0000CC2B0000}"/>
    <cellStyle name="Linked Cell 7 2" xfId="11834" xr:uid="{00000000-0005-0000-0000-0000CD2B0000}"/>
    <cellStyle name="Linked Cell 8" xfId="11835" xr:uid="{00000000-0005-0000-0000-0000CE2B0000}"/>
    <cellStyle name="Linked Cell 9" xfId="11836" xr:uid="{00000000-0005-0000-0000-0000CF2B0000}"/>
    <cellStyle name="Missing" xfId="11837" xr:uid="{00000000-0005-0000-0000-0000D02B0000}"/>
    <cellStyle name="Missing 2" xfId="11838" xr:uid="{00000000-0005-0000-0000-0000D12B0000}"/>
    <cellStyle name="mmmyy" xfId="11839" xr:uid="{00000000-0005-0000-0000-0000D22B0000}"/>
    <cellStyle name="Neutral 2" xfId="11840" xr:uid="{00000000-0005-0000-0000-0000D32B0000}"/>
    <cellStyle name="Neutral 2 10" xfId="11841" xr:uid="{00000000-0005-0000-0000-0000D42B0000}"/>
    <cellStyle name="Neutral 2 10 2" xfId="11842" xr:uid="{00000000-0005-0000-0000-0000D52B0000}"/>
    <cellStyle name="Neutral 2 11" xfId="11843" xr:uid="{00000000-0005-0000-0000-0000D62B0000}"/>
    <cellStyle name="Neutral 2 12" xfId="11844" xr:uid="{00000000-0005-0000-0000-0000D72B0000}"/>
    <cellStyle name="Neutral 2 2" xfId="11845" xr:uid="{00000000-0005-0000-0000-0000D82B0000}"/>
    <cellStyle name="Neutral 2 2 2" xfId="11846" xr:uid="{00000000-0005-0000-0000-0000D92B0000}"/>
    <cellStyle name="Neutral 2 2 2 2" xfId="11847" xr:uid="{00000000-0005-0000-0000-0000DA2B0000}"/>
    <cellStyle name="Neutral 2 2 3" xfId="11848" xr:uid="{00000000-0005-0000-0000-0000DB2B0000}"/>
    <cellStyle name="Neutral 2 2 3 2" xfId="11849" xr:uid="{00000000-0005-0000-0000-0000DC2B0000}"/>
    <cellStyle name="Neutral 2 2 3 2 2" xfId="11850" xr:uid="{00000000-0005-0000-0000-0000DD2B0000}"/>
    <cellStyle name="Neutral 2 2 3 3" xfId="11851" xr:uid="{00000000-0005-0000-0000-0000DE2B0000}"/>
    <cellStyle name="Neutral 2 2 4" xfId="11852" xr:uid="{00000000-0005-0000-0000-0000DF2B0000}"/>
    <cellStyle name="Neutral 2 2 4 2" xfId="11853" xr:uid="{00000000-0005-0000-0000-0000E02B0000}"/>
    <cellStyle name="Neutral 2 2 5" xfId="11854" xr:uid="{00000000-0005-0000-0000-0000E12B0000}"/>
    <cellStyle name="Neutral 2 3" xfId="11855" xr:uid="{00000000-0005-0000-0000-0000E22B0000}"/>
    <cellStyle name="Neutral 2 3 2" xfId="11856" xr:uid="{00000000-0005-0000-0000-0000E32B0000}"/>
    <cellStyle name="Neutral 2 3 2 2" xfId="11857" xr:uid="{00000000-0005-0000-0000-0000E42B0000}"/>
    <cellStyle name="Neutral 2 3 3" xfId="11858" xr:uid="{00000000-0005-0000-0000-0000E52B0000}"/>
    <cellStyle name="Neutral 2 3 3 2" xfId="11859" xr:uid="{00000000-0005-0000-0000-0000E62B0000}"/>
    <cellStyle name="Neutral 2 3 3 2 2" xfId="11860" xr:uid="{00000000-0005-0000-0000-0000E72B0000}"/>
    <cellStyle name="Neutral 2 3 3 3" xfId="11861" xr:uid="{00000000-0005-0000-0000-0000E82B0000}"/>
    <cellStyle name="Neutral 2 3 4" xfId="11862" xr:uid="{00000000-0005-0000-0000-0000E92B0000}"/>
    <cellStyle name="Neutral 2 4" xfId="11863" xr:uid="{00000000-0005-0000-0000-0000EA2B0000}"/>
    <cellStyle name="Neutral 2 4 2" xfId="11864" xr:uid="{00000000-0005-0000-0000-0000EB2B0000}"/>
    <cellStyle name="Neutral 2 4 2 2" xfId="11865" xr:uid="{00000000-0005-0000-0000-0000EC2B0000}"/>
    <cellStyle name="Neutral 2 4 3" xfId="11866" xr:uid="{00000000-0005-0000-0000-0000ED2B0000}"/>
    <cellStyle name="Neutral 2 5" xfId="11867" xr:uid="{00000000-0005-0000-0000-0000EE2B0000}"/>
    <cellStyle name="Neutral 2 5 2" xfId="11868" xr:uid="{00000000-0005-0000-0000-0000EF2B0000}"/>
    <cellStyle name="Neutral 2 5 2 2" xfId="11869" xr:uid="{00000000-0005-0000-0000-0000F02B0000}"/>
    <cellStyle name="Neutral 2 5 3" xfId="11870" xr:uid="{00000000-0005-0000-0000-0000F12B0000}"/>
    <cellStyle name="Neutral 2 5 3 2" xfId="11871" xr:uid="{00000000-0005-0000-0000-0000F22B0000}"/>
    <cellStyle name="Neutral 2 5 3 2 2" xfId="11872" xr:uid="{00000000-0005-0000-0000-0000F32B0000}"/>
    <cellStyle name="Neutral 2 5 3 3" xfId="11873" xr:uid="{00000000-0005-0000-0000-0000F42B0000}"/>
    <cellStyle name="Neutral 2 5 4" xfId="11874" xr:uid="{00000000-0005-0000-0000-0000F52B0000}"/>
    <cellStyle name="Neutral 2 6" xfId="11875" xr:uid="{00000000-0005-0000-0000-0000F62B0000}"/>
    <cellStyle name="Neutral 2 6 2" xfId="11876" xr:uid="{00000000-0005-0000-0000-0000F72B0000}"/>
    <cellStyle name="Neutral 2 6 2 2" xfId="11877" xr:uid="{00000000-0005-0000-0000-0000F82B0000}"/>
    <cellStyle name="Neutral 2 6 3" xfId="11878" xr:uid="{00000000-0005-0000-0000-0000F92B0000}"/>
    <cellStyle name="Neutral 2 6 3 2" xfId="11879" xr:uid="{00000000-0005-0000-0000-0000FA2B0000}"/>
    <cellStyle name="Neutral 2 6 4" xfId="11880" xr:uid="{00000000-0005-0000-0000-0000FB2B0000}"/>
    <cellStyle name="Neutral 2 7" xfId="11881" xr:uid="{00000000-0005-0000-0000-0000FC2B0000}"/>
    <cellStyle name="Neutral 2 7 2" xfId="11882" xr:uid="{00000000-0005-0000-0000-0000FD2B0000}"/>
    <cellStyle name="Neutral 2 8" xfId="11883" xr:uid="{00000000-0005-0000-0000-0000FE2B0000}"/>
    <cellStyle name="Neutral 2 8 2" xfId="11884" xr:uid="{00000000-0005-0000-0000-0000FF2B0000}"/>
    <cellStyle name="Neutral 2 8 2 2" xfId="11885" xr:uid="{00000000-0005-0000-0000-0000002C0000}"/>
    <cellStyle name="Neutral 2 8 3" xfId="11886" xr:uid="{00000000-0005-0000-0000-0000012C0000}"/>
    <cellStyle name="Neutral 2 9" xfId="11887" xr:uid="{00000000-0005-0000-0000-0000022C0000}"/>
    <cellStyle name="Neutral 2 9 2" xfId="11888" xr:uid="{00000000-0005-0000-0000-0000032C0000}"/>
    <cellStyle name="Neutral 2 9 2 2" xfId="11889" xr:uid="{00000000-0005-0000-0000-0000042C0000}"/>
    <cellStyle name="Neutral 2 9 3" xfId="11890" xr:uid="{00000000-0005-0000-0000-0000052C0000}"/>
    <cellStyle name="Neutral 3" xfId="11891" xr:uid="{00000000-0005-0000-0000-0000062C0000}"/>
    <cellStyle name="Neutral 3 2" xfId="11892" xr:uid="{00000000-0005-0000-0000-0000072C0000}"/>
    <cellStyle name="Neutral 3 2 2" xfId="11893" xr:uid="{00000000-0005-0000-0000-0000082C0000}"/>
    <cellStyle name="Neutral 3 3" xfId="11894" xr:uid="{00000000-0005-0000-0000-0000092C0000}"/>
    <cellStyle name="Neutral 3 3 2" xfId="11895" xr:uid="{00000000-0005-0000-0000-00000A2C0000}"/>
    <cellStyle name="Neutral 3 4" xfId="11896" xr:uid="{00000000-0005-0000-0000-00000B2C0000}"/>
    <cellStyle name="Neutral 3 4 2" xfId="11897" xr:uid="{00000000-0005-0000-0000-00000C2C0000}"/>
    <cellStyle name="Neutral 3 4 2 2" xfId="11898" xr:uid="{00000000-0005-0000-0000-00000D2C0000}"/>
    <cellStyle name="Neutral 3 4 3" xfId="11899" xr:uid="{00000000-0005-0000-0000-00000E2C0000}"/>
    <cellStyle name="Neutral 3 5" xfId="11900" xr:uid="{00000000-0005-0000-0000-00000F2C0000}"/>
    <cellStyle name="Neutral 4" xfId="11901" xr:uid="{00000000-0005-0000-0000-0000102C0000}"/>
    <cellStyle name="Neutral 4 2" xfId="11902" xr:uid="{00000000-0005-0000-0000-0000112C0000}"/>
    <cellStyle name="Neutral 4 2 2" xfId="11903" xr:uid="{00000000-0005-0000-0000-0000122C0000}"/>
    <cellStyle name="Neutral 4 3" xfId="11904" xr:uid="{00000000-0005-0000-0000-0000132C0000}"/>
    <cellStyle name="Neutral 4 3 2" xfId="11905" xr:uid="{00000000-0005-0000-0000-0000142C0000}"/>
    <cellStyle name="Neutral 4 3 2 2" xfId="11906" xr:uid="{00000000-0005-0000-0000-0000152C0000}"/>
    <cellStyle name="Neutral 4 3 3" xfId="11907" xr:uid="{00000000-0005-0000-0000-0000162C0000}"/>
    <cellStyle name="Neutral 4 4" xfId="11908" xr:uid="{00000000-0005-0000-0000-0000172C0000}"/>
    <cellStyle name="Neutral 5" xfId="11909" xr:uid="{00000000-0005-0000-0000-0000182C0000}"/>
    <cellStyle name="Neutral 5 2" xfId="11910" xr:uid="{00000000-0005-0000-0000-0000192C0000}"/>
    <cellStyle name="Neutral 5 2 2" xfId="11911" xr:uid="{00000000-0005-0000-0000-00001A2C0000}"/>
    <cellStyle name="Neutral 5 3" xfId="11912" xr:uid="{00000000-0005-0000-0000-00001B2C0000}"/>
    <cellStyle name="Neutral 5 3 2" xfId="11913" xr:uid="{00000000-0005-0000-0000-00001C2C0000}"/>
    <cellStyle name="Neutral 5 3 2 2" xfId="11914" xr:uid="{00000000-0005-0000-0000-00001D2C0000}"/>
    <cellStyle name="Neutral 5 3 3" xfId="11915" xr:uid="{00000000-0005-0000-0000-00001E2C0000}"/>
    <cellStyle name="Neutral 5 4" xfId="11916" xr:uid="{00000000-0005-0000-0000-00001F2C0000}"/>
    <cellStyle name="Neutral 6" xfId="11917" xr:uid="{00000000-0005-0000-0000-0000202C0000}"/>
    <cellStyle name="Neutral 6 2" xfId="11918" xr:uid="{00000000-0005-0000-0000-0000212C0000}"/>
    <cellStyle name="Neutral 6 2 2" xfId="11919" xr:uid="{00000000-0005-0000-0000-0000222C0000}"/>
    <cellStyle name="Neutral 6 3" xfId="11920" xr:uid="{00000000-0005-0000-0000-0000232C0000}"/>
    <cellStyle name="Neutral 7" xfId="11921" xr:uid="{00000000-0005-0000-0000-0000242C0000}"/>
    <cellStyle name="Neutral 7 2" xfId="11922" xr:uid="{00000000-0005-0000-0000-0000252C0000}"/>
    <cellStyle name="Neutral 8" xfId="11923" xr:uid="{00000000-0005-0000-0000-0000262C0000}"/>
    <cellStyle name="Neutral 9" xfId="11924" xr:uid="{00000000-0005-0000-0000-0000272C0000}"/>
    <cellStyle name="no dec" xfId="11925" xr:uid="{00000000-0005-0000-0000-0000282C0000}"/>
    <cellStyle name="Normal" xfId="0" builtinId="0"/>
    <cellStyle name="Normal - Style1" xfId="11926" xr:uid="{00000000-0005-0000-0000-00002A2C0000}"/>
    <cellStyle name="Normal - Style1 2" xfId="11927" xr:uid="{00000000-0005-0000-0000-00002B2C0000}"/>
    <cellStyle name="Normal - Style1 2 2" xfId="11928" xr:uid="{00000000-0005-0000-0000-00002C2C0000}"/>
    <cellStyle name="Normal 10" xfId="125" xr:uid="{00000000-0005-0000-0000-00002D2C0000}"/>
    <cellStyle name="Normal 10 2" xfId="11929" xr:uid="{00000000-0005-0000-0000-00002E2C0000}"/>
    <cellStyle name="Normal 10 2 2" xfId="11930" xr:uid="{00000000-0005-0000-0000-00002F2C0000}"/>
    <cellStyle name="Normal 10 2 2 2" xfId="11931" xr:uid="{00000000-0005-0000-0000-0000302C0000}"/>
    <cellStyle name="Normal 10 2 3" xfId="11932" xr:uid="{00000000-0005-0000-0000-0000312C0000}"/>
    <cellStyle name="Normal 10 2 3 2" xfId="11933" xr:uid="{00000000-0005-0000-0000-0000322C0000}"/>
    <cellStyle name="Normal 10 2 3 2 2" xfId="11934" xr:uid="{00000000-0005-0000-0000-0000332C0000}"/>
    <cellStyle name="Normal 10 2 3 3" xfId="11935" xr:uid="{00000000-0005-0000-0000-0000342C0000}"/>
    <cellStyle name="Normal 10 2 4" xfId="11936" xr:uid="{00000000-0005-0000-0000-0000352C0000}"/>
    <cellStyle name="Normal 10 3" xfId="11937" xr:uid="{00000000-0005-0000-0000-0000362C0000}"/>
    <cellStyle name="Normal 10 3 2" xfId="11938" xr:uid="{00000000-0005-0000-0000-0000372C0000}"/>
    <cellStyle name="Normal 10 3 2 2" xfId="11939" xr:uid="{00000000-0005-0000-0000-0000382C0000}"/>
    <cellStyle name="Normal 10 3 2 2 2" xfId="11940" xr:uid="{00000000-0005-0000-0000-0000392C0000}"/>
    <cellStyle name="Normal 10 3 2 3" xfId="11941" xr:uid="{00000000-0005-0000-0000-00003A2C0000}"/>
    <cellStyle name="Normal 10 3 3" xfId="11942" xr:uid="{00000000-0005-0000-0000-00003B2C0000}"/>
    <cellStyle name="Normal 10 3 3 2" xfId="11943" xr:uid="{00000000-0005-0000-0000-00003C2C0000}"/>
    <cellStyle name="Normal 10 3 3 2 2" xfId="11944" xr:uid="{00000000-0005-0000-0000-00003D2C0000}"/>
    <cellStyle name="Normal 10 3 3 3" xfId="11945" xr:uid="{00000000-0005-0000-0000-00003E2C0000}"/>
    <cellStyle name="Normal 10 3 4" xfId="11946" xr:uid="{00000000-0005-0000-0000-00003F2C0000}"/>
    <cellStyle name="Normal 10 4" xfId="11947" xr:uid="{00000000-0005-0000-0000-0000402C0000}"/>
    <cellStyle name="Normal 10 4 2" xfId="11948" xr:uid="{00000000-0005-0000-0000-0000412C0000}"/>
    <cellStyle name="Normal 10 5" xfId="11949" xr:uid="{00000000-0005-0000-0000-0000422C0000}"/>
    <cellStyle name="Normal 10 5 2" xfId="11950" xr:uid="{00000000-0005-0000-0000-0000432C0000}"/>
    <cellStyle name="Normal 10 5 2 2" xfId="11951" xr:uid="{00000000-0005-0000-0000-0000442C0000}"/>
    <cellStyle name="Normal 10 5 3" xfId="11952" xr:uid="{00000000-0005-0000-0000-0000452C0000}"/>
    <cellStyle name="Normal 10 6" xfId="135" xr:uid="{00000000-0005-0000-0000-0000462C0000}"/>
    <cellStyle name="Normal 10 6 2" xfId="11953" xr:uid="{00000000-0005-0000-0000-0000472C0000}"/>
    <cellStyle name="Normal 10 6 2 2" xfId="11954" xr:uid="{00000000-0005-0000-0000-0000482C0000}"/>
    <cellStyle name="Normal 10 6 3" xfId="11955" xr:uid="{00000000-0005-0000-0000-0000492C0000}"/>
    <cellStyle name="Normal 10 7" xfId="11956" xr:uid="{00000000-0005-0000-0000-00004A2C0000}"/>
    <cellStyle name="Normal 10 7 2" xfId="11957" xr:uid="{00000000-0005-0000-0000-00004B2C0000}"/>
    <cellStyle name="Normal 10 7 2 2" xfId="11958" xr:uid="{00000000-0005-0000-0000-00004C2C0000}"/>
    <cellStyle name="Normal 10 7 3" xfId="11959" xr:uid="{00000000-0005-0000-0000-00004D2C0000}"/>
    <cellStyle name="Normal 10 8" xfId="11960" xr:uid="{00000000-0005-0000-0000-00004E2C0000}"/>
    <cellStyle name="Normal 10 9" xfId="670" xr:uid="{00000000-0005-0000-0000-00004F2C0000}"/>
    <cellStyle name="Normal 100" xfId="11961" xr:uid="{00000000-0005-0000-0000-0000502C0000}"/>
    <cellStyle name="Normal 100 2" xfId="11962" xr:uid="{00000000-0005-0000-0000-0000512C0000}"/>
    <cellStyle name="Normal 100 2 2" xfId="11963" xr:uid="{00000000-0005-0000-0000-0000522C0000}"/>
    <cellStyle name="Normal 100 2 2 2" xfId="11964" xr:uid="{00000000-0005-0000-0000-0000532C0000}"/>
    <cellStyle name="Normal 100 2 3" xfId="11965" xr:uid="{00000000-0005-0000-0000-0000542C0000}"/>
    <cellStyle name="Normal 100 3" xfId="11966" xr:uid="{00000000-0005-0000-0000-0000552C0000}"/>
    <cellStyle name="Normal 100 3 2" xfId="11967" xr:uid="{00000000-0005-0000-0000-0000562C0000}"/>
    <cellStyle name="Normal 100 3 2 2" xfId="11968" xr:uid="{00000000-0005-0000-0000-0000572C0000}"/>
    <cellStyle name="Normal 100 3 3" xfId="11969" xr:uid="{00000000-0005-0000-0000-0000582C0000}"/>
    <cellStyle name="Normal 100 3 3 2" xfId="11970" xr:uid="{00000000-0005-0000-0000-0000592C0000}"/>
    <cellStyle name="Normal 100 3 3 2 2" xfId="11971" xr:uid="{00000000-0005-0000-0000-00005A2C0000}"/>
    <cellStyle name="Normal 100 3 3 3" xfId="11972" xr:uid="{00000000-0005-0000-0000-00005B2C0000}"/>
    <cellStyle name="Normal 100 3 4" xfId="11973" xr:uid="{00000000-0005-0000-0000-00005C2C0000}"/>
    <cellStyle name="Normal 100 4" xfId="11974" xr:uid="{00000000-0005-0000-0000-00005D2C0000}"/>
    <cellStyle name="Normal 100 4 2" xfId="11975" xr:uid="{00000000-0005-0000-0000-00005E2C0000}"/>
    <cellStyle name="Normal 100 4 2 2" xfId="11976" xr:uid="{00000000-0005-0000-0000-00005F2C0000}"/>
    <cellStyle name="Normal 100 4 3" xfId="11977" xr:uid="{00000000-0005-0000-0000-0000602C0000}"/>
    <cellStyle name="Normal 100 5" xfId="11978" xr:uid="{00000000-0005-0000-0000-0000612C0000}"/>
    <cellStyle name="Normal 101" xfId="11979" xr:uid="{00000000-0005-0000-0000-0000622C0000}"/>
    <cellStyle name="Normal 101 2" xfId="11980" xr:uid="{00000000-0005-0000-0000-0000632C0000}"/>
    <cellStyle name="Normal 101 2 2" xfId="11981" xr:uid="{00000000-0005-0000-0000-0000642C0000}"/>
    <cellStyle name="Normal 101 2 2 2" xfId="11982" xr:uid="{00000000-0005-0000-0000-0000652C0000}"/>
    <cellStyle name="Normal 101 2 3" xfId="11983" xr:uid="{00000000-0005-0000-0000-0000662C0000}"/>
    <cellStyle name="Normal 101 3" xfId="11984" xr:uid="{00000000-0005-0000-0000-0000672C0000}"/>
    <cellStyle name="Normal 101 3 2" xfId="11985" xr:uid="{00000000-0005-0000-0000-0000682C0000}"/>
    <cellStyle name="Normal 101 3 2 2" xfId="11986" xr:uid="{00000000-0005-0000-0000-0000692C0000}"/>
    <cellStyle name="Normal 101 3 3" xfId="11987" xr:uid="{00000000-0005-0000-0000-00006A2C0000}"/>
    <cellStyle name="Normal 101 3 3 2" xfId="11988" xr:uid="{00000000-0005-0000-0000-00006B2C0000}"/>
    <cellStyle name="Normal 101 3 3 2 2" xfId="11989" xr:uid="{00000000-0005-0000-0000-00006C2C0000}"/>
    <cellStyle name="Normal 101 3 3 3" xfId="11990" xr:uid="{00000000-0005-0000-0000-00006D2C0000}"/>
    <cellStyle name="Normal 101 3 4" xfId="11991" xr:uid="{00000000-0005-0000-0000-00006E2C0000}"/>
    <cellStyle name="Normal 101 4" xfId="11992" xr:uid="{00000000-0005-0000-0000-00006F2C0000}"/>
    <cellStyle name="Normal 101 4 2" xfId="11993" xr:uid="{00000000-0005-0000-0000-0000702C0000}"/>
    <cellStyle name="Normal 101 4 2 2" xfId="11994" xr:uid="{00000000-0005-0000-0000-0000712C0000}"/>
    <cellStyle name="Normal 101 4 3" xfId="11995" xr:uid="{00000000-0005-0000-0000-0000722C0000}"/>
    <cellStyle name="Normal 101 5" xfId="11996" xr:uid="{00000000-0005-0000-0000-0000732C0000}"/>
    <cellStyle name="Normal 102" xfId="11997" xr:uid="{00000000-0005-0000-0000-0000742C0000}"/>
    <cellStyle name="Normal 102 2" xfId="11998" xr:uid="{00000000-0005-0000-0000-0000752C0000}"/>
    <cellStyle name="Normal 102 2 2" xfId="11999" xr:uid="{00000000-0005-0000-0000-0000762C0000}"/>
    <cellStyle name="Normal 102 2 2 2" xfId="12000" xr:uid="{00000000-0005-0000-0000-0000772C0000}"/>
    <cellStyle name="Normal 102 2 3" xfId="12001" xr:uid="{00000000-0005-0000-0000-0000782C0000}"/>
    <cellStyle name="Normal 102 3" xfId="12002" xr:uid="{00000000-0005-0000-0000-0000792C0000}"/>
    <cellStyle name="Normal 102 3 2" xfId="12003" xr:uid="{00000000-0005-0000-0000-00007A2C0000}"/>
    <cellStyle name="Normal 102 3 2 2" xfId="12004" xr:uid="{00000000-0005-0000-0000-00007B2C0000}"/>
    <cellStyle name="Normal 102 3 3" xfId="12005" xr:uid="{00000000-0005-0000-0000-00007C2C0000}"/>
    <cellStyle name="Normal 102 3 3 2" xfId="12006" xr:uid="{00000000-0005-0000-0000-00007D2C0000}"/>
    <cellStyle name="Normal 102 3 3 2 2" xfId="12007" xr:uid="{00000000-0005-0000-0000-00007E2C0000}"/>
    <cellStyle name="Normal 102 3 3 3" xfId="12008" xr:uid="{00000000-0005-0000-0000-00007F2C0000}"/>
    <cellStyle name="Normal 102 3 4" xfId="12009" xr:uid="{00000000-0005-0000-0000-0000802C0000}"/>
    <cellStyle name="Normal 102 4" xfId="12010" xr:uid="{00000000-0005-0000-0000-0000812C0000}"/>
    <cellStyle name="Normal 102 4 2" xfId="12011" xr:uid="{00000000-0005-0000-0000-0000822C0000}"/>
    <cellStyle name="Normal 102 4 2 2" xfId="12012" xr:uid="{00000000-0005-0000-0000-0000832C0000}"/>
    <cellStyle name="Normal 102 4 3" xfId="12013" xr:uid="{00000000-0005-0000-0000-0000842C0000}"/>
    <cellStyle name="Normal 102 5" xfId="12014" xr:uid="{00000000-0005-0000-0000-0000852C0000}"/>
    <cellStyle name="Normal 103" xfId="12015" xr:uid="{00000000-0005-0000-0000-0000862C0000}"/>
    <cellStyle name="Normal 103 2" xfId="12016" xr:uid="{00000000-0005-0000-0000-0000872C0000}"/>
    <cellStyle name="Normal 103 2 2" xfId="12017" xr:uid="{00000000-0005-0000-0000-0000882C0000}"/>
    <cellStyle name="Normal 103 2 2 2" xfId="12018" xr:uid="{00000000-0005-0000-0000-0000892C0000}"/>
    <cellStyle name="Normal 103 2 3" xfId="12019" xr:uid="{00000000-0005-0000-0000-00008A2C0000}"/>
    <cellStyle name="Normal 103 3" xfId="12020" xr:uid="{00000000-0005-0000-0000-00008B2C0000}"/>
    <cellStyle name="Normal 103 3 2" xfId="12021" xr:uid="{00000000-0005-0000-0000-00008C2C0000}"/>
    <cellStyle name="Normal 103 3 2 2" xfId="12022" xr:uid="{00000000-0005-0000-0000-00008D2C0000}"/>
    <cellStyle name="Normal 103 3 3" xfId="12023" xr:uid="{00000000-0005-0000-0000-00008E2C0000}"/>
    <cellStyle name="Normal 103 3 3 2" xfId="12024" xr:uid="{00000000-0005-0000-0000-00008F2C0000}"/>
    <cellStyle name="Normal 103 3 3 2 2" xfId="12025" xr:uid="{00000000-0005-0000-0000-0000902C0000}"/>
    <cellStyle name="Normal 103 3 3 3" xfId="12026" xr:uid="{00000000-0005-0000-0000-0000912C0000}"/>
    <cellStyle name="Normal 103 3 4" xfId="12027" xr:uid="{00000000-0005-0000-0000-0000922C0000}"/>
    <cellStyle name="Normal 103 4" xfId="12028" xr:uid="{00000000-0005-0000-0000-0000932C0000}"/>
    <cellStyle name="Normal 103 4 2" xfId="12029" xr:uid="{00000000-0005-0000-0000-0000942C0000}"/>
    <cellStyle name="Normal 103 4 2 2" xfId="12030" xr:uid="{00000000-0005-0000-0000-0000952C0000}"/>
    <cellStyle name="Normal 103 4 3" xfId="12031" xr:uid="{00000000-0005-0000-0000-0000962C0000}"/>
    <cellStyle name="Normal 103 5" xfId="12032" xr:uid="{00000000-0005-0000-0000-0000972C0000}"/>
    <cellStyle name="Normal 104" xfId="12033" xr:uid="{00000000-0005-0000-0000-0000982C0000}"/>
    <cellStyle name="Normal 104 2" xfId="12034" xr:uid="{00000000-0005-0000-0000-0000992C0000}"/>
    <cellStyle name="Normal 104 2 2" xfId="12035" xr:uid="{00000000-0005-0000-0000-00009A2C0000}"/>
    <cellStyle name="Normal 104 2 2 2" xfId="12036" xr:uid="{00000000-0005-0000-0000-00009B2C0000}"/>
    <cellStyle name="Normal 104 2 3" xfId="12037" xr:uid="{00000000-0005-0000-0000-00009C2C0000}"/>
    <cellStyle name="Normal 104 3" xfId="12038" xr:uid="{00000000-0005-0000-0000-00009D2C0000}"/>
    <cellStyle name="Normal 104 3 2" xfId="12039" xr:uid="{00000000-0005-0000-0000-00009E2C0000}"/>
    <cellStyle name="Normal 104 3 2 2" xfId="12040" xr:uid="{00000000-0005-0000-0000-00009F2C0000}"/>
    <cellStyle name="Normal 104 3 3" xfId="12041" xr:uid="{00000000-0005-0000-0000-0000A02C0000}"/>
    <cellStyle name="Normal 104 3 3 2" xfId="12042" xr:uid="{00000000-0005-0000-0000-0000A12C0000}"/>
    <cellStyle name="Normal 104 3 3 2 2" xfId="12043" xr:uid="{00000000-0005-0000-0000-0000A22C0000}"/>
    <cellStyle name="Normal 104 3 3 3" xfId="12044" xr:uid="{00000000-0005-0000-0000-0000A32C0000}"/>
    <cellStyle name="Normal 104 3 4" xfId="12045" xr:uid="{00000000-0005-0000-0000-0000A42C0000}"/>
    <cellStyle name="Normal 104 4" xfId="12046" xr:uid="{00000000-0005-0000-0000-0000A52C0000}"/>
    <cellStyle name="Normal 104 4 2" xfId="12047" xr:uid="{00000000-0005-0000-0000-0000A62C0000}"/>
    <cellStyle name="Normal 104 4 2 2" xfId="12048" xr:uid="{00000000-0005-0000-0000-0000A72C0000}"/>
    <cellStyle name="Normal 104 4 3" xfId="12049" xr:uid="{00000000-0005-0000-0000-0000A82C0000}"/>
    <cellStyle name="Normal 104 5" xfId="12050" xr:uid="{00000000-0005-0000-0000-0000A92C0000}"/>
    <cellStyle name="Normal 105" xfId="12051" xr:uid="{00000000-0005-0000-0000-0000AA2C0000}"/>
    <cellStyle name="Normal 105 2" xfId="12052" xr:uid="{00000000-0005-0000-0000-0000AB2C0000}"/>
    <cellStyle name="Normal 105 2 2" xfId="12053" xr:uid="{00000000-0005-0000-0000-0000AC2C0000}"/>
    <cellStyle name="Normal 105 2 2 2" xfId="12054" xr:uid="{00000000-0005-0000-0000-0000AD2C0000}"/>
    <cellStyle name="Normal 105 2 3" xfId="12055" xr:uid="{00000000-0005-0000-0000-0000AE2C0000}"/>
    <cellStyle name="Normal 105 3" xfId="12056" xr:uid="{00000000-0005-0000-0000-0000AF2C0000}"/>
    <cellStyle name="Normal 105 3 2" xfId="12057" xr:uid="{00000000-0005-0000-0000-0000B02C0000}"/>
    <cellStyle name="Normal 105 3 2 2" xfId="12058" xr:uid="{00000000-0005-0000-0000-0000B12C0000}"/>
    <cellStyle name="Normal 105 3 3" xfId="12059" xr:uid="{00000000-0005-0000-0000-0000B22C0000}"/>
    <cellStyle name="Normal 105 3 3 2" xfId="12060" xr:uid="{00000000-0005-0000-0000-0000B32C0000}"/>
    <cellStyle name="Normal 105 3 3 2 2" xfId="12061" xr:uid="{00000000-0005-0000-0000-0000B42C0000}"/>
    <cellStyle name="Normal 105 3 3 3" xfId="12062" xr:uid="{00000000-0005-0000-0000-0000B52C0000}"/>
    <cellStyle name="Normal 105 3 4" xfId="12063" xr:uid="{00000000-0005-0000-0000-0000B62C0000}"/>
    <cellStyle name="Normal 105 4" xfId="12064" xr:uid="{00000000-0005-0000-0000-0000B72C0000}"/>
    <cellStyle name="Normal 105 4 2" xfId="12065" xr:uid="{00000000-0005-0000-0000-0000B82C0000}"/>
    <cellStyle name="Normal 105 4 2 2" xfId="12066" xr:uid="{00000000-0005-0000-0000-0000B92C0000}"/>
    <cellStyle name="Normal 105 4 3" xfId="12067" xr:uid="{00000000-0005-0000-0000-0000BA2C0000}"/>
    <cellStyle name="Normal 105 5" xfId="12068" xr:uid="{00000000-0005-0000-0000-0000BB2C0000}"/>
    <cellStyle name="Normal 106" xfId="12069" xr:uid="{00000000-0005-0000-0000-0000BC2C0000}"/>
    <cellStyle name="Normal 106 2" xfId="12070" xr:uid="{00000000-0005-0000-0000-0000BD2C0000}"/>
    <cellStyle name="Normal 106 2 2" xfId="12071" xr:uid="{00000000-0005-0000-0000-0000BE2C0000}"/>
    <cellStyle name="Normal 106 2 2 2" xfId="12072" xr:uid="{00000000-0005-0000-0000-0000BF2C0000}"/>
    <cellStyle name="Normal 106 2 3" xfId="12073" xr:uid="{00000000-0005-0000-0000-0000C02C0000}"/>
    <cellStyle name="Normal 106 3" xfId="12074" xr:uid="{00000000-0005-0000-0000-0000C12C0000}"/>
    <cellStyle name="Normal 106 3 2" xfId="12075" xr:uid="{00000000-0005-0000-0000-0000C22C0000}"/>
    <cellStyle name="Normal 106 3 2 2" xfId="12076" xr:uid="{00000000-0005-0000-0000-0000C32C0000}"/>
    <cellStyle name="Normal 106 3 3" xfId="12077" xr:uid="{00000000-0005-0000-0000-0000C42C0000}"/>
    <cellStyle name="Normal 106 3 3 2" xfId="12078" xr:uid="{00000000-0005-0000-0000-0000C52C0000}"/>
    <cellStyle name="Normal 106 3 3 2 2" xfId="12079" xr:uid="{00000000-0005-0000-0000-0000C62C0000}"/>
    <cellStyle name="Normal 106 3 3 3" xfId="12080" xr:uid="{00000000-0005-0000-0000-0000C72C0000}"/>
    <cellStyle name="Normal 106 3 4" xfId="12081" xr:uid="{00000000-0005-0000-0000-0000C82C0000}"/>
    <cellStyle name="Normal 106 4" xfId="12082" xr:uid="{00000000-0005-0000-0000-0000C92C0000}"/>
    <cellStyle name="Normal 106 4 2" xfId="12083" xr:uid="{00000000-0005-0000-0000-0000CA2C0000}"/>
    <cellStyle name="Normal 106 4 2 2" xfId="12084" xr:uid="{00000000-0005-0000-0000-0000CB2C0000}"/>
    <cellStyle name="Normal 106 4 3" xfId="12085" xr:uid="{00000000-0005-0000-0000-0000CC2C0000}"/>
    <cellStyle name="Normal 106 5" xfId="12086" xr:uid="{00000000-0005-0000-0000-0000CD2C0000}"/>
    <cellStyle name="Normal 107" xfId="12087" xr:uid="{00000000-0005-0000-0000-0000CE2C0000}"/>
    <cellStyle name="Normal 107 2" xfId="12088" xr:uid="{00000000-0005-0000-0000-0000CF2C0000}"/>
    <cellStyle name="Normal 107 2 2" xfId="12089" xr:uid="{00000000-0005-0000-0000-0000D02C0000}"/>
    <cellStyle name="Normal 107 2 2 2" xfId="12090" xr:uid="{00000000-0005-0000-0000-0000D12C0000}"/>
    <cellStyle name="Normal 107 2 3" xfId="12091" xr:uid="{00000000-0005-0000-0000-0000D22C0000}"/>
    <cellStyle name="Normal 107 3" xfId="12092" xr:uid="{00000000-0005-0000-0000-0000D32C0000}"/>
    <cellStyle name="Normal 107 3 2" xfId="12093" xr:uid="{00000000-0005-0000-0000-0000D42C0000}"/>
    <cellStyle name="Normal 107 3 2 2" xfId="12094" xr:uid="{00000000-0005-0000-0000-0000D52C0000}"/>
    <cellStyle name="Normal 107 3 3" xfId="12095" xr:uid="{00000000-0005-0000-0000-0000D62C0000}"/>
    <cellStyle name="Normal 107 3 3 2" xfId="12096" xr:uid="{00000000-0005-0000-0000-0000D72C0000}"/>
    <cellStyle name="Normal 107 3 3 2 2" xfId="12097" xr:uid="{00000000-0005-0000-0000-0000D82C0000}"/>
    <cellStyle name="Normal 107 3 3 3" xfId="12098" xr:uid="{00000000-0005-0000-0000-0000D92C0000}"/>
    <cellStyle name="Normal 107 3 4" xfId="12099" xr:uid="{00000000-0005-0000-0000-0000DA2C0000}"/>
    <cellStyle name="Normal 107 4" xfId="12100" xr:uid="{00000000-0005-0000-0000-0000DB2C0000}"/>
    <cellStyle name="Normal 107 4 2" xfId="12101" xr:uid="{00000000-0005-0000-0000-0000DC2C0000}"/>
    <cellStyle name="Normal 107 4 2 2" xfId="12102" xr:uid="{00000000-0005-0000-0000-0000DD2C0000}"/>
    <cellStyle name="Normal 107 4 3" xfId="12103" xr:uid="{00000000-0005-0000-0000-0000DE2C0000}"/>
    <cellStyle name="Normal 107 5" xfId="12104" xr:uid="{00000000-0005-0000-0000-0000DF2C0000}"/>
    <cellStyle name="Normal 108" xfId="12105" xr:uid="{00000000-0005-0000-0000-0000E02C0000}"/>
    <cellStyle name="Normal 108 2" xfId="12106" xr:uid="{00000000-0005-0000-0000-0000E12C0000}"/>
    <cellStyle name="Normal 108 2 2" xfId="12107" xr:uid="{00000000-0005-0000-0000-0000E22C0000}"/>
    <cellStyle name="Normal 108 2 2 2" xfId="12108" xr:uid="{00000000-0005-0000-0000-0000E32C0000}"/>
    <cellStyle name="Normal 108 2 3" xfId="12109" xr:uid="{00000000-0005-0000-0000-0000E42C0000}"/>
    <cellStyle name="Normal 108 3" xfId="12110" xr:uid="{00000000-0005-0000-0000-0000E52C0000}"/>
    <cellStyle name="Normal 108 3 2" xfId="12111" xr:uid="{00000000-0005-0000-0000-0000E62C0000}"/>
    <cellStyle name="Normal 108 3 2 2" xfId="12112" xr:uid="{00000000-0005-0000-0000-0000E72C0000}"/>
    <cellStyle name="Normal 108 3 3" xfId="12113" xr:uid="{00000000-0005-0000-0000-0000E82C0000}"/>
    <cellStyle name="Normal 108 3 3 2" xfId="12114" xr:uid="{00000000-0005-0000-0000-0000E92C0000}"/>
    <cellStyle name="Normal 108 3 3 2 2" xfId="12115" xr:uid="{00000000-0005-0000-0000-0000EA2C0000}"/>
    <cellStyle name="Normal 108 3 3 3" xfId="12116" xr:uid="{00000000-0005-0000-0000-0000EB2C0000}"/>
    <cellStyle name="Normal 108 3 4" xfId="12117" xr:uid="{00000000-0005-0000-0000-0000EC2C0000}"/>
    <cellStyle name="Normal 108 4" xfId="12118" xr:uid="{00000000-0005-0000-0000-0000ED2C0000}"/>
    <cellStyle name="Normal 108 4 2" xfId="12119" xr:uid="{00000000-0005-0000-0000-0000EE2C0000}"/>
    <cellStyle name="Normal 108 4 2 2" xfId="12120" xr:uid="{00000000-0005-0000-0000-0000EF2C0000}"/>
    <cellStyle name="Normal 108 4 3" xfId="12121" xr:uid="{00000000-0005-0000-0000-0000F02C0000}"/>
    <cellStyle name="Normal 108 5" xfId="12122" xr:uid="{00000000-0005-0000-0000-0000F12C0000}"/>
    <cellStyle name="Normal 109" xfId="12123" xr:uid="{00000000-0005-0000-0000-0000F22C0000}"/>
    <cellStyle name="Normal 109 2" xfId="12124" xr:uid="{00000000-0005-0000-0000-0000F32C0000}"/>
    <cellStyle name="Normal 109 2 2" xfId="12125" xr:uid="{00000000-0005-0000-0000-0000F42C0000}"/>
    <cellStyle name="Normal 109 2 2 2" xfId="12126" xr:uid="{00000000-0005-0000-0000-0000F52C0000}"/>
    <cellStyle name="Normal 109 2 3" xfId="12127" xr:uid="{00000000-0005-0000-0000-0000F62C0000}"/>
    <cellStyle name="Normal 109 3" xfId="12128" xr:uid="{00000000-0005-0000-0000-0000F72C0000}"/>
    <cellStyle name="Normal 109 3 2" xfId="12129" xr:uid="{00000000-0005-0000-0000-0000F82C0000}"/>
    <cellStyle name="Normal 109 3 2 2" xfId="12130" xr:uid="{00000000-0005-0000-0000-0000F92C0000}"/>
    <cellStyle name="Normal 109 3 3" xfId="12131" xr:uid="{00000000-0005-0000-0000-0000FA2C0000}"/>
    <cellStyle name="Normal 109 3 3 2" xfId="12132" xr:uid="{00000000-0005-0000-0000-0000FB2C0000}"/>
    <cellStyle name="Normal 109 3 3 2 2" xfId="12133" xr:uid="{00000000-0005-0000-0000-0000FC2C0000}"/>
    <cellStyle name="Normal 109 3 3 3" xfId="12134" xr:uid="{00000000-0005-0000-0000-0000FD2C0000}"/>
    <cellStyle name="Normal 109 3 4" xfId="12135" xr:uid="{00000000-0005-0000-0000-0000FE2C0000}"/>
    <cellStyle name="Normal 109 4" xfId="12136" xr:uid="{00000000-0005-0000-0000-0000FF2C0000}"/>
    <cellStyle name="Normal 109 4 2" xfId="12137" xr:uid="{00000000-0005-0000-0000-0000002D0000}"/>
    <cellStyle name="Normal 109 4 2 2" xfId="12138" xr:uid="{00000000-0005-0000-0000-0000012D0000}"/>
    <cellStyle name="Normal 109 4 3" xfId="12139" xr:uid="{00000000-0005-0000-0000-0000022D0000}"/>
    <cellStyle name="Normal 109 5" xfId="12140" xr:uid="{00000000-0005-0000-0000-0000032D0000}"/>
    <cellStyle name="Normal 11" xfId="244" xr:uid="{00000000-0005-0000-0000-0000042D0000}"/>
    <cellStyle name="Normal 11 2" xfId="253" xr:uid="{00000000-0005-0000-0000-0000052D0000}"/>
    <cellStyle name="Normal 11 2 2" xfId="12143" xr:uid="{00000000-0005-0000-0000-0000062D0000}"/>
    <cellStyle name="Normal 11 2 2 2" xfId="12144" xr:uid="{00000000-0005-0000-0000-0000072D0000}"/>
    <cellStyle name="Normal 11 2 3" xfId="12145" xr:uid="{00000000-0005-0000-0000-0000082D0000}"/>
    <cellStyle name="Normal 11 2 3 2" xfId="12146" xr:uid="{00000000-0005-0000-0000-0000092D0000}"/>
    <cellStyle name="Normal 11 2 3 2 2" xfId="12147" xr:uid="{00000000-0005-0000-0000-00000A2D0000}"/>
    <cellStyle name="Normal 11 2 3 3" xfId="12148" xr:uid="{00000000-0005-0000-0000-00000B2D0000}"/>
    <cellStyle name="Normal 11 2 4" xfId="12149" xr:uid="{00000000-0005-0000-0000-00000C2D0000}"/>
    <cellStyle name="Normal 11 2 5" xfId="12142" xr:uid="{00000000-0005-0000-0000-00000D2D0000}"/>
    <cellStyle name="Normal 11 3" xfId="12150" xr:uid="{00000000-0005-0000-0000-00000E2D0000}"/>
    <cellStyle name="Normal 11 3 2" xfId="12151" xr:uid="{00000000-0005-0000-0000-00000F2D0000}"/>
    <cellStyle name="Normal 11 3 2 2" xfId="12152" xr:uid="{00000000-0005-0000-0000-0000102D0000}"/>
    <cellStyle name="Normal 11 3 2 2 2" xfId="12153" xr:uid="{00000000-0005-0000-0000-0000112D0000}"/>
    <cellStyle name="Normal 11 3 2 3" xfId="12154" xr:uid="{00000000-0005-0000-0000-0000122D0000}"/>
    <cellStyle name="Normal 11 3 3" xfId="12155" xr:uid="{00000000-0005-0000-0000-0000132D0000}"/>
    <cellStyle name="Normal 11 3 3 2" xfId="12156" xr:uid="{00000000-0005-0000-0000-0000142D0000}"/>
    <cellStyle name="Normal 11 3 3 2 2" xfId="12157" xr:uid="{00000000-0005-0000-0000-0000152D0000}"/>
    <cellStyle name="Normal 11 3 3 3" xfId="12158" xr:uid="{00000000-0005-0000-0000-0000162D0000}"/>
    <cellStyle name="Normal 11 3 4" xfId="12159" xr:uid="{00000000-0005-0000-0000-0000172D0000}"/>
    <cellStyle name="Normal 11 4" xfId="12160" xr:uid="{00000000-0005-0000-0000-0000182D0000}"/>
    <cellStyle name="Normal 11 4 2" xfId="12161" xr:uid="{00000000-0005-0000-0000-0000192D0000}"/>
    <cellStyle name="Normal 11 5" xfId="12162" xr:uid="{00000000-0005-0000-0000-00001A2D0000}"/>
    <cellStyle name="Normal 11 5 2" xfId="12163" xr:uid="{00000000-0005-0000-0000-00001B2D0000}"/>
    <cellStyle name="Normal 11 5 2 2" xfId="12164" xr:uid="{00000000-0005-0000-0000-00001C2D0000}"/>
    <cellStyle name="Normal 11 5 3" xfId="12165" xr:uid="{00000000-0005-0000-0000-00001D2D0000}"/>
    <cellStyle name="Normal 11 6" xfId="12166" xr:uid="{00000000-0005-0000-0000-00001E2D0000}"/>
    <cellStyle name="Normal 11 6 2" xfId="12167" xr:uid="{00000000-0005-0000-0000-00001F2D0000}"/>
    <cellStyle name="Normal 11 6 2 2" xfId="12168" xr:uid="{00000000-0005-0000-0000-0000202D0000}"/>
    <cellStyle name="Normal 11 6 3" xfId="12169" xr:uid="{00000000-0005-0000-0000-0000212D0000}"/>
    <cellStyle name="Normal 11 7" xfId="12170" xr:uid="{00000000-0005-0000-0000-0000222D0000}"/>
    <cellStyle name="Normal 11 7 2" xfId="12171" xr:uid="{00000000-0005-0000-0000-0000232D0000}"/>
    <cellStyle name="Normal 11 8" xfId="12172" xr:uid="{00000000-0005-0000-0000-0000242D0000}"/>
    <cellStyle name="Normal 11 9" xfId="12141" xr:uid="{00000000-0005-0000-0000-0000252D0000}"/>
    <cellStyle name="Normal 110" xfId="12173" xr:uid="{00000000-0005-0000-0000-0000262D0000}"/>
    <cellStyle name="Normal 110 2" xfId="12174" xr:uid="{00000000-0005-0000-0000-0000272D0000}"/>
    <cellStyle name="Normal 110 2 2" xfId="12175" xr:uid="{00000000-0005-0000-0000-0000282D0000}"/>
    <cellStyle name="Normal 110 2 2 2" xfId="12176" xr:uid="{00000000-0005-0000-0000-0000292D0000}"/>
    <cellStyle name="Normal 110 2 3" xfId="12177" xr:uid="{00000000-0005-0000-0000-00002A2D0000}"/>
    <cellStyle name="Normal 110 3" xfId="12178" xr:uid="{00000000-0005-0000-0000-00002B2D0000}"/>
    <cellStyle name="Normal 110 3 2" xfId="12179" xr:uid="{00000000-0005-0000-0000-00002C2D0000}"/>
    <cellStyle name="Normal 110 3 2 2" xfId="12180" xr:uid="{00000000-0005-0000-0000-00002D2D0000}"/>
    <cellStyle name="Normal 110 3 3" xfId="12181" xr:uid="{00000000-0005-0000-0000-00002E2D0000}"/>
    <cellStyle name="Normal 110 3 3 2" xfId="12182" xr:uid="{00000000-0005-0000-0000-00002F2D0000}"/>
    <cellStyle name="Normal 110 3 3 2 2" xfId="12183" xr:uid="{00000000-0005-0000-0000-0000302D0000}"/>
    <cellStyle name="Normal 110 3 3 3" xfId="12184" xr:uid="{00000000-0005-0000-0000-0000312D0000}"/>
    <cellStyle name="Normal 110 3 4" xfId="12185" xr:uid="{00000000-0005-0000-0000-0000322D0000}"/>
    <cellStyle name="Normal 110 4" xfId="12186" xr:uid="{00000000-0005-0000-0000-0000332D0000}"/>
    <cellStyle name="Normal 110 4 2" xfId="12187" xr:uid="{00000000-0005-0000-0000-0000342D0000}"/>
    <cellStyle name="Normal 110 4 2 2" xfId="12188" xr:uid="{00000000-0005-0000-0000-0000352D0000}"/>
    <cellStyle name="Normal 110 4 3" xfId="12189" xr:uid="{00000000-0005-0000-0000-0000362D0000}"/>
    <cellStyle name="Normal 110 5" xfId="12190" xr:uid="{00000000-0005-0000-0000-0000372D0000}"/>
    <cellStyle name="Normal 111" xfId="12191" xr:uid="{00000000-0005-0000-0000-0000382D0000}"/>
    <cellStyle name="Normal 111 2" xfId="12192" xr:uid="{00000000-0005-0000-0000-0000392D0000}"/>
    <cellStyle name="Normal 111 2 2" xfId="12193" xr:uid="{00000000-0005-0000-0000-00003A2D0000}"/>
    <cellStyle name="Normal 111 2 2 2" xfId="12194" xr:uid="{00000000-0005-0000-0000-00003B2D0000}"/>
    <cellStyle name="Normal 111 2 3" xfId="12195" xr:uid="{00000000-0005-0000-0000-00003C2D0000}"/>
    <cellStyle name="Normal 111 3" xfId="12196" xr:uid="{00000000-0005-0000-0000-00003D2D0000}"/>
    <cellStyle name="Normal 111 3 2" xfId="12197" xr:uid="{00000000-0005-0000-0000-00003E2D0000}"/>
    <cellStyle name="Normal 111 3 2 2" xfId="12198" xr:uid="{00000000-0005-0000-0000-00003F2D0000}"/>
    <cellStyle name="Normal 111 3 3" xfId="12199" xr:uid="{00000000-0005-0000-0000-0000402D0000}"/>
    <cellStyle name="Normal 111 3 3 2" xfId="12200" xr:uid="{00000000-0005-0000-0000-0000412D0000}"/>
    <cellStyle name="Normal 111 3 3 2 2" xfId="12201" xr:uid="{00000000-0005-0000-0000-0000422D0000}"/>
    <cellStyle name="Normal 111 3 3 3" xfId="12202" xr:uid="{00000000-0005-0000-0000-0000432D0000}"/>
    <cellStyle name="Normal 111 3 4" xfId="12203" xr:uid="{00000000-0005-0000-0000-0000442D0000}"/>
    <cellStyle name="Normal 111 4" xfId="12204" xr:uid="{00000000-0005-0000-0000-0000452D0000}"/>
    <cellStyle name="Normal 111 4 2" xfId="12205" xr:uid="{00000000-0005-0000-0000-0000462D0000}"/>
    <cellStyle name="Normal 111 4 2 2" xfId="12206" xr:uid="{00000000-0005-0000-0000-0000472D0000}"/>
    <cellStyle name="Normal 111 4 3" xfId="12207" xr:uid="{00000000-0005-0000-0000-0000482D0000}"/>
    <cellStyle name="Normal 111 5" xfId="12208" xr:uid="{00000000-0005-0000-0000-0000492D0000}"/>
    <cellStyle name="Normal 112" xfId="12209" xr:uid="{00000000-0005-0000-0000-00004A2D0000}"/>
    <cellStyle name="Normal 112 2" xfId="12210" xr:uid="{00000000-0005-0000-0000-00004B2D0000}"/>
    <cellStyle name="Normal 112 2 2" xfId="12211" xr:uid="{00000000-0005-0000-0000-00004C2D0000}"/>
    <cellStyle name="Normal 112 2 2 2" xfId="12212" xr:uid="{00000000-0005-0000-0000-00004D2D0000}"/>
    <cellStyle name="Normal 112 2 3" xfId="12213" xr:uid="{00000000-0005-0000-0000-00004E2D0000}"/>
    <cellStyle name="Normal 112 3" xfId="12214" xr:uid="{00000000-0005-0000-0000-00004F2D0000}"/>
    <cellStyle name="Normal 112 3 2" xfId="12215" xr:uid="{00000000-0005-0000-0000-0000502D0000}"/>
    <cellStyle name="Normal 112 3 2 2" xfId="12216" xr:uid="{00000000-0005-0000-0000-0000512D0000}"/>
    <cellStyle name="Normal 112 3 3" xfId="12217" xr:uid="{00000000-0005-0000-0000-0000522D0000}"/>
    <cellStyle name="Normal 112 3 3 2" xfId="12218" xr:uid="{00000000-0005-0000-0000-0000532D0000}"/>
    <cellStyle name="Normal 112 3 3 2 2" xfId="12219" xr:uid="{00000000-0005-0000-0000-0000542D0000}"/>
    <cellStyle name="Normal 112 3 3 3" xfId="12220" xr:uid="{00000000-0005-0000-0000-0000552D0000}"/>
    <cellStyle name="Normal 112 3 4" xfId="12221" xr:uid="{00000000-0005-0000-0000-0000562D0000}"/>
    <cellStyle name="Normal 112 4" xfId="12222" xr:uid="{00000000-0005-0000-0000-0000572D0000}"/>
    <cellStyle name="Normal 112 4 2" xfId="12223" xr:uid="{00000000-0005-0000-0000-0000582D0000}"/>
    <cellStyle name="Normal 112 4 2 2" xfId="12224" xr:uid="{00000000-0005-0000-0000-0000592D0000}"/>
    <cellStyle name="Normal 112 4 3" xfId="12225" xr:uid="{00000000-0005-0000-0000-00005A2D0000}"/>
    <cellStyle name="Normal 112 5" xfId="12226" xr:uid="{00000000-0005-0000-0000-00005B2D0000}"/>
    <cellStyle name="Normal 113" xfId="12227" xr:uid="{00000000-0005-0000-0000-00005C2D0000}"/>
    <cellStyle name="Normal 113 2" xfId="12228" xr:uid="{00000000-0005-0000-0000-00005D2D0000}"/>
    <cellStyle name="Normal 113 2 2" xfId="12229" xr:uid="{00000000-0005-0000-0000-00005E2D0000}"/>
    <cellStyle name="Normal 113 2 2 2" xfId="12230" xr:uid="{00000000-0005-0000-0000-00005F2D0000}"/>
    <cellStyle name="Normal 113 2 3" xfId="12231" xr:uid="{00000000-0005-0000-0000-0000602D0000}"/>
    <cellStyle name="Normal 113 3" xfId="12232" xr:uid="{00000000-0005-0000-0000-0000612D0000}"/>
    <cellStyle name="Normal 113 3 2" xfId="12233" xr:uid="{00000000-0005-0000-0000-0000622D0000}"/>
    <cellStyle name="Normal 113 3 2 2" xfId="12234" xr:uid="{00000000-0005-0000-0000-0000632D0000}"/>
    <cellStyle name="Normal 113 3 3" xfId="12235" xr:uid="{00000000-0005-0000-0000-0000642D0000}"/>
    <cellStyle name="Normal 113 3 3 2" xfId="12236" xr:uid="{00000000-0005-0000-0000-0000652D0000}"/>
    <cellStyle name="Normal 113 3 3 2 2" xfId="12237" xr:uid="{00000000-0005-0000-0000-0000662D0000}"/>
    <cellStyle name="Normal 113 3 3 3" xfId="12238" xr:uid="{00000000-0005-0000-0000-0000672D0000}"/>
    <cellStyle name="Normal 113 3 4" xfId="12239" xr:uid="{00000000-0005-0000-0000-0000682D0000}"/>
    <cellStyle name="Normal 113 4" xfId="12240" xr:uid="{00000000-0005-0000-0000-0000692D0000}"/>
    <cellStyle name="Normal 113 4 2" xfId="12241" xr:uid="{00000000-0005-0000-0000-00006A2D0000}"/>
    <cellStyle name="Normal 113 4 2 2" xfId="12242" xr:uid="{00000000-0005-0000-0000-00006B2D0000}"/>
    <cellStyle name="Normal 113 4 3" xfId="12243" xr:uid="{00000000-0005-0000-0000-00006C2D0000}"/>
    <cellStyle name="Normal 113 5" xfId="12244" xr:uid="{00000000-0005-0000-0000-00006D2D0000}"/>
    <cellStyle name="Normal 114" xfId="12245" xr:uid="{00000000-0005-0000-0000-00006E2D0000}"/>
    <cellStyle name="Normal 114 2" xfId="12246" xr:uid="{00000000-0005-0000-0000-00006F2D0000}"/>
    <cellStyle name="Normal 114 2 2" xfId="12247" xr:uid="{00000000-0005-0000-0000-0000702D0000}"/>
    <cellStyle name="Normal 114 2 2 2" xfId="12248" xr:uid="{00000000-0005-0000-0000-0000712D0000}"/>
    <cellStyle name="Normal 114 2 3" xfId="12249" xr:uid="{00000000-0005-0000-0000-0000722D0000}"/>
    <cellStyle name="Normal 114 3" xfId="12250" xr:uid="{00000000-0005-0000-0000-0000732D0000}"/>
    <cellStyle name="Normal 114 3 2" xfId="12251" xr:uid="{00000000-0005-0000-0000-0000742D0000}"/>
    <cellStyle name="Normal 114 3 2 2" xfId="12252" xr:uid="{00000000-0005-0000-0000-0000752D0000}"/>
    <cellStyle name="Normal 114 3 3" xfId="12253" xr:uid="{00000000-0005-0000-0000-0000762D0000}"/>
    <cellStyle name="Normal 114 3 3 2" xfId="12254" xr:uid="{00000000-0005-0000-0000-0000772D0000}"/>
    <cellStyle name="Normal 114 3 3 2 2" xfId="12255" xr:uid="{00000000-0005-0000-0000-0000782D0000}"/>
    <cellStyle name="Normal 114 3 3 3" xfId="12256" xr:uid="{00000000-0005-0000-0000-0000792D0000}"/>
    <cellStyle name="Normal 114 3 4" xfId="12257" xr:uid="{00000000-0005-0000-0000-00007A2D0000}"/>
    <cellStyle name="Normal 114 4" xfId="12258" xr:uid="{00000000-0005-0000-0000-00007B2D0000}"/>
    <cellStyle name="Normal 114 4 2" xfId="12259" xr:uid="{00000000-0005-0000-0000-00007C2D0000}"/>
    <cellStyle name="Normal 114 4 2 2" xfId="12260" xr:uid="{00000000-0005-0000-0000-00007D2D0000}"/>
    <cellStyle name="Normal 114 4 3" xfId="12261" xr:uid="{00000000-0005-0000-0000-00007E2D0000}"/>
    <cellStyle name="Normal 114 5" xfId="12262" xr:uid="{00000000-0005-0000-0000-00007F2D0000}"/>
    <cellStyle name="Normal 115" xfId="12263" xr:uid="{00000000-0005-0000-0000-0000802D0000}"/>
    <cellStyle name="Normal 115 2" xfId="12264" xr:uid="{00000000-0005-0000-0000-0000812D0000}"/>
    <cellStyle name="Normal 115 2 2" xfId="12265" xr:uid="{00000000-0005-0000-0000-0000822D0000}"/>
    <cellStyle name="Normal 115 2 2 2" xfId="12266" xr:uid="{00000000-0005-0000-0000-0000832D0000}"/>
    <cellStyle name="Normal 115 2 3" xfId="12267" xr:uid="{00000000-0005-0000-0000-0000842D0000}"/>
    <cellStyle name="Normal 115 3" xfId="12268" xr:uid="{00000000-0005-0000-0000-0000852D0000}"/>
    <cellStyle name="Normal 115 3 2" xfId="12269" xr:uid="{00000000-0005-0000-0000-0000862D0000}"/>
    <cellStyle name="Normal 115 3 2 2" xfId="12270" xr:uid="{00000000-0005-0000-0000-0000872D0000}"/>
    <cellStyle name="Normal 115 3 3" xfId="12271" xr:uid="{00000000-0005-0000-0000-0000882D0000}"/>
    <cellStyle name="Normal 115 3 3 2" xfId="12272" xr:uid="{00000000-0005-0000-0000-0000892D0000}"/>
    <cellStyle name="Normal 115 3 3 2 2" xfId="12273" xr:uid="{00000000-0005-0000-0000-00008A2D0000}"/>
    <cellStyle name="Normal 115 3 3 3" xfId="12274" xr:uid="{00000000-0005-0000-0000-00008B2D0000}"/>
    <cellStyle name="Normal 115 3 4" xfId="12275" xr:uid="{00000000-0005-0000-0000-00008C2D0000}"/>
    <cellStyle name="Normal 115 4" xfId="12276" xr:uid="{00000000-0005-0000-0000-00008D2D0000}"/>
    <cellStyle name="Normal 115 4 2" xfId="12277" xr:uid="{00000000-0005-0000-0000-00008E2D0000}"/>
    <cellStyle name="Normal 115 4 2 2" xfId="12278" xr:uid="{00000000-0005-0000-0000-00008F2D0000}"/>
    <cellStyle name="Normal 115 4 3" xfId="12279" xr:uid="{00000000-0005-0000-0000-0000902D0000}"/>
    <cellStyle name="Normal 115 5" xfId="12280" xr:uid="{00000000-0005-0000-0000-0000912D0000}"/>
    <cellStyle name="Normal 116" xfId="12281" xr:uid="{00000000-0005-0000-0000-0000922D0000}"/>
    <cellStyle name="Normal 116 2" xfId="12282" xr:uid="{00000000-0005-0000-0000-0000932D0000}"/>
    <cellStyle name="Normal 116 2 2" xfId="12283" xr:uid="{00000000-0005-0000-0000-0000942D0000}"/>
    <cellStyle name="Normal 116 2 2 2" xfId="12284" xr:uid="{00000000-0005-0000-0000-0000952D0000}"/>
    <cellStyle name="Normal 116 2 3" xfId="12285" xr:uid="{00000000-0005-0000-0000-0000962D0000}"/>
    <cellStyle name="Normal 116 3" xfId="12286" xr:uid="{00000000-0005-0000-0000-0000972D0000}"/>
    <cellStyle name="Normal 116 3 2" xfId="12287" xr:uid="{00000000-0005-0000-0000-0000982D0000}"/>
    <cellStyle name="Normal 116 3 2 2" xfId="12288" xr:uid="{00000000-0005-0000-0000-0000992D0000}"/>
    <cellStyle name="Normal 116 3 3" xfId="12289" xr:uid="{00000000-0005-0000-0000-00009A2D0000}"/>
    <cellStyle name="Normal 116 3 3 2" xfId="12290" xr:uid="{00000000-0005-0000-0000-00009B2D0000}"/>
    <cellStyle name="Normal 116 3 3 2 2" xfId="12291" xr:uid="{00000000-0005-0000-0000-00009C2D0000}"/>
    <cellStyle name="Normal 116 3 3 3" xfId="12292" xr:uid="{00000000-0005-0000-0000-00009D2D0000}"/>
    <cellStyle name="Normal 116 3 4" xfId="12293" xr:uid="{00000000-0005-0000-0000-00009E2D0000}"/>
    <cellStyle name="Normal 116 4" xfId="12294" xr:uid="{00000000-0005-0000-0000-00009F2D0000}"/>
    <cellStyle name="Normal 116 4 2" xfId="12295" xr:uid="{00000000-0005-0000-0000-0000A02D0000}"/>
    <cellStyle name="Normal 116 4 2 2" xfId="12296" xr:uid="{00000000-0005-0000-0000-0000A12D0000}"/>
    <cellStyle name="Normal 116 4 3" xfId="12297" xr:uid="{00000000-0005-0000-0000-0000A22D0000}"/>
    <cellStyle name="Normal 116 5" xfId="12298" xr:uid="{00000000-0005-0000-0000-0000A32D0000}"/>
    <cellStyle name="Normal 117" xfId="12299" xr:uid="{00000000-0005-0000-0000-0000A42D0000}"/>
    <cellStyle name="Normal 117 2" xfId="12300" xr:uid="{00000000-0005-0000-0000-0000A52D0000}"/>
    <cellStyle name="Normal 117 2 2" xfId="12301" xr:uid="{00000000-0005-0000-0000-0000A62D0000}"/>
    <cellStyle name="Normal 117 2 2 2" xfId="12302" xr:uid="{00000000-0005-0000-0000-0000A72D0000}"/>
    <cellStyle name="Normal 117 2 3" xfId="12303" xr:uid="{00000000-0005-0000-0000-0000A82D0000}"/>
    <cellStyle name="Normal 117 3" xfId="12304" xr:uid="{00000000-0005-0000-0000-0000A92D0000}"/>
    <cellStyle name="Normal 117 3 2" xfId="12305" xr:uid="{00000000-0005-0000-0000-0000AA2D0000}"/>
    <cellStyle name="Normal 117 3 2 2" xfId="12306" xr:uid="{00000000-0005-0000-0000-0000AB2D0000}"/>
    <cellStyle name="Normal 117 3 3" xfId="12307" xr:uid="{00000000-0005-0000-0000-0000AC2D0000}"/>
    <cellStyle name="Normal 117 3 3 2" xfId="12308" xr:uid="{00000000-0005-0000-0000-0000AD2D0000}"/>
    <cellStyle name="Normal 117 3 3 2 2" xfId="12309" xr:uid="{00000000-0005-0000-0000-0000AE2D0000}"/>
    <cellStyle name="Normal 117 3 3 3" xfId="12310" xr:uid="{00000000-0005-0000-0000-0000AF2D0000}"/>
    <cellStyle name="Normal 117 3 4" xfId="12311" xr:uid="{00000000-0005-0000-0000-0000B02D0000}"/>
    <cellStyle name="Normal 117 4" xfId="12312" xr:uid="{00000000-0005-0000-0000-0000B12D0000}"/>
    <cellStyle name="Normal 117 4 2" xfId="12313" xr:uid="{00000000-0005-0000-0000-0000B22D0000}"/>
    <cellStyle name="Normal 117 4 2 2" xfId="12314" xr:uid="{00000000-0005-0000-0000-0000B32D0000}"/>
    <cellStyle name="Normal 117 4 3" xfId="12315" xr:uid="{00000000-0005-0000-0000-0000B42D0000}"/>
    <cellStyle name="Normal 117 5" xfId="12316" xr:uid="{00000000-0005-0000-0000-0000B52D0000}"/>
    <cellStyle name="Normal 118" xfId="12317" xr:uid="{00000000-0005-0000-0000-0000B62D0000}"/>
    <cellStyle name="Normal 118 2" xfId="12318" xr:uid="{00000000-0005-0000-0000-0000B72D0000}"/>
    <cellStyle name="Normal 118 2 2" xfId="12319" xr:uid="{00000000-0005-0000-0000-0000B82D0000}"/>
    <cellStyle name="Normal 118 2 2 2" xfId="12320" xr:uid="{00000000-0005-0000-0000-0000B92D0000}"/>
    <cellStyle name="Normal 118 2 3" xfId="12321" xr:uid="{00000000-0005-0000-0000-0000BA2D0000}"/>
    <cellStyle name="Normal 118 3" xfId="12322" xr:uid="{00000000-0005-0000-0000-0000BB2D0000}"/>
    <cellStyle name="Normal 118 3 2" xfId="12323" xr:uid="{00000000-0005-0000-0000-0000BC2D0000}"/>
    <cellStyle name="Normal 118 3 2 2" xfId="12324" xr:uid="{00000000-0005-0000-0000-0000BD2D0000}"/>
    <cellStyle name="Normal 118 3 3" xfId="12325" xr:uid="{00000000-0005-0000-0000-0000BE2D0000}"/>
    <cellStyle name="Normal 118 3 3 2" xfId="12326" xr:uid="{00000000-0005-0000-0000-0000BF2D0000}"/>
    <cellStyle name="Normal 118 3 3 2 2" xfId="12327" xr:uid="{00000000-0005-0000-0000-0000C02D0000}"/>
    <cellStyle name="Normal 118 3 3 3" xfId="12328" xr:uid="{00000000-0005-0000-0000-0000C12D0000}"/>
    <cellStyle name="Normal 118 3 4" xfId="12329" xr:uid="{00000000-0005-0000-0000-0000C22D0000}"/>
    <cellStyle name="Normal 118 4" xfId="12330" xr:uid="{00000000-0005-0000-0000-0000C32D0000}"/>
    <cellStyle name="Normal 118 4 2" xfId="12331" xr:uid="{00000000-0005-0000-0000-0000C42D0000}"/>
    <cellStyle name="Normal 118 4 2 2" xfId="12332" xr:uid="{00000000-0005-0000-0000-0000C52D0000}"/>
    <cellStyle name="Normal 118 4 3" xfId="12333" xr:uid="{00000000-0005-0000-0000-0000C62D0000}"/>
    <cellStyle name="Normal 118 5" xfId="12334" xr:uid="{00000000-0005-0000-0000-0000C72D0000}"/>
    <cellStyle name="Normal 119" xfId="12335" xr:uid="{00000000-0005-0000-0000-0000C82D0000}"/>
    <cellStyle name="Normal 119 2" xfId="12336" xr:uid="{00000000-0005-0000-0000-0000C92D0000}"/>
    <cellStyle name="Normal 119 2 2" xfId="12337" xr:uid="{00000000-0005-0000-0000-0000CA2D0000}"/>
    <cellStyle name="Normal 119 2 2 2" xfId="12338" xr:uid="{00000000-0005-0000-0000-0000CB2D0000}"/>
    <cellStyle name="Normal 119 2 2 2 2" xfId="12339" xr:uid="{00000000-0005-0000-0000-0000CC2D0000}"/>
    <cellStyle name="Normal 119 2 2 3" xfId="12340" xr:uid="{00000000-0005-0000-0000-0000CD2D0000}"/>
    <cellStyle name="Normal 119 2 3" xfId="12341" xr:uid="{00000000-0005-0000-0000-0000CE2D0000}"/>
    <cellStyle name="Normal 119 2 3 2" xfId="12342" xr:uid="{00000000-0005-0000-0000-0000CF2D0000}"/>
    <cellStyle name="Normal 119 2 3 2 2" xfId="12343" xr:uid="{00000000-0005-0000-0000-0000D02D0000}"/>
    <cellStyle name="Normal 119 2 3 3" xfId="12344" xr:uid="{00000000-0005-0000-0000-0000D12D0000}"/>
    <cellStyle name="Normal 119 2 3 3 2" xfId="12345" xr:uid="{00000000-0005-0000-0000-0000D22D0000}"/>
    <cellStyle name="Normal 119 2 3 3 2 2" xfId="12346" xr:uid="{00000000-0005-0000-0000-0000D32D0000}"/>
    <cellStyle name="Normal 119 2 3 3 3" xfId="12347" xr:uid="{00000000-0005-0000-0000-0000D42D0000}"/>
    <cellStyle name="Normal 119 2 3 4" xfId="12348" xr:uid="{00000000-0005-0000-0000-0000D52D0000}"/>
    <cellStyle name="Normal 119 2 4" xfId="12349" xr:uid="{00000000-0005-0000-0000-0000D62D0000}"/>
    <cellStyle name="Normal 119 2 4 2" xfId="12350" xr:uid="{00000000-0005-0000-0000-0000D72D0000}"/>
    <cellStyle name="Normal 119 2 4 2 2" xfId="12351" xr:uid="{00000000-0005-0000-0000-0000D82D0000}"/>
    <cellStyle name="Normal 119 2 4 3" xfId="12352" xr:uid="{00000000-0005-0000-0000-0000D92D0000}"/>
    <cellStyle name="Normal 119 2 5" xfId="12353" xr:uid="{00000000-0005-0000-0000-0000DA2D0000}"/>
    <cellStyle name="Normal 119 3" xfId="12354" xr:uid="{00000000-0005-0000-0000-0000DB2D0000}"/>
    <cellStyle name="Normal 119 3 2" xfId="12355" xr:uid="{00000000-0005-0000-0000-0000DC2D0000}"/>
    <cellStyle name="Normal 119 3 2 2" xfId="12356" xr:uid="{00000000-0005-0000-0000-0000DD2D0000}"/>
    <cellStyle name="Normal 119 3 3" xfId="12357" xr:uid="{00000000-0005-0000-0000-0000DE2D0000}"/>
    <cellStyle name="Normal 119 4" xfId="12358" xr:uid="{00000000-0005-0000-0000-0000DF2D0000}"/>
    <cellStyle name="Normal 119 4 2" xfId="12359" xr:uid="{00000000-0005-0000-0000-0000E02D0000}"/>
    <cellStyle name="Normal 119 4 2 2" xfId="12360" xr:uid="{00000000-0005-0000-0000-0000E12D0000}"/>
    <cellStyle name="Normal 119 4 3" xfId="12361" xr:uid="{00000000-0005-0000-0000-0000E22D0000}"/>
    <cellStyle name="Normal 119 4 3 2" xfId="12362" xr:uid="{00000000-0005-0000-0000-0000E32D0000}"/>
    <cellStyle name="Normal 119 4 3 2 2" xfId="12363" xr:uid="{00000000-0005-0000-0000-0000E42D0000}"/>
    <cellStyle name="Normal 119 4 3 3" xfId="12364" xr:uid="{00000000-0005-0000-0000-0000E52D0000}"/>
    <cellStyle name="Normal 119 4 4" xfId="12365" xr:uid="{00000000-0005-0000-0000-0000E62D0000}"/>
    <cellStyle name="Normal 119 5" xfId="12366" xr:uid="{00000000-0005-0000-0000-0000E72D0000}"/>
    <cellStyle name="Normal 119 5 2" xfId="12367" xr:uid="{00000000-0005-0000-0000-0000E82D0000}"/>
    <cellStyle name="Normal 119 5 2 2" xfId="12368" xr:uid="{00000000-0005-0000-0000-0000E92D0000}"/>
    <cellStyle name="Normal 119 5 3" xfId="12369" xr:uid="{00000000-0005-0000-0000-0000EA2D0000}"/>
    <cellStyle name="Normal 119 6" xfId="12370" xr:uid="{00000000-0005-0000-0000-0000EB2D0000}"/>
    <cellStyle name="Normal 12" xfId="128" xr:uid="{00000000-0005-0000-0000-0000EC2D0000}"/>
    <cellStyle name="Normal 12 2" xfId="12372" xr:uid="{00000000-0005-0000-0000-0000ED2D0000}"/>
    <cellStyle name="Normal 12 2 2" xfId="12373" xr:uid="{00000000-0005-0000-0000-0000EE2D0000}"/>
    <cellStyle name="Normal 12 2 2 2" xfId="12374" xr:uid="{00000000-0005-0000-0000-0000EF2D0000}"/>
    <cellStyle name="Normal 12 2 3" xfId="12375" xr:uid="{00000000-0005-0000-0000-0000F02D0000}"/>
    <cellStyle name="Normal 12 2 3 2" xfId="12376" xr:uid="{00000000-0005-0000-0000-0000F12D0000}"/>
    <cellStyle name="Normal 12 2 3 2 2" xfId="12377" xr:uid="{00000000-0005-0000-0000-0000F22D0000}"/>
    <cellStyle name="Normal 12 2 3 3" xfId="12378" xr:uid="{00000000-0005-0000-0000-0000F32D0000}"/>
    <cellStyle name="Normal 12 2 4" xfId="12379" xr:uid="{00000000-0005-0000-0000-0000F42D0000}"/>
    <cellStyle name="Normal 12 3" xfId="12380" xr:uid="{00000000-0005-0000-0000-0000F52D0000}"/>
    <cellStyle name="Normal 12 3 2" xfId="12381" xr:uid="{00000000-0005-0000-0000-0000F62D0000}"/>
    <cellStyle name="Normal 12 3 2 2" xfId="12382" xr:uid="{00000000-0005-0000-0000-0000F72D0000}"/>
    <cellStyle name="Normal 12 3 2 2 2" xfId="12383" xr:uid="{00000000-0005-0000-0000-0000F82D0000}"/>
    <cellStyle name="Normal 12 3 2 3" xfId="12384" xr:uid="{00000000-0005-0000-0000-0000F92D0000}"/>
    <cellStyle name="Normal 12 3 3" xfId="12385" xr:uid="{00000000-0005-0000-0000-0000FA2D0000}"/>
    <cellStyle name="Normal 12 3 3 2" xfId="12386" xr:uid="{00000000-0005-0000-0000-0000FB2D0000}"/>
    <cellStyle name="Normal 12 3 3 2 2" xfId="12387" xr:uid="{00000000-0005-0000-0000-0000FC2D0000}"/>
    <cellStyle name="Normal 12 3 3 3" xfId="12388" xr:uid="{00000000-0005-0000-0000-0000FD2D0000}"/>
    <cellStyle name="Normal 12 3 4" xfId="12389" xr:uid="{00000000-0005-0000-0000-0000FE2D0000}"/>
    <cellStyle name="Normal 12 4" xfId="12390" xr:uid="{00000000-0005-0000-0000-0000FF2D0000}"/>
    <cellStyle name="Normal 12 4 2" xfId="12391" xr:uid="{00000000-0005-0000-0000-0000002E0000}"/>
    <cellStyle name="Normal 12 5" xfId="12392" xr:uid="{00000000-0005-0000-0000-0000012E0000}"/>
    <cellStyle name="Normal 12 5 2" xfId="12393" xr:uid="{00000000-0005-0000-0000-0000022E0000}"/>
    <cellStyle name="Normal 12 5 2 2" xfId="12394" xr:uid="{00000000-0005-0000-0000-0000032E0000}"/>
    <cellStyle name="Normal 12 5 3" xfId="12395" xr:uid="{00000000-0005-0000-0000-0000042E0000}"/>
    <cellStyle name="Normal 12 6" xfId="12396" xr:uid="{00000000-0005-0000-0000-0000052E0000}"/>
    <cellStyle name="Normal 12 6 2" xfId="12397" xr:uid="{00000000-0005-0000-0000-0000062E0000}"/>
    <cellStyle name="Normal 12 6 2 2" xfId="12398" xr:uid="{00000000-0005-0000-0000-0000072E0000}"/>
    <cellStyle name="Normal 12 6 3" xfId="12399" xr:uid="{00000000-0005-0000-0000-0000082E0000}"/>
    <cellStyle name="Normal 12 7" xfId="12400" xr:uid="{00000000-0005-0000-0000-0000092E0000}"/>
    <cellStyle name="Normal 12 7 2" xfId="12401" xr:uid="{00000000-0005-0000-0000-00000A2E0000}"/>
    <cellStyle name="Normal 12 8" xfId="12402" xr:uid="{00000000-0005-0000-0000-00000B2E0000}"/>
    <cellStyle name="Normal 12 9" xfId="12371" xr:uid="{00000000-0005-0000-0000-00000C2E0000}"/>
    <cellStyle name="Normal 120" xfId="12403" xr:uid="{00000000-0005-0000-0000-00000D2E0000}"/>
    <cellStyle name="Normal 120 2" xfId="12404" xr:uid="{00000000-0005-0000-0000-00000E2E0000}"/>
    <cellStyle name="Normal 120 2 2" xfId="12405" xr:uid="{00000000-0005-0000-0000-00000F2E0000}"/>
    <cellStyle name="Normal 120 2 2 2" xfId="12406" xr:uid="{00000000-0005-0000-0000-0000102E0000}"/>
    <cellStyle name="Normal 120 2 2 2 2" xfId="12407" xr:uid="{00000000-0005-0000-0000-0000112E0000}"/>
    <cellStyle name="Normal 120 2 2 3" xfId="12408" xr:uid="{00000000-0005-0000-0000-0000122E0000}"/>
    <cellStyle name="Normal 120 2 3" xfId="12409" xr:uid="{00000000-0005-0000-0000-0000132E0000}"/>
    <cellStyle name="Normal 120 2 3 2" xfId="12410" xr:uid="{00000000-0005-0000-0000-0000142E0000}"/>
    <cellStyle name="Normal 120 2 3 2 2" xfId="12411" xr:uid="{00000000-0005-0000-0000-0000152E0000}"/>
    <cellStyle name="Normal 120 2 3 3" xfId="12412" xr:uid="{00000000-0005-0000-0000-0000162E0000}"/>
    <cellStyle name="Normal 120 2 3 3 2" xfId="12413" xr:uid="{00000000-0005-0000-0000-0000172E0000}"/>
    <cellStyle name="Normal 120 2 3 3 2 2" xfId="12414" xr:uid="{00000000-0005-0000-0000-0000182E0000}"/>
    <cellStyle name="Normal 120 2 3 3 3" xfId="12415" xr:uid="{00000000-0005-0000-0000-0000192E0000}"/>
    <cellStyle name="Normal 120 2 3 4" xfId="12416" xr:uid="{00000000-0005-0000-0000-00001A2E0000}"/>
    <cellStyle name="Normal 120 2 4" xfId="12417" xr:uid="{00000000-0005-0000-0000-00001B2E0000}"/>
    <cellStyle name="Normal 120 2 4 2" xfId="12418" xr:uid="{00000000-0005-0000-0000-00001C2E0000}"/>
    <cellStyle name="Normal 120 2 4 2 2" xfId="12419" xr:uid="{00000000-0005-0000-0000-00001D2E0000}"/>
    <cellStyle name="Normal 120 2 4 3" xfId="12420" xr:uid="{00000000-0005-0000-0000-00001E2E0000}"/>
    <cellStyle name="Normal 120 2 5" xfId="12421" xr:uid="{00000000-0005-0000-0000-00001F2E0000}"/>
    <cellStyle name="Normal 120 3" xfId="12422" xr:uid="{00000000-0005-0000-0000-0000202E0000}"/>
    <cellStyle name="Normal 120 3 2" xfId="12423" xr:uid="{00000000-0005-0000-0000-0000212E0000}"/>
    <cellStyle name="Normal 120 3 2 2" xfId="12424" xr:uid="{00000000-0005-0000-0000-0000222E0000}"/>
    <cellStyle name="Normal 120 3 3" xfId="12425" xr:uid="{00000000-0005-0000-0000-0000232E0000}"/>
    <cellStyle name="Normal 120 4" xfId="12426" xr:uid="{00000000-0005-0000-0000-0000242E0000}"/>
    <cellStyle name="Normal 120 4 2" xfId="12427" xr:uid="{00000000-0005-0000-0000-0000252E0000}"/>
    <cellStyle name="Normal 120 4 2 2" xfId="12428" xr:uid="{00000000-0005-0000-0000-0000262E0000}"/>
    <cellStyle name="Normal 120 4 3" xfId="12429" xr:uid="{00000000-0005-0000-0000-0000272E0000}"/>
    <cellStyle name="Normal 120 4 3 2" xfId="12430" xr:uid="{00000000-0005-0000-0000-0000282E0000}"/>
    <cellStyle name="Normal 120 4 3 2 2" xfId="12431" xr:uid="{00000000-0005-0000-0000-0000292E0000}"/>
    <cellStyle name="Normal 120 4 3 3" xfId="12432" xr:uid="{00000000-0005-0000-0000-00002A2E0000}"/>
    <cellStyle name="Normal 120 4 4" xfId="12433" xr:uid="{00000000-0005-0000-0000-00002B2E0000}"/>
    <cellStyle name="Normal 120 5" xfId="12434" xr:uid="{00000000-0005-0000-0000-00002C2E0000}"/>
    <cellStyle name="Normal 120 5 2" xfId="12435" xr:uid="{00000000-0005-0000-0000-00002D2E0000}"/>
    <cellStyle name="Normal 120 5 2 2" xfId="12436" xr:uid="{00000000-0005-0000-0000-00002E2E0000}"/>
    <cellStyle name="Normal 120 5 3" xfId="12437" xr:uid="{00000000-0005-0000-0000-00002F2E0000}"/>
    <cellStyle name="Normal 120 6" xfId="12438" xr:uid="{00000000-0005-0000-0000-0000302E0000}"/>
    <cellStyle name="Normal 121" xfId="12439" xr:uid="{00000000-0005-0000-0000-0000312E0000}"/>
    <cellStyle name="Normal 121 2" xfId="12440" xr:uid="{00000000-0005-0000-0000-0000322E0000}"/>
    <cellStyle name="Normal 121 2 2" xfId="12441" xr:uid="{00000000-0005-0000-0000-0000332E0000}"/>
    <cellStyle name="Normal 121 2 2 2" xfId="12442" xr:uid="{00000000-0005-0000-0000-0000342E0000}"/>
    <cellStyle name="Normal 121 2 2 2 2" xfId="12443" xr:uid="{00000000-0005-0000-0000-0000352E0000}"/>
    <cellStyle name="Normal 121 2 2 3" xfId="12444" xr:uid="{00000000-0005-0000-0000-0000362E0000}"/>
    <cellStyle name="Normal 121 2 3" xfId="12445" xr:uid="{00000000-0005-0000-0000-0000372E0000}"/>
    <cellStyle name="Normal 121 2 3 2" xfId="12446" xr:uid="{00000000-0005-0000-0000-0000382E0000}"/>
    <cellStyle name="Normal 121 2 3 2 2" xfId="12447" xr:uid="{00000000-0005-0000-0000-0000392E0000}"/>
    <cellStyle name="Normal 121 2 3 3" xfId="12448" xr:uid="{00000000-0005-0000-0000-00003A2E0000}"/>
    <cellStyle name="Normal 121 2 3 3 2" xfId="12449" xr:uid="{00000000-0005-0000-0000-00003B2E0000}"/>
    <cellStyle name="Normal 121 2 3 3 2 2" xfId="12450" xr:uid="{00000000-0005-0000-0000-00003C2E0000}"/>
    <cellStyle name="Normal 121 2 3 3 3" xfId="12451" xr:uid="{00000000-0005-0000-0000-00003D2E0000}"/>
    <cellStyle name="Normal 121 2 3 4" xfId="12452" xr:uid="{00000000-0005-0000-0000-00003E2E0000}"/>
    <cellStyle name="Normal 121 2 4" xfId="12453" xr:uid="{00000000-0005-0000-0000-00003F2E0000}"/>
    <cellStyle name="Normal 121 2 4 2" xfId="12454" xr:uid="{00000000-0005-0000-0000-0000402E0000}"/>
    <cellStyle name="Normal 121 2 4 2 2" xfId="12455" xr:uid="{00000000-0005-0000-0000-0000412E0000}"/>
    <cellStyle name="Normal 121 2 4 3" xfId="12456" xr:uid="{00000000-0005-0000-0000-0000422E0000}"/>
    <cellStyle name="Normal 121 2 5" xfId="12457" xr:uid="{00000000-0005-0000-0000-0000432E0000}"/>
    <cellStyle name="Normal 121 3" xfId="12458" xr:uid="{00000000-0005-0000-0000-0000442E0000}"/>
    <cellStyle name="Normal 121 3 2" xfId="12459" xr:uid="{00000000-0005-0000-0000-0000452E0000}"/>
    <cellStyle name="Normal 121 3 2 2" xfId="12460" xr:uid="{00000000-0005-0000-0000-0000462E0000}"/>
    <cellStyle name="Normal 121 3 3" xfId="12461" xr:uid="{00000000-0005-0000-0000-0000472E0000}"/>
    <cellStyle name="Normal 121 4" xfId="12462" xr:uid="{00000000-0005-0000-0000-0000482E0000}"/>
    <cellStyle name="Normal 121 4 2" xfId="12463" xr:uid="{00000000-0005-0000-0000-0000492E0000}"/>
    <cellStyle name="Normal 121 4 2 2" xfId="12464" xr:uid="{00000000-0005-0000-0000-00004A2E0000}"/>
    <cellStyle name="Normal 121 4 3" xfId="12465" xr:uid="{00000000-0005-0000-0000-00004B2E0000}"/>
    <cellStyle name="Normal 121 4 3 2" xfId="12466" xr:uid="{00000000-0005-0000-0000-00004C2E0000}"/>
    <cellStyle name="Normal 121 4 3 2 2" xfId="12467" xr:uid="{00000000-0005-0000-0000-00004D2E0000}"/>
    <cellStyle name="Normal 121 4 3 3" xfId="12468" xr:uid="{00000000-0005-0000-0000-00004E2E0000}"/>
    <cellStyle name="Normal 121 4 4" xfId="12469" xr:uid="{00000000-0005-0000-0000-00004F2E0000}"/>
    <cellStyle name="Normal 121 5" xfId="12470" xr:uid="{00000000-0005-0000-0000-0000502E0000}"/>
    <cellStyle name="Normal 121 5 2" xfId="12471" xr:uid="{00000000-0005-0000-0000-0000512E0000}"/>
    <cellStyle name="Normal 121 5 2 2" xfId="12472" xr:uid="{00000000-0005-0000-0000-0000522E0000}"/>
    <cellStyle name="Normal 121 5 3" xfId="12473" xr:uid="{00000000-0005-0000-0000-0000532E0000}"/>
    <cellStyle name="Normal 121 6" xfId="12474" xr:uid="{00000000-0005-0000-0000-0000542E0000}"/>
    <cellStyle name="Normal 122" xfId="12475" xr:uid="{00000000-0005-0000-0000-0000552E0000}"/>
    <cellStyle name="Normal 122 2" xfId="12476" xr:uid="{00000000-0005-0000-0000-0000562E0000}"/>
    <cellStyle name="Normal 122 2 2" xfId="12477" xr:uid="{00000000-0005-0000-0000-0000572E0000}"/>
    <cellStyle name="Normal 122 2 2 2" xfId="12478" xr:uid="{00000000-0005-0000-0000-0000582E0000}"/>
    <cellStyle name="Normal 122 2 3" xfId="12479" xr:uid="{00000000-0005-0000-0000-0000592E0000}"/>
    <cellStyle name="Normal 122 3" xfId="12480" xr:uid="{00000000-0005-0000-0000-00005A2E0000}"/>
    <cellStyle name="Normal 122 3 2" xfId="12481" xr:uid="{00000000-0005-0000-0000-00005B2E0000}"/>
    <cellStyle name="Normal 122 3 2 2" xfId="12482" xr:uid="{00000000-0005-0000-0000-00005C2E0000}"/>
    <cellStyle name="Normal 122 3 3" xfId="12483" xr:uid="{00000000-0005-0000-0000-00005D2E0000}"/>
    <cellStyle name="Normal 122 3 3 2" xfId="12484" xr:uid="{00000000-0005-0000-0000-00005E2E0000}"/>
    <cellStyle name="Normal 122 3 3 2 2" xfId="12485" xr:uid="{00000000-0005-0000-0000-00005F2E0000}"/>
    <cellStyle name="Normal 122 3 3 3" xfId="12486" xr:uid="{00000000-0005-0000-0000-0000602E0000}"/>
    <cellStyle name="Normal 122 3 4" xfId="12487" xr:uid="{00000000-0005-0000-0000-0000612E0000}"/>
    <cellStyle name="Normal 122 4" xfId="12488" xr:uid="{00000000-0005-0000-0000-0000622E0000}"/>
    <cellStyle name="Normal 122 4 2" xfId="12489" xr:uid="{00000000-0005-0000-0000-0000632E0000}"/>
    <cellStyle name="Normal 122 4 2 2" xfId="12490" xr:uid="{00000000-0005-0000-0000-0000642E0000}"/>
    <cellStyle name="Normal 122 4 3" xfId="12491" xr:uid="{00000000-0005-0000-0000-0000652E0000}"/>
    <cellStyle name="Normal 122 5" xfId="12492" xr:uid="{00000000-0005-0000-0000-0000662E0000}"/>
    <cellStyle name="Normal 123" xfId="12493" xr:uid="{00000000-0005-0000-0000-0000672E0000}"/>
    <cellStyle name="Normal 123 2" xfId="12494" xr:uid="{00000000-0005-0000-0000-0000682E0000}"/>
    <cellStyle name="Normal 123 2 2" xfId="12495" xr:uid="{00000000-0005-0000-0000-0000692E0000}"/>
    <cellStyle name="Normal 123 2 2 2" xfId="12496" xr:uid="{00000000-0005-0000-0000-00006A2E0000}"/>
    <cellStyle name="Normal 123 2 3" xfId="12497" xr:uid="{00000000-0005-0000-0000-00006B2E0000}"/>
    <cellStyle name="Normal 123 3" xfId="12498" xr:uid="{00000000-0005-0000-0000-00006C2E0000}"/>
    <cellStyle name="Normal 123 3 2" xfId="12499" xr:uid="{00000000-0005-0000-0000-00006D2E0000}"/>
    <cellStyle name="Normal 123 3 2 2" xfId="12500" xr:uid="{00000000-0005-0000-0000-00006E2E0000}"/>
    <cellStyle name="Normal 123 3 3" xfId="12501" xr:uid="{00000000-0005-0000-0000-00006F2E0000}"/>
    <cellStyle name="Normal 123 3 3 2" xfId="12502" xr:uid="{00000000-0005-0000-0000-0000702E0000}"/>
    <cellStyle name="Normal 123 3 3 2 2" xfId="12503" xr:uid="{00000000-0005-0000-0000-0000712E0000}"/>
    <cellStyle name="Normal 123 3 3 3" xfId="12504" xr:uid="{00000000-0005-0000-0000-0000722E0000}"/>
    <cellStyle name="Normal 123 3 4" xfId="12505" xr:uid="{00000000-0005-0000-0000-0000732E0000}"/>
    <cellStyle name="Normal 123 4" xfId="12506" xr:uid="{00000000-0005-0000-0000-0000742E0000}"/>
    <cellStyle name="Normal 123 4 2" xfId="12507" xr:uid="{00000000-0005-0000-0000-0000752E0000}"/>
    <cellStyle name="Normal 123 4 2 2" xfId="12508" xr:uid="{00000000-0005-0000-0000-0000762E0000}"/>
    <cellStyle name="Normal 123 4 3" xfId="12509" xr:uid="{00000000-0005-0000-0000-0000772E0000}"/>
    <cellStyle name="Normal 123 5" xfId="12510" xr:uid="{00000000-0005-0000-0000-0000782E0000}"/>
    <cellStyle name="Normal 124" xfId="12511" xr:uid="{00000000-0005-0000-0000-0000792E0000}"/>
    <cellStyle name="Normal 124 2" xfId="12512" xr:uid="{00000000-0005-0000-0000-00007A2E0000}"/>
    <cellStyle name="Normal 124 2 2" xfId="12513" xr:uid="{00000000-0005-0000-0000-00007B2E0000}"/>
    <cellStyle name="Normal 124 2 2 2" xfId="12514" xr:uid="{00000000-0005-0000-0000-00007C2E0000}"/>
    <cellStyle name="Normal 124 2 3" xfId="12515" xr:uid="{00000000-0005-0000-0000-00007D2E0000}"/>
    <cellStyle name="Normal 124 3" xfId="12516" xr:uid="{00000000-0005-0000-0000-00007E2E0000}"/>
    <cellStyle name="Normal 124 3 2" xfId="12517" xr:uid="{00000000-0005-0000-0000-00007F2E0000}"/>
    <cellStyle name="Normal 124 3 2 2" xfId="12518" xr:uid="{00000000-0005-0000-0000-0000802E0000}"/>
    <cellStyle name="Normal 124 3 3" xfId="12519" xr:uid="{00000000-0005-0000-0000-0000812E0000}"/>
    <cellStyle name="Normal 124 3 3 2" xfId="12520" xr:uid="{00000000-0005-0000-0000-0000822E0000}"/>
    <cellStyle name="Normal 124 3 3 2 2" xfId="12521" xr:uid="{00000000-0005-0000-0000-0000832E0000}"/>
    <cellStyle name="Normal 124 3 3 3" xfId="12522" xr:uid="{00000000-0005-0000-0000-0000842E0000}"/>
    <cellStyle name="Normal 124 3 4" xfId="12523" xr:uid="{00000000-0005-0000-0000-0000852E0000}"/>
    <cellStyle name="Normal 124 4" xfId="12524" xr:uid="{00000000-0005-0000-0000-0000862E0000}"/>
    <cellStyle name="Normal 124 4 2" xfId="12525" xr:uid="{00000000-0005-0000-0000-0000872E0000}"/>
    <cellStyle name="Normal 124 4 2 2" xfId="12526" xr:uid="{00000000-0005-0000-0000-0000882E0000}"/>
    <cellStyle name="Normal 124 4 3" xfId="12527" xr:uid="{00000000-0005-0000-0000-0000892E0000}"/>
    <cellStyle name="Normal 124 5" xfId="12528" xr:uid="{00000000-0005-0000-0000-00008A2E0000}"/>
    <cellStyle name="Normal 125" xfId="12529" xr:uid="{00000000-0005-0000-0000-00008B2E0000}"/>
    <cellStyle name="Normal 125 2" xfId="12530" xr:uid="{00000000-0005-0000-0000-00008C2E0000}"/>
    <cellStyle name="Normal 125 2 2" xfId="12531" xr:uid="{00000000-0005-0000-0000-00008D2E0000}"/>
    <cellStyle name="Normal 125 2 2 2" xfId="12532" xr:uid="{00000000-0005-0000-0000-00008E2E0000}"/>
    <cellStyle name="Normal 125 2 3" xfId="12533" xr:uid="{00000000-0005-0000-0000-00008F2E0000}"/>
    <cellStyle name="Normal 125 3" xfId="12534" xr:uid="{00000000-0005-0000-0000-0000902E0000}"/>
    <cellStyle name="Normal 125 3 2" xfId="12535" xr:uid="{00000000-0005-0000-0000-0000912E0000}"/>
    <cellStyle name="Normal 125 3 2 2" xfId="12536" xr:uid="{00000000-0005-0000-0000-0000922E0000}"/>
    <cellStyle name="Normal 125 3 3" xfId="12537" xr:uid="{00000000-0005-0000-0000-0000932E0000}"/>
    <cellStyle name="Normal 125 3 3 2" xfId="12538" xr:uid="{00000000-0005-0000-0000-0000942E0000}"/>
    <cellStyle name="Normal 125 3 3 2 2" xfId="12539" xr:uid="{00000000-0005-0000-0000-0000952E0000}"/>
    <cellStyle name="Normal 125 3 3 3" xfId="12540" xr:uid="{00000000-0005-0000-0000-0000962E0000}"/>
    <cellStyle name="Normal 125 3 4" xfId="12541" xr:uid="{00000000-0005-0000-0000-0000972E0000}"/>
    <cellStyle name="Normal 125 4" xfId="12542" xr:uid="{00000000-0005-0000-0000-0000982E0000}"/>
    <cellStyle name="Normal 125 4 2" xfId="12543" xr:uid="{00000000-0005-0000-0000-0000992E0000}"/>
    <cellStyle name="Normal 125 4 2 2" xfId="12544" xr:uid="{00000000-0005-0000-0000-00009A2E0000}"/>
    <cellStyle name="Normal 125 4 3" xfId="12545" xr:uid="{00000000-0005-0000-0000-00009B2E0000}"/>
    <cellStyle name="Normal 125 5" xfId="12546" xr:uid="{00000000-0005-0000-0000-00009C2E0000}"/>
    <cellStyle name="Normal 126" xfId="12547" xr:uid="{00000000-0005-0000-0000-00009D2E0000}"/>
    <cellStyle name="Normal 126 2" xfId="12548" xr:uid="{00000000-0005-0000-0000-00009E2E0000}"/>
    <cellStyle name="Normal 126 2 2" xfId="12549" xr:uid="{00000000-0005-0000-0000-00009F2E0000}"/>
    <cellStyle name="Normal 126 2 2 2" xfId="12550" xr:uid="{00000000-0005-0000-0000-0000A02E0000}"/>
    <cellStyle name="Normal 126 2 3" xfId="12551" xr:uid="{00000000-0005-0000-0000-0000A12E0000}"/>
    <cellStyle name="Normal 126 3" xfId="12552" xr:uid="{00000000-0005-0000-0000-0000A22E0000}"/>
    <cellStyle name="Normal 126 3 2" xfId="12553" xr:uid="{00000000-0005-0000-0000-0000A32E0000}"/>
    <cellStyle name="Normal 126 3 2 2" xfId="12554" xr:uid="{00000000-0005-0000-0000-0000A42E0000}"/>
    <cellStyle name="Normal 126 3 3" xfId="12555" xr:uid="{00000000-0005-0000-0000-0000A52E0000}"/>
    <cellStyle name="Normal 126 3 3 2" xfId="12556" xr:uid="{00000000-0005-0000-0000-0000A62E0000}"/>
    <cellStyle name="Normal 126 3 3 2 2" xfId="12557" xr:uid="{00000000-0005-0000-0000-0000A72E0000}"/>
    <cellStyle name="Normal 126 3 3 3" xfId="12558" xr:uid="{00000000-0005-0000-0000-0000A82E0000}"/>
    <cellStyle name="Normal 126 3 4" xfId="12559" xr:uid="{00000000-0005-0000-0000-0000A92E0000}"/>
    <cellStyle name="Normal 126 4" xfId="12560" xr:uid="{00000000-0005-0000-0000-0000AA2E0000}"/>
    <cellStyle name="Normal 126 4 2" xfId="12561" xr:uid="{00000000-0005-0000-0000-0000AB2E0000}"/>
    <cellStyle name="Normal 126 4 2 2" xfId="12562" xr:uid="{00000000-0005-0000-0000-0000AC2E0000}"/>
    <cellStyle name="Normal 126 4 3" xfId="12563" xr:uid="{00000000-0005-0000-0000-0000AD2E0000}"/>
    <cellStyle name="Normal 126 5" xfId="12564" xr:uid="{00000000-0005-0000-0000-0000AE2E0000}"/>
    <cellStyle name="Normal 127" xfId="12565" xr:uid="{00000000-0005-0000-0000-0000AF2E0000}"/>
    <cellStyle name="Normal 127 2" xfId="12566" xr:uid="{00000000-0005-0000-0000-0000B02E0000}"/>
    <cellStyle name="Normal 127 2 2" xfId="12567" xr:uid="{00000000-0005-0000-0000-0000B12E0000}"/>
    <cellStyle name="Normal 127 2 2 2" xfId="12568" xr:uid="{00000000-0005-0000-0000-0000B22E0000}"/>
    <cellStyle name="Normal 127 2 3" xfId="12569" xr:uid="{00000000-0005-0000-0000-0000B32E0000}"/>
    <cellStyle name="Normal 127 3" xfId="12570" xr:uid="{00000000-0005-0000-0000-0000B42E0000}"/>
    <cellStyle name="Normal 127 3 2" xfId="12571" xr:uid="{00000000-0005-0000-0000-0000B52E0000}"/>
    <cellStyle name="Normal 127 3 2 2" xfId="12572" xr:uid="{00000000-0005-0000-0000-0000B62E0000}"/>
    <cellStyle name="Normal 127 3 3" xfId="12573" xr:uid="{00000000-0005-0000-0000-0000B72E0000}"/>
    <cellStyle name="Normal 127 3 3 2" xfId="12574" xr:uid="{00000000-0005-0000-0000-0000B82E0000}"/>
    <cellStyle name="Normal 127 3 3 2 2" xfId="12575" xr:uid="{00000000-0005-0000-0000-0000B92E0000}"/>
    <cellStyle name="Normal 127 3 3 3" xfId="12576" xr:uid="{00000000-0005-0000-0000-0000BA2E0000}"/>
    <cellStyle name="Normal 127 3 4" xfId="12577" xr:uid="{00000000-0005-0000-0000-0000BB2E0000}"/>
    <cellStyle name="Normal 127 4" xfId="12578" xr:uid="{00000000-0005-0000-0000-0000BC2E0000}"/>
    <cellStyle name="Normal 127 4 2" xfId="12579" xr:uid="{00000000-0005-0000-0000-0000BD2E0000}"/>
    <cellStyle name="Normal 127 4 2 2" xfId="12580" xr:uid="{00000000-0005-0000-0000-0000BE2E0000}"/>
    <cellStyle name="Normal 127 4 3" xfId="12581" xr:uid="{00000000-0005-0000-0000-0000BF2E0000}"/>
    <cellStyle name="Normal 127 5" xfId="12582" xr:uid="{00000000-0005-0000-0000-0000C02E0000}"/>
    <cellStyle name="Normal 128" xfId="12583" xr:uid="{00000000-0005-0000-0000-0000C12E0000}"/>
    <cellStyle name="Normal 128 2" xfId="12584" xr:uid="{00000000-0005-0000-0000-0000C22E0000}"/>
    <cellStyle name="Normal 128 2 2" xfId="12585" xr:uid="{00000000-0005-0000-0000-0000C32E0000}"/>
    <cellStyle name="Normal 128 2 2 2" xfId="12586" xr:uid="{00000000-0005-0000-0000-0000C42E0000}"/>
    <cellStyle name="Normal 128 2 3" xfId="12587" xr:uid="{00000000-0005-0000-0000-0000C52E0000}"/>
    <cellStyle name="Normal 128 3" xfId="12588" xr:uid="{00000000-0005-0000-0000-0000C62E0000}"/>
    <cellStyle name="Normal 128 3 2" xfId="12589" xr:uid="{00000000-0005-0000-0000-0000C72E0000}"/>
    <cellStyle name="Normal 128 3 2 2" xfId="12590" xr:uid="{00000000-0005-0000-0000-0000C82E0000}"/>
    <cellStyle name="Normal 128 3 3" xfId="12591" xr:uid="{00000000-0005-0000-0000-0000C92E0000}"/>
    <cellStyle name="Normal 128 3 3 2" xfId="12592" xr:uid="{00000000-0005-0000-0000-0000CA2E0000}"/>
    <cellStyle name="Normal 128 3 3 2 2" xfId="12593" xr:uid="{00000000-0005-0000-0000-0000CB2E0000}"/>
    <cellStyle name="Normal 128 3 3 3" xfId="12594" xr:uid="{00000000-0005-0000-0000-0000CC2E0000}"/>
    <cellStyle name="Normal 128 3 4" xfId="12595" xr:uid="{00000000-0005-0000-0000-0000CD2E0000}"/>
    <cellStyle name="Normal 128 4" xfId="12596" xr:uid="{00000000-0005-0000-0000-0000CE2E0000}"/>
    <cellStyle name="Normal 128 4 2" xfId="12597" xr:uid="{00000000-0005-0000-0000-0000CF2E0000}"/>
    <cellStyle name="Normal 128 4 2 2" xfId="12598" xr:uid="{00000000-0005-0000-0000-0000D02E0000}"/>
    <cellStyle name="Normal 128 4 3" xfId="12599" xr:uid="{00000000-0005-0000-0000-0000D12E0000}"/>
    <cellStyle name="Normal 128 5" xfId="12600" xr:uid="{00000000-0005-0000-0000-0000D22E0000}"/>
    <cellStyle name="Normal 129" xfId="12601" xr:uid="{00000000-0005-0000-0000-0000D32E0000}"/>
    <cellStyle name="Normal 129 2" xfId="12602" xr:uid="{00000000-0005-0000-0000-0000D42E0000}"/>
    <cellStyle name="Normal 129 2 2" xfId="12603" xr:uid="{00000000-0005-0000-0000-0000D52E0000}"/>
    <cellStyle name="Normal 129 2 2 2" xfId="12604" xr:uid="{00000000-0005-0000-0000-0000D62E0000}"/>
    <cellStyle name="Normal 129 2 3" xfId="12605" xr:uid="{00000000-0005-0000-0000-0000D72E0000}"/>
    <cellStyle name="Normal 129 3" xfId="12606" xr:uid="{00000000-0005-0000-0000-0000D82E0000}"/>
    <cellStyle name="Normal 129 3 2" xfId="12607" xr:uid="{00000000-0005-0000-0000-0000D92E0000}"/>
    <cellStyle name="Normal 129 3 2 2" xfId="12608" xr:uid="{00000000-0005-0000-0000-0000DA2E0000}"/>
    <cellStyle name="Normal 129 3 3" xfId="12609" xr:uid="{00000000-0005-0000-0000-0000DB2E0000}"/>
    <cellStyle name="Normal 129 3 3 2" xfId="12610" xr:uid="{00000000-0005-0000-0000-0000DC2E0000}"/>
    <cellStyle name="Normal 129 3 3 2 2" xfId="12611" xr:uid="{00000000-0005-0000-0000-0000DD2E0000}"/>
    <cellStyle name="Normal 129 3 3 3" xfId="12612" xr:uid="{00000000-0005-0000-0000-0000DE2E0000}"/>
    <cellStyle name="Normal 129 3 4" xfId="12613" xr:uid="{00000000-0005-0000-0000-0000DF2E0000}"/>
    <cellStyle name="Normal 129 4" xfId="12614" xr:uid="{00000000-0005-0000-0000-0000E02E0000}"/>
    <cellStyle name="Normal 129 4 2" xfId="12615" xr:uid="{00000000-0005-0000-0000-0000E12E0000}"/>
    <cellStyle name="Normal 129 4 2 2" xfId="12616" xr:uid="{00000000-0005-0000-0000-0000E22E0000}"/>
    <cellStyle name="Normal 129 4 3" xfId="12617" xr:uid="{00000000-0005-0000-0000-0000E32E0000}"/>
    <cellStyle name="Normal 129 5" xfId="12618" xr:uid="{00000000-0005-0000-0000-0000E42E0000}"/>
    <cellStyle name="Normal 13" xfId="130" xr:uid="{00000000-0005-0000-0000-0000E52E0000}"/>
    <cellStyle name="Normal 13 2" xfId="12620" xr:uid="{00000000-0005-0000-0000-0000E62E0000}"/>
    <cellStyle name="Normal 13 2 2" xfId="12621" xr:uid="{00000000-0005-0000-0000-0000E72E0000}"/>
    <cellStyle name="Normal 13 2 2 2" xfId="12622" xr:uid="{00000000-0005-0000-0000-0000E82E0000}"/>
    <cellStyle name="Normal 13 2 3" xfId="12623" xr:uid="{00000000-0005-0000-0000-0000E92E0000}"/>
    <cellStyle name="Normal 13 2 3 2" xfId="12624" xr:uid="{00000000-0005-0000-0000-0000EA2E0000}"/>
    <cellStyle name="Normal 13 2 3 2 2" xfId="12625" xr:uid="{00000000-0005-0000-0000-0000EB2E0000}"/>
    <cellStyle name="Normal 13 2 3 3" xfId="12626" xr:uid="{00000000-0005-0000-0000-0000EC2E0000}"/>
    <cellStyle name="Normal 13 2 4" xfId="12627" xr:uid="{00000000-0005-0000-0000-0000ED2E0000}"/>
    <cellStyle name="Normal 13 3" xfId="12628" xr:uid="{00000000-0005-0000-0000-0000EE2E0000}"/>
    <cellStyle name="Normal 13 3 2" xfId="12629" xr:uid="{00000000-0005-0000-0000-0000EF2E0000}"/>
    <cellStyle name="Normal 13 3 2 2" xfId="12630" xr:uid="{00000000-0005-0000-0000-0000F02E0000}"/>
    <cellStyle name="Normal 13 3 2 2 2" xfId="12631" xr:uid="{00000000-0005-0000-0000-0000F12E0000}"/>
    <cellStyle name="Normal 13 3 2 3" xfId="12632" xr:uid="{00000000-0005-0000-0000-0000F22E0000}"/>
    <cellStyle name="Normal 13 3 3" xfId="12633" xr:uid="{00000000-0005-0000-0000-0000F32E0000}"/>
    <cellStyle name="Normal 13 3 3 2" xfId="12634" xr:uid="{00000000-0005-0000-0000-0000F42E0000}"/>
    <cellStyle name="Normal 13 3 3 2 2" xfId="12635" xr:uid="{00000000-0005-0000-0000-0000F52E0000}"/>
    <cellStyle name="Normal 13 3 3 3" xfId="12636" xr:uid="{00000000-0005-0000-0000-0000F62E0000}"/>
    <cellStyle name="Normal 13 3 4" xfId="12637" xr:uid="{00000000-0005-0000-0000-0000F72E0000}"/>
    <cellStyle name="Normal 13 4" xfId="12638" xr:uid="{00000000-0005-0000-0000-0000F82E0000}"/>
    <cellStyle name="Normal 13 4 2" xfId="12639" xr:uid="{00000000-0005-0000-0000-0000F92E0000}"/>
    <cellStyle name="Normal 13 5" xfId="12640" xr:uid="{00000000-0005-0000-0000-0000FA2E0000}"/>
    <cellStyle name="Normal 13 5 2" xfId="12641" xr:uid="{00000000-0005-0000-0000-0000FB2E0000}"/>
    <cellStyle name="Normal 13 5 2 2" xfId="12642" xr:uid="{00000000-0005-0000-0000-0000FC2E0000}"/>
    <cellStyle name="Normal 13 5 3" xfId="12643" xr:uid="{00000000-0005-0000-0000-0000FD2E0000}"/>
    <cellStyle name="Normal 13 6" xfId="12644" xr:uid="{00000000-0005-0000-0000-0000FE2E0000}"/>
    <cellStyle name="Normal 13 6 2" xfId="12645" xr:uid="{00000000-0005-0000-0000-0000FF2E0000}"/>
    <cellStyle name="Normal 13 6 2 2" xfId="12646" xr:uid="{00000000-0005-0000-0000-0000002F0000}"/>
    <cellStyle name="Normal 13 6 3" xfId="12647" xr:uid="{00000000-0005-0000-0000-0000012F0000}"/>
    <cellStyle name="Normal 13 7" xfId="12648" xr:uid="{00000000-0005-0000-0000-0000022F0000}"/>
    <cellStyle name="Normal 13 7 2" xfId="12649" xr:uid="{00000000-0005-0000-0000-0000032F0000}"/>
    <cellStyle name="Normal 13 8" xfId="12650" xr:uid="{00000000-0005-0000-0000-0000042F0000}"/>
    <cellStyle name="Normal 13 9" xfId="12619" xr:uid="{00000000-0005-0000-0000-0000052F0000}"/>
    <cellStyle name="Normal 130" xfId="12651" xr:uid="{00000000-0005-0000-0000-0000062F0000}"/>
    <cellStyle name="Normal 130 2" xfId="12652" xr:uid="{00000000-0005-0000-0000-0000072F0000}"/>
    <cellStyle name="Normal 130 2 2" xfId="12653" xr:uid="{00000000-0005-0000-0000-0000082F0000}"/>
    <cellStyle name="Normal 130 2 2 2" xfId="12654" xr:uid="{00000000-0005-0000-0000-0000092F0000}"/>
    <cellStyle name="Normal 130 2 3" xfId="12655" xr:uid="{00000000-0005-0000-0000-00000A2F0000}"/>
    <cellStyle name="Normal 130 3" xfId="12656" xr:uid="{00000000-0005-0000-0000-00000B2F0000}"/>
    <cellStyle name="Normal 130 3 2" xfId="12657" xr:uid="{00000000-0005-0000-0000-00000C2F0000}"/>
    <cellStyle name="Normal 130 3 2 2" xfId="12658" xr:uid="{00000000-0005-0000-0000-00000D2F0000}"/>
    <cellStyle name="Normal 130 3 3" xfId="12659" xr:uid="{00000000-0005-0000-0000-00000E2F0000}"/>
    <cellStyle name="Normal 130 3 3 2" xfId="12660" xr:uid="{00000000-0005-0000-0000-00000F2F0000}"/>
    <cellStyle name="Normal 130 3 3 2 2" xfId="12661" xr:uid="{00000000-0005-0000-0000-0000102F0000}"/>
    <cellStyle name="Normal 130 3 3 3" xfId="12662" xr:uid="{00000000-0005-0000-0000-0000112F0000}"/>
    <cellStyle name="Normal 130 3 4" xfId="12663" xr:uid="{00000000-0005-0000-0000-0000122F0000}"/>
    <cellStyle name="Normal 130 4" xfId="12664" xr:uid="{00000000-0005-0000-0000-0000132F0000}"/>
    <cellStyle name="Normal 130 4 2" xfId="12665" xr:uid="{00000000-0005-0000-0000-0000142F0000}"/>
    <cellStyle name="Normal 130 4 2 2" xfId="12666" xr:uid="{00000000-0005-0000-0000-0000152F0000}"/>
    <cellStyle name="Normal 130 4 3" xfId="12667" xr:uid="{00000000-0005-0000-0000-0000162F0000}"/>
    <cellStyle name="Normal 130 5" xfId="12668" xr:uid="{00000000-0005-0000-0000-0000172F0000}"/>
    <cellStyle name="Normal 131" xfId="12669" xr:uid="{00000000-0005-0000-0000-0000182F0000}"/>
    <cellStyle name="Normal 131 2" xfId="12670" xr:uid="{00000000-0005-0000-0000-0000192F0000}"/>
    <cellStyle name="Normal 131 2 2" xfId="12671" xr:uid="{00000000-0005-0000-0000-00001A2F0000}"/>
    <cellStyle name="Normal 131 2 2 2" xfId="12672" xr:uid="{00000000-0005-0000-0000-00001B2F0000}"/>
    <cellStyle name="Normal 131 2 3" xfId="12673" xr:uid="{00000000-0005-0000-0000-00001C2F0000}"/>
    <cellStyle name="Normal 131 3" xfId="12674" xr:uid="{00000000-0005-0000-0000-00001D2F0000}"/>
    <cellStyle name="Normal 131 3 2" xfId="12675" xr:uid="{00000000-0005-0000-0000-00001E2F0000}"/>
    <cellStyle name="Normal 131 3 2 2" xfId="12676" xr:uid="{00000000-0005-0000-0000-00001F2F0000}"/>
    <cellStyle name="Normal 131 3 3" xfId="12677" xr:uid="{00000000-0005-0000-0000-0000202F0000}"/>
    <cellStyle name="Normal 131 3 3 2" xfId="12678" xr:uid="{00000000-0005-0000-0000-0000212F0000}"/>
    <cellStyle name="Normal 131 3 3 2 2" xfId="12679" xr:uid="{00000000-0005-0000-0000-0000222F0000}"/>
    <cellStyle name="Normal 131 3 3 3" xfId="12680" xr:uid="{00000000-0005-0000-0000-0000232F0000}"/>
    <cellStyle name="Normal 131 3 4" xfId="12681" xr:uid="{00000000-0005-0000-0000-0000242F0000}"/>
    <cellStyle name="Normal 131 4" xfId="12682" xr:uid="{00000000-0005-0000-0000-0000252F0000}"/>
    <cellStyle name="Normal 131 4 2" xfId="12683" xr:uid="{00000000-0005-0000-0000-0000262F0000}"/>
    <cellStyle name="Normal 131 4 2 2" xfId="12684" xr:uid="{00000000-0005-0000-0000-0000272F0000}"/>
    <cellStyle name="Normal 131 4 3" xfId="12685" xr:uid="{00000000-0005-0000-0000-0000282F0000}"/>
    <cellStyle name="Normal 131 5" xfId="12686" xr:uid="{00000000-0005-0000-0000-0000292F0000}"/>
    <cellStyle name="Normal 132" xfId="12687" xr:uid="{00000000-0005-0000-0000-00002A2F0000}"/>
    <cellStyle name="Normal 132 2" xfId="12688" xr:uid="{00000000-0005-0000-0000-00002B2F0000}"/>
    <cellStyle name="Normal 132 2 2" xfId="12689" xr:uid="{00000000-0005-0000-0000-00002C2F0000}"/>
    <cellStyle name="Normal 132 2 2 2" xfId="12690" xr:uid="{00000000-0005-0000-0000-00002D2F0000}"/>
    <cellStyle name="Normal 132 2 3" xfId="12691" xr:uid="{00000000-0005-0000-0000-00002E2F0000}"/>
    <cellStyle name="Normal 132 3" xfId="12692" xr:uid="{00000000-0005-0000-0000-00002F2F0000}"/>
    <cellStyle name="Normal 132 3 2" xfId="12693" xr:uid="{00000000-0005-0000-0000-0000302F0000}"/>
    <cellStyle name="Normal 132 3 2 2" xfId="12694" xr:uid="{00000000-0005-0000-0000-0000312F0000}"/>
    <cellStyle name="Normal 132 3 3" xfId="12695" xr:uid="{00000000-0005-0000-0000-0000322F0000}"/>
    <cellStyle name="Normal 132 3 3 2" xfId="12696" xr:uid="{00000000-0005-0000-0000-0000332F0000}"/>
    <cellStyle name="Normal 132 3 3 2 2" xfId="12697" xr:uid="{00000000-0005-0000-0000-0000342F0000}"/>
    <cellStyle name="Normal 132 3 3 3" xfId="12698" xr:uid="{00000000-0005-0000-0000-0000352F0000}"/>
    <cellStyle name="Normal 132 3 4" xfId="12699" xr:uid="{00000000-0005-0000-0000-0000362F0000}"/>
    <cellStyle name="Normal 132 4" xfId="12700" xr:uid="{00000000-0005-0000-0000-0000372F0000}"/>
    <cellStyle name="Normal 132 4 2" xfId="12701" xr:uid="{00000000-0005-0000-0000-0000382F0000}"/>
    <cellStyle name="Normal 132 4 2 2" xfId="12702" xr:uid="{00000000-0005-0000-0000-0000392F0000}"/>
    <cellStyle name="Normal 132 4 3" xfId="12703" xr:uid="{00000000-0005-0000-0000-00003A2F0000}"/>
    <cellStyle name="Normal 132 5" xfId="12704" xr:uid="{00000000-0005-0000-0000-00003B2F0000}"/>
    <cellStyle name="Normal 133" xfId="12705" xr:uid="{00000000-0005-0000-0000-00003C2F0000}"/>
    <cellStyle name="Normal 133 2" xfId="12706" xr:uid="{00000000-0005-0000-0000-00003D2F0000}"/>
    <cellStyle name="Normal 133 2 2" xfId="12707" xr:uid="{00000000-0005-0000-0000-00003E2F0000}"/>
    <cellStyle name="Normal 133 2 2 2" xfId="12708" xr:uid="{00000000-0005-0000-0000-00003F2F0000}"/>
    <cellStyle name="Normal 133 2 3" xfId="12709" xr:uid="{00000000-0005-0000-0000-0000402F0000}"/>
    <cellStyle name="Normal 133 3" xfId="12710" xr:uid="{00000000-0005-0000-0000-0000412F0000}"/>
    <cellStyle name="Normal 133 3 2" xfId="12711" xr:uid="{00000000-0005-0000-0000-0000422F0000}"/>
    <cellStyle name="Normal 133 3 2 2" xfId="12712" xr:uid="{00000000-0005-0000-0000-0000432F0000}"/>
    <cellStyle name="Normal 133 3 3" xfId="12713" xr:uid="{00000000-0005-0000-0000-0000442F0000}"/>
    <cellStyle name="Normal 133 3 3 2" xfId="12714" xr:uid="{00000000-0005-0000-0000-0000452F0000}"/>
    <cellStyle name="Normal 133 3 3 2 2" xfId="12715" xr:uid="{00000000-0005-0000-0000-0000462F0000}"/>
    <cellStyle name="Normal 133 3 3 3" xfId="12716" xr:uid="{00000000-0005-0000-0000-0000472F0000}"/>
    <cellStyle name="Normal 133 3 4" xfId="12717" xr:uid="{00000000-0005-0000-0000-0000482F0000}"/>
    <cellStyle name="Normal 133 4" xfId="12718" xr:uid="{00000000-0005-0000-0000-0000492F0000}"/>
    <cellStyle name="Normal 133 4 2" xfId="12719" xr:uid="{00000000-0005-0000-0000-00004A2F0000}"/>
    <cellStyle name="Normal 133 4 2 2" xfId="12720" xr:uid="{00000000-0005-0000-0000-00004B2F0000}"/>
    <cellStyle name="Normal 133 4 3" xfId="12721" xr:uid="{00000000-0005-0000-0000-00004C2F0000}"/>
    <cellStyle name="Normal 133 5" xfId="12722" xr:uid="{00000000-0005-0000-0000-00004D2F0000}"/>
    <cellStyle name="Normal 134" xfId="12723" xr:uid="{00000000-0005-0000-0000-00004E2F0000}"/>
    <cellStyle name="Normal 134 2" xfId="12724" xr:uid="{00000000-0005-0000-0000-00004F2F0000}"/>
    <cellStyle name="Normal 134 2 2" xfId="12725" xr:uid="{00000000-0005-0000-0000-0000502F0000}"/>
    <cellStyle name="Normal 134 2 2 2" xfId="12726" xr:uid="{00000000-0005-0000-0000-0000512F0000}"/>
    <cellStyle name="Normal 134 2 3" xfId="12727" xr:uid="{00000000-0005-0000-0000-0000522F0000}"/>
    <cellStyle name="Normal 134 3" xfId="12728" xr:uid="{00000000-0005-0000-0000-0000532F0000}"/>
    <cellStyle name="Normal 134 3 2" xfId="12729" xr:uid="{00000000-0005-0000-0000-0000542F0000}"/>
    <cellStyle name="Normal 134 3 2 2" xfId="12730" xr:uid="{00000000-0005-0000-0000-0000552F0000}"/>
    <cellStyle name="Normal 134 3 3" xfId="12731" xr:uid="{00000000-0005-0000-0000-0000562F0000}"/>
    <cellStyle name="Normal 134 3 3 2" xfId="12732" xr:uid="{00000000-0005-0000-0000-0000572F0000}"/>
    <cellStyle name="Normal 134 3 3 2 2" xfId="12733" xr:uid="{00000000-0005-0000-0000-0000582F0000}"/>
    <cellStyle name="Normal 134 3 3 3" xfId="12734" xr:uid="{00000000-0005-0000-0000-0000592F0000}"/>
    <cellStyle name="Normal 134 3 4" xfId="12735" xr:uid="{00000000-0005-0000-0000-00005A2F0000}"/>
    <cellStyle name="Normal 134 4" xfId="12736" xr:uid="{00000000-0005-0000-0000-00005B2F0000}"/>
    <cellStyle name="Normal 134 4 2" xfId="12737" xr:uid="{00000000-0005-0000-0000-00005C2F0000}"/>
    <cellStyle name="Normal 134 4 2 2" xfId="12738" xr:uid="{00000000-0005-0000-0000-00005D2F0000}"/>
    <cellStyle name="Normal 134 4 3" xfId="12739" xr:uid="{00000000-0005-0000-0000-00005E2F0000}"/>
    <cellStyle name="Normal 134 5" xfId="12740" xr:uid="{00000000-0005-0000-0000-00005F2F0000}"/>
    <cellStyle name="Normal 135" xfId="12741" xr:uid="{00000000-0005-0000-0000-0000602F0000}"/>
    <cellStyle name="Normal 135 2" xfId="12742" xr:uid="{00000000-0005-0000-0000-0000612F0000}"/>
    <cellStyle name="Normal 135 2 2" xfId="12743" xr:uid="{00000000-0005-0000-0000-0000622F0000}"/>
    <cellStyle name="Normal 135 2 2 2" xfId="12744" xr:uid="{00000000-0005-0000-0000-0000632F0000}"/>
    <cellStyle name="Normal 135 2 3" xfId="12745" xr:uid="{00000000-0005-0000-0000-0000642F0000}"/>
    <cellStyle name="Normal 135 3" xfId="12746" xr:uid="{00000000-0005-0000-0000-0000652F0000}"/>
    <cellStyle name="Normal 135 3 2" xfId="12747" xr:uid="{00000000-0005-0000-0000-0000662F0000}"/>
    <cellStyle name="Normal 135 3 2 2" xfId="12748" xr:uid="{00000000-0005-0000-0000-0000672F0000}"/>
    <cellStyle name="Normal 135 3 3" xfId="12749" xr:uid="{00000000-0005-0000-0000-0000682F0000}"/>
    <cellStyle name="Normal 135 3 3 2" xfId="12750" xr:uid="{00000000-0005-0000-0000-0000692F0000}"/>
    <cellStyle name="Normal 135 3 3 2 2" xfId="12751" xr:uid="{00000000-0005-0000-0000-00006A2F0000}"/>
    <cellStyle name="Normal 135 3 3 3" xfId="12752" xr:uid="{00000000-0005-0000-0000-00006B2F0000}"/>
    <cellStyle name="Normal 135 3 4" xfId="12753" xr:uid="{00000000-0005-0000-0000-00006C2F0000}"/>
    <cellStyle name="Normal 135 4" xfId="12754" xr:uid="{00000000-0005-0000-0000-00006D2F0000}"/>
    <cellStyle name="Normal 135 4 2" xfId="12755" xr:uid="{00000000-0005-0000-0000-00006E2F0000}"/>
    <cellStyle name="Normal 135 4 2 2" xfId="12756" xr:uid="{00000000-0005-0000-0000-00006F2F0000}"/>
    <cellStyle name="Normal 135 4 3" xfId="12757" xr:uid="{00000000-0005-0000-0000-0000702F0000}"/>
    <cellStyle name="Normal 135 5" xfId="12758" xr:uid="{00000000-0005-0000-0000-0000712F0000}"/>
    <cellStyle name="Normal 136" xfId="12759" xr:uid="{00000000-0005-0000-0000-0000722F0000}"/>
    <cellStyle name="Normal 136 2" xfId="12760" xr:uid="{00000000-0005-0000-0000-0000732F0000}"/>
    <cellStyle name="Normal 136 2 2" xfId="12761" xr:uid="{00000000-0005-0000-0000-0000742F0000}"/>
    <cellStyle name="Normal 136 2 2 2" xfId="12762" xr:uid="{00000000-0005-0000-0000-0000752F0000}"/>
    <cellStyle name="Normal 136 2 3" xfId="12763" xr:uid="{00000000-0005-0000-0000-0000762F0000}"/>
    <cellStyle name="Normal 136 2 3 2" xfId="12764" xr:uid="{00000000-0005-0000-0000-0000772F0000}"/>
    <cellStyle name="Normal 136 2 3 2 2" xfId="12765" xr:uid="{00000000-0005-0000-0000-0000782F0000}"/>
    <cellStyle name="Normal 136 2 3 3" xfId="12766" xr:uid="{00000000-0005-0000-0000-0000792F0000}"/>
    <cellStyle name="Normal 136 2 4" xfId="12767" xr:uid="{00000000-0005-0000-0000-00007A2F0000}"/>
    <cellStyle name="Normal 136 2 4 2" xfId="12768" xr:uid="{00000000-0005-0000-0000-00007B2F0000}"/>
    <cellStyle name="Normal 136 2 4 2 2" xfId="12769" xr:uid="{00000000-0005-0000-0000-00007C2F0000}"/>
    <cellStyle name="Normal 136 2 4 3" xfId="12770" xr:uid="{00000000-0005-0000-0000-00007D2F0000}"/>
    <cellStyle name="Normal 136 2 5" xfId="12771" xr:uid="{00000000-0005-0000-0000-00007E2F0000}"/>
    <cellStyle name="Normal 136 3" xfId="12772" xr:uid="{00000000-0005-0000-0000-00007F2F0000}"/>
    <cellStyle name="Normal 136 3 2" xfId="12773" xr:uid="{00000000-0005-0000-0000-0000802F0000}"/>
    <cellStyle name="Normal 136 3 2 2" xfId="12774" xr:uid="{00000000-0005-0000-0000-0000812F0000}"/>
    <cellStyle name="Normal 136 3 2 2 2" xfId="12775" xr:uid="{00000000-0005-0000-0000-0000822F0000}"/>
    <cellStyle name="Normal 136 3 2 3" xfId="12776" xr:uid="{00000000-0005-0000-0000-0000832F0000}"/>
    <cellStyle name="Normal 136 3 2 3 2" xfId="12777" xr:uid="{00000000-0005-0000-0000-0000842F0000}"/>
    <cellStyle name="Normal 136 3 2 3 2 2" xfId="12778" xr:uid="{00000000-0005-0000-0000-0000852F0000}"/>
    <cellStyle name="Normal 136 3 2 3 3" xfId="12779" xr:uid="{00000000-0005-0000-0000-0000862F0000}"/>
    <cellStyle name="Normal 136 3 2 4" xfId="12780" xr:uid="{00000000-0005-0000-0000-0000872F0000}"/>
    <cellStyle name="Normal 136 3 3" xfId="12781" xr:uid="{00000000-0005-0000-0000-0000882F0000}"/>
    <cellStyle name="Normal 136 3 3 2" xfId="12782" xr:uid="{00000000-0005-0000-0000-0000892F0000}"/>
    <cellStyle name="Normal 136 3 3 2 2" xfId="12783" xr:uid="{00000000-0005-0000-0000-00008A2F0000}"/>
    <cellStyle name="Normal 136 3 3 3" xfId="12784" xr:uid="{00000000-0005-0000-0000-00008B2F0000}"/>
    <cellStyle name="Normal 136 3 4" xfId="12785" xr:uid="{00000000-0005-0000-0000-00008C2F0000}"/>
    <cellStyle name="Normal 136 3 4 2" xfId="12786" xr:uid="{00000000-0005-0000-0000-00008D2F0000}"/>
    <cellStyle name="Normal 136 3 4 2 2" xfId="12787" xr:uid="{00000000-0005-0000-0000-00008E2F0000}"/>
    <cellStyle name="Normal 136 3 4 3" xfId="12788" xr:uid="{00000000-0005-0000-0000-00008F2F0000}"/>
    <cellStyle name="Normal 136 3 5" xfId="12789" xr:uid="{00000000-0005-0000-0000-0000902F0000}"/>
    <cellStyle name="Normal 136 3 5 2" xfId="12790" xr:uid="{00000000-0005-0000-0000-0000912F0000}"/>
    <cellStyle name="Normal 136 3 5 2 2" xfId="12791" xr:uid="{00000000-0005-0000-0000-0000922F0000}"/>
    <cellStyle name="Normal 136 3 5 3" xfId="12792" xr:uid="{00000000-0005-0000-0000-0000932F0000}"/>
    <cellStyle name="Normal 136 3 6" xfId="12793" xr:uid="{00000000-0005-0000-0000-0000942F0000}"/>
    <cellStyle name="Normal 136 4" xfId="12794" xr:uid="{00000000-0005-0000-0000-0000952F0000}"/>
    <cellStyle name="Normal 136 4 2" xfId="12795" xr:uid="{00000000-0005-0000-0000-0000962F0000}"/>
    <cellStyle name="Normal 136 4 2 2" xfId="12796" xr:uid="{00000000-0005-0000-0000-0000972F0000}"/>
    <cellStyle name="Normal 136 4 3" xfId="12797" xr:uid="{00000000-0005-0000-0000-0000982F0000}"/>
    <cellStyle name="Normal 136 5" xfId="12798" xr:uid="{00000000-0005-0000-0000-0000992F0000}"/>
    <cellStyle name="Normal 136 5 2" xfId="12799" xr:uid="{00000000-0005-0000-0000-00009A2F0000}"/>
    <cellStyle name="Normal 136 5 2 2" xfId="12800" xr:uid="{00000000-0005-0000-0000-00009B2F0000}"/>
    <cellStyle name="Normal 136 5 3" xfId="12801" xr:uid="{00000000-0005-0000-0000-00009C2F0000}"/>
    <cellStyle name="Normal 136 6" xfId="12802" xr:uid="{00000000-0005-0000-0000-00009D2F0000}"/>
    <cellStyle name="Normal 136 6 2" xfId="12803" xr:uid="{00000000-0005-0000-0000-00009E2F0000}"/>
    <cellStyle name="Normal 136 6 2 2" xfId="12804" xr:uid="{00000000-0005-0000-0000-00009F2F0000}"/>
    <cellStyle name="Normal 136 6 3" xfId="12805" xr:uid="{00000000-0005-0000-0000-0000A02F0000}"/>
    <cellStyle name="Normal 136 7" xfId="12806" xr:uid="{00000000-0005-0000-0000-0000A12F0000}"/>
    <cellStyle name="Normal 137" xfId="12807" xr:uid="{00000000-0005-0000-0000-0000A22F0000}"/>
    <cellStyle name="Normal 137 2" xfId="12808" xr:uid="{00000000-0005-0000-0000-0000A32F0000}"/>
    <cellStyle name="Normal 137 2 2" xfId="12809" xr:uid="{00000000-0005-0000-0000-0000A42F0000}"/>
    <cellStyle name="Normal 137 2 2 2" xfId="12810" xr:uid="{00000000-0005-0000-0000-0000A52F0000}"/>
    <cellStyle name="Normal 137 2 3" xfId="12811" xr:uid="{00000000-0005-0000-0000-0000A62F0000}"/>
    <cellStyle name="Normal 137 2 3 2" xfId="12812" xr:uid="{00000000-0005-0000-0000-0000A72F0000}"/>
    <cellStyle name="Normal 137 2 3 2 2" xfId="12813" xr:uid="{00000000-0005-0000-0000-0000A82F0000}"/>
    <cellStyle name="Normal 137 2 3 3" xfId="12814" xr:uid="{00000000-0005-0000-0000-0000A92F0000}"/>
    <cellStyle name="Normal 137 2 4" xfId="12815" xr:uid="{00000000-0005-0000-0000-0000AA2F0000}"/>
    <cellStyle name="Normal 137 2 4 2" xfId="12816" xr:uid="{00000000-0005-0000-0000-0000AB2F0000}"/>
    <cellStyle name="Normal 137 2 4 2 2" xfId="12817" xr:uid="{00000000-0005-0000-0000-0000AC2F0000}"/>
    <cellStyle name="Normal 137 2 4 3" xfId="12818" xr:uid="{00000000-0005-0000-0000-0000AD2F0000}"/>
    <cellStyle name="Normal 137 2 5" xfId="12819" xr:uid="{00000000-0005-0000-0000-0000AE2F0000}"/>
    <cellStyle name="Normal 137 3" xfId="12820" xr:uid="{00000000-0005-0000-0000-0000AF2F0000}"/>
    <cellStyle name="Normal 137 3 2" xfId="12821" xr:uid="{00000000-0005-0000-0000-0000B02F0000}"/>
    <cellStyle name="Normal 137 3 2 2" xfId="12822" xr:uid="{00000000-0005-0000-0000-0000B12F0000}"/>
    <cellStyle name="Normal 137 3 2 2 2" xfId="12823" xr:uid="{00000000-0005-0000-0000-0000B22F0000}"/>
    <cellStyle name="Normal 137 3 2 3" xfId="12824" xr:uid="{00000000-0005-0000-0000-0000B32F0000}"/>
    <cellStyle name="Normal 137 3 2 3 2" xfId="12825" xr:uid="{00000000-0005-0000-0000-0000B42F0000}"/>
    <cellStyle name="Normal 137 3 2 3 2 2" xfId="12826" xr:uid="{00000000-0005-0000-0000-0000B52F0000}"/>
    <cellStyle name="Normal 137 3 2 3 3" xfId="12827" xr:uid="{00000000-0005-0000-0000-0000B62F0000}"/>
    <cellStyle name="Normal 137 3 2 4" xfId="12828" xr:uid="{00000000-0005-0000-0000-0000B72F0000}"/>
    <cellStyle name="Normal 137 3 3" xfId="12829" xr:uid="{00000000-0005-0000-0000-0000B82F0000}"/>
    <cellStyle name="Normal 137 3 3 2" xfId="12830" xr:uid="{00000000-0005-0000-0000-0000B92F0000}"/>
    <cellStyle name="Normal 137 3 3 2 2" xfId="12831" xr:uid="{00000000-0005-0000-0000-0000BA2F0000}"/>
    <cellStyle name="Normal 137 3 3 3" xfId="12832" xr:uid="{00000000-0005-0000-0000-0000BB2F0000}"/>
    <cellStyle name="Normal 137 3 4" xfId="12833" xr:uid="{00000000-0005-0000-0000-0000BC2F0000}"/>
    <cellStyle name="Normal 137 3 4 2" xfId="12834" xr:uid="{00000000-0005-0000-0000-0000BD2F0000}"/>
    <cellStyle name="Normal 137 3 4 2 2" xfId="12835" xr:uid="{00000000-0005-0000-0000-0000BE2F0000}"/>
    <cellStyle name="Normal 137 3 4 3" xfId="12836" xr:uid="{00000000-0005-0000-0000-0000BF2F0000}"/>
    <cellStyle name="Normal 137 3 5" xfId="12837" xr:uid="{00000000-0005-0000-0000-0000C02F0000}"/>
    <cellStyle name="Normal 137 3 5 2" xfId="12838" xr:uid="{00000000-0005-0000-0000-0000C12F0000}"/>
    <cellStyle name="Normal 137 3 5 2 2" xfId="12839" xr:uid="{00000000-0005-0000-0000-0000C22F0000}"/>
    <cellStyle name="Normal 137 3 5 3" xfId="12840" xr:uid="{00000000-0005-0000-0000-0000C32F0000}"/>
    <cellStyle name="Normal 137 3 6" xfId="12841" xr:uid="{00000000-0005-0000-0000-0000C42F0000}"/>
    <cellStyle name="Normal 137 4" xfId="12842" xr:uid="{00000000-0005-0000-0000-0000C52F0000}"/>
    <cellStyle name="Normal 137 4 2" xfId="12843" xr:uid="{00000000-0005-0000-0000-0000C62F0000}"/>
    <cellStyle name="Normal 137 4 2 2" xfId="12844" xr:uid="{00000000-0005-0000-0000-0000C72F0000}"/>
    <cellStyle name="Normal 137 4 3" xfId="12845" xr:uid="{00000000-0005-0000-0000-0000C82F0000}"/>
    <cellStyle name="Normal 137 5" xfId="12846" xr:uid="{00000000-0005-0000-0000-0000C92F0000}"/>
    <cellStyle name="Normal 137 5 2" xfId="12847" xr:uid="{00000000-0005-0000-0000-0000CA2F0000}"/>
    <cellStyle name="Normal 137 5 2 2" xfId="12848" xr:uid="{00000000-0005-0000-0000-0000CB2F0000}"/>
    <cellStyle name="Normal 137 5 3" xfId="12849" xr:uid="{00000000-0005-0000-0000-0000CC2F0000}"/>
    <cellStyle name="Normal 137 6" xfId="12850" xr:uid="{00000000-0005-0000-0000-0000CD2F0000}"/>
    <cellStyle name="Normal 137 6 2" xfId="12851" xr:uid="{00000000-0005-0000-0000-0000CE2F0000}"/>
    <cellStyle name="Normal 137 6 2 2" xfId="12852" xr:uid="{00000000-0005-0000-0000-0000CF2F0000}"/>
    <cellStyle name="Normal 137 6 3" xfId="12853" xr:uid="{00000000-0005-0000-0000-0000D02F0000}"/>
    <cellStyle name="Normal 137 7" xfId="12854" xr:uid="{00000000-0005-0000-0000-0000D12F0000}"/>
    <cellStyle name="Normal 138" xfId="12855" xr:uid="{00000000-0005-0000-0000-0000D22F0000}"/>
    <cellStyle name="Normal 138 2" xfId="12856" xr:uid="{00000000-0005-0000-0000-0000D32F0000}"/>
    <cellStyle name="Normal 138 2 2" xfId="12857" xr:uid="{00000000-0005-0000-0000-0000D42F0000}"/>
    <cellStyle name="Normal 138 2 2 2" xfId="12858" xr:uid="{00000000-0005-0000-0000-0000D52F0000}"/>
    <cellStyle name="Normal 138 2 3" xfId="12859" xr:uid="{00000000-0005-0000-0000-0000D62F0000}"/>
    <cellStyle name="Normal 138 2 3 2" xfId="12860" xr:uid="{00000000-0005-0000-0000-0000D72F0000}"/>
    <cellStyle name="Normal 138 2 3 2 2" xfId="12861" xr:uid="{00000000-0005-0000-0000-0000D82F0000}"/>
    <cellStyle name="Normal 138 2 3 3" xfId="12862" xr:uid="{00000000-0005-0000-0000-0000D92F0000}"/>
    <cellStyle name="Normal 138 2 4" xfId="12863" xr:uid="{00000000-0005-0000-0000-0000DA2F0000}"/>
    <cellStyle name="Normal 138 2 4 2" xfId="12864" xr:uid="{00000000-0005-0000-0000-0000DB2F0000}"/>
    <cellStyle name="Normal 138 2 4 2 2" xfId="12865" xr:uid="{00000000-0005-0000-0000-0000DC2F0000}"/>
    <cellStyle name="Normal 138 2 4 3" xfId="12866" xr:uid="{00000000-0005-0000-0000-0000DD2F0000}"/>
    <cellStyle name="Normal 138 2 5" xfId="12867" xr:uid="{00000000-0005-0000-0000-0000DE2F0000}"/>
    <cellStyle name="Normal 138 3" xfId="12868" xr:uid="{00000000-0005-0000-0000-0000DF2F0000}"/>
    <cellStyle name="Normal 138 3 2" xfId="12869" xr:uid="{00000000-0005-0000-0000-0000E02F0000}"/>
    <cellStyle name="Normal 138 3 2 2" xfId="12870" xr:uid="{00000000-0005-0000-0000-0000E12F0000}"/>
    <cellStyle name="Normal 138 3 2 2 2" xfId="12871" xr:uid="{00000000-0005-0000-0000-0000E22F0000}"/>
    <cellStyle name="Normal 138 3 2 3" xfId="12872" xr:uid="{00000000-0005-0000-0000-0000E32F0000}"/>
    <cellStyle name="Normal 138 3 2 3 2" xfId="12873" xr:uid="{00000000-0005-0000-0000-0000E42F0000}"/>
    <cellStyle name="Normal 138 3 2 3 2 2" xfId="12874" xr:uid="{00000000-0005-0000-0000-0000E52F0000}"/>
    <cellStyle name="Normal 138 3 2 3 3" xfId="12875" xr:uid="{00000000-0005-0000-0000-0000E62F0000}"/>
    <cellStyle name="Normal 138 3 2 4" xfId="12876" xr:uid="{00000000-0005-0000-0000-0000E72F0000}"/>
    <cellStyle name="Normal 138 3 3" xfId="12877" xr:uid="{00000000-0005-0000-0000-0000E82F0000}"/>
    <cellStyle name="Normal 138 3 3 2" xfId="12878" xr:uid="{00000000-0005-0000-0000-0000E92F0000}"/>
    <cellStyle name="Normal 138 3 3 2 2" xfId="12879" xr:uid="{00000000-0005-0000-0000-0000EA2F0000}"/>
    <cellStyle name="Normal 138 3 3 3" xfId="12880" xr:uid="{00000000-0005-0000-0000-0000EB2F0000}"/>
    <cellStyle name="Normal 138 3 4" xfId="12881" xr:uid="{00000000-0005-0000-0000-0000EC2F0000}"/>
    <cellStyle name="Normal 138 3 4 2" xfId="12882" xr:uid="{00000000-0005-0000-0000-0000ED2F0000}"/>
    <cellStyle name="Normal 138 3 4 2 2" xfId="12883" xr:uid="{00000000-0005-0000-0000-0000EE2F0000}"/>
    <cellStyle name="Normal 138 3 4 3" xfId="12884" xr:uid="{00000000-0005-0000-0000-0000EF2F0000}"/>
    <cellStyle name="Normal 138 3 5" xfId="12885" xr:uid="{00000000-0005-0000-0000-0000F02F0000}"/>
    <cellStyle name="Normal 138 3 5 2" xfId="12886" xr:uid="{00000000-0005-0000-0000-0000F12F0000}"/>
    <cellStyle name="Normal 138 3 5 2 2" xfId="12887" xr:uid="{00000000-0005-0000-0000-0000F22F0000}"/>
    <cellStyle name="Normal 138 3 5 3" xfId="12888" xr:uid="{00000000-0005-0000-0000-0000F32F0000}"/>
    <cellStyle name="Normal 138 3 6" xfId="12889" xr:uid="{00000000-0005-0000-0000-0000F42F0000}"/>
    <cellStyle name="Normal 138 4" xfId="12890" xr:uid="{00000000-0005-0000-0000-0000F52F0000}"/>
    <cellStyle name="Normal 138 4 2" xfId="12891" xr:uid="{00000000-0005-0000-0000-0000F62F0000}"/>
    <cellStyle name="Normal 138 4 2 2" xfId="12892" xr:uid="{00000000-0005-0000-0000-0000F72F0000}"/>
    <cellStyle name="Normal 138 4 3" xfId="12893" xr:uid="{00000000-0005-0000-0000-0000F82F0000}"/>
    <cellStyle name="Normal 138 5" xfId="12894" xr:uid="{00000000-0005-0000-0000-0000F92F0000}"/>
    <cellStyle name="Normal 138 5 2" xfId="12895" xr:uid="{00000000-0005-0000-0000-0000FA2F0000}"/>
    <cellStyle name="Normal 138 5 2 2" xfId="12896" xr:uid="{00000000-0005-0000-0000-0000FB2F0000}"/>
    <cellStyle name="Normal 138 5 3" xfId="12897" xr:uid="{00000000-0005-0000-0000-0000FC2F0000}"/>
    <cellStyle name="Normal 138 6" xfId="12898" xr:uid="{00000000-0005-0000-0000-0000FD2F0000}"/>
    <cellStyle name="Normal 138 6 2" xfId="12899" xr:uid="{00000000-0005-0000-0000-0000FE2F0000}"/>
    <cellStyle name="Normal 138 6 2 2" xfId="12900" xr:uid="{00000000-0005-0000-0000-0000FF2F0000}"/>
    <cellStyle name="Normal 138 6 3" xfId="12901" xr:uid="{00000000-0005-0000-0000-000000300000}"/>
    <cellStyle name="Normal 138 7" xfId="12902" xr:uid="{00000000-0005-0000-0000-000001300000}"/>
    <cellStyle name="Normal 139" xfId="12903" xr:uid="{00000000-0005-0000-0000-000002300000}"/>
    <cellStyle name="Normal 139 2" xfId="12904" xr:uid="{00000000-0005-0000-0000-000003300000}"/>
    <cellStyle name="Normal 139 2 2" xfId="12905" xr:uid="{00000000-0005-0000-0000-000004300000}"/>
    <cellStyle name="Normal 139 2 2 2" xfId="12906" xr:uid="{00000000-0005-0000-0000-000005300000}"/>
    <cellStyle name="Normal 139 2 3" xfId="12907" xr:uid="{00000000-0005-0000-0000-000006300000}"/>
    <cellStyle name="Normal 139 2 3 2" xfId="12908" xr:uid="{00000000-0005-0000-0000-000007300000}"/>
    <cellStyle name="Normal 139 2 3 2 2" xfId="12909" xr:uid="{00000000-0005-0000-0000-000008300000}"/>
    <cellStyle name="Normal 139 2 3 3" xfId="12910" xr:uid="{00000000-0005-0000-0000-000009300000}"/>
    <cellStyle name="Normal 139 2 4" xfId="12911" xr:uid="{00000000-0005-0000-0000-00000A300000}"/>
    <cellStyle name="Normal 139 2 4 2" xfId="12912" xr:uid="{00000000-0005-0000-0000-00000B300000}"/>
    <cellStyle name="Normal 139 2 4 2 2" xfId="12913" xr:uid="{00000000-0005-0000-0000-00000C300000}"/>
    <cellStyle name="Normal 139 2 4 3" xfId="12914" xr:uid="{00000000-0005-0000-0000-00000D300000}"/>
    <cellStyle name="Normal 139 2 5" xfId="12915" xr:uid="{00000000-0005-0000-0000-00000E300000}"/>
    <cellStyle name="Normal 139 3" xfId="12916" xr:uid="{00000000-0005-0000-0000-00000F300000}"/>
    <cellStyle name="Normal 139 3 2" xfId="12917" xr:uid="{00000000-0005-0000-0000-000010300000}"/>
    <cellStyle name="Normal 139 3 2 2" xfId="12918" xr:uid="{00000000-0005-0000-0000-000011300000}"/>
    <cellStyle name="Normal 139 3 2 2 2" xfId="12919" xr:uid="{00000000-0005-0000-0000-000012300000}"/>
    <cellStyle name="Normal 139 3 2 3" xfId="12920" xr:uid="{00000000-0005-0000-0000-000013300000}"/>
    <cellStyle name="Normal 139 3 2 3 2" xfId="12921" xr:uid="{00000000-0005-0000-0000-000014300000}"/>
    <cellStyle name="Normal 139 3 2 3 2 2" xfId="12922" xr:uid="{00000000-0005-0000-0000-000015300000}"/>
    <cellStyle name="Normal 139 3 2 3 3" xfId="12923" xr:uid="{00000000-0005-0000-0000-000016300000}"/>
    <cellStyle name="Normal 139 3 2 4" xfId="12924" xr:uid="{00000000-0005-0000-0000-000017300000}"/>
    <cellStyle name="Normal 139 3 3" xfId="12925" xr:uid="{00000000-0005-0000-0000-000018300000}"/>
    <cellStyle name="Normal 139 3 3 2" xfId="12926" xr:uid="{00000000-0005-0000-0000-000019300000}"/>
    <cellStyle name="Normal 139 3 3 2 2" xfId="12927" xr:uid="{00000000-0005-0000-0000-00001A300000}"/>
    <cellStyle name="Normal 139 3 3 3" xfId="12928" xr:uid="{00000000-0005-0000-0000-00001B300000}"/>
    <cellStyle name="Normal 139 3 4" xfId="12929" xr:uid="{00000000-0005-0000-0000-00001C300000}"/>
    <cellStyle name="Normal 139 3 4 2" xfId="12930" xr:uid="{00000000-0005-0000-0000-00001D300000}"/>
    <cellStyle name="Normal 139 3 4 2 2" xfId="12931" xr:uid="{00000000-0005-0000-0000-00001E300000}"/>
    <cellStyle name="Normal 139 3 4 3" xfId="12932" xr:uid="{00000000-0005-0000-0000-00001F300000}"/>
    <cellStyle name="Normal 139 3 5" xfId="12933" xr:uid="{00000000-0005-0000-0000-000020300000}"/>
    <cellStyle name="Normal 139 3 5 2" xfId="12934" xr:uid="{00000000-0005-0000-0000-000021300000}"/>
    <cellStyle name="Normal 139 3 5 2 2" xfId="12935" xr:uid="{00000000-0005-0000-0000-000022300000}"/>
    <cellStyle name="Normal 139 3 5 3" xfId="12936" xr:uid="{00000000-0005-0000-0000-000023300000}"/>
    <cellStyle name="Normal 139 3 6" xfId="12937" xr:uid="{00000000-0005-0000-0000-000024300000}"/>
    <cellStyle name="Normal 139 4" xfId="12938" xr:uid="{00000000-0005-0000-0000-000025300000}"/>
    <cellStyle name="Normal 139 4 2" xfId="12939" xr:uid="{00000000-0005-0000-0000-000026300000}"/>
    <cellStyle name="Normal 139 4 2 2" xfId="12940" xr:uid="{00000000-0005-0000-0000-000027300000}"/>
    <cellStyle name="Normal 139 4 3" xfId="12941" xr:uid="{00000000-0005-0000-0000-000028300000}"/>
    <cellStyle name="Normal 139 5" xfId="12942" xr:uid="{00000000-0005-0000-0000-000029300000}"/>
    <cellStyle name="Normal 139 5 2" xfId="12943" xr:uid="{00000000-0005-0000-0000-00002A300000}"/>
    <cellStyle name="Normal 139 5 2 2" xfId="12944" xr:uid="{00000000-0005-0000-0000-00002B300000}"/>
    <cellStyle name="Normal 139 5 3" xfId="12945" xr:uid="{00000000-0005-0000-0000-00002C300000}"/>
    <cellStyle name="Normal 139 6" xfId="12946" xr:uid="{00000000-0005-0000-0000-00002D300000}"/>
    <cellStyle name="Normal 139 6 2" xfId="12947" xr:uid="{00000000-0005-0000-0000-00002E300000}"/>
    <cellStyle name="Normal 139 6 2 2" xfId="12948" xr:uid="{00000000-0005-0000-0000-00002F300000}"/>
    <cellStyle name="Normal 139 6 3" xfId="12949" xr:uid="{00000000-0005-0000-0000-000030300000}"/>
    <cellStyle name="Normal 139 7" xfId="12950" xr:uid="{00000000-0005-0000-0000-000031300000}"/>
    <cellStyle name="Normal 14" xfId="129" xr:uid="{00000000-0005-0000-0000-000032300000}"/>
    <cellStyle name="Normal 14 2" xfId="12952" xr:uid="{00000000-0005-0000-0000-000033300000}"/>
    <cellStyle name="Normal 14 2 2" xfId="12953" xr:uid="{00000000-0005-0000-0000-000034300000}"/>
    <cellStyle name="Normal 14 2 2 2" xfId="12954" xr:uid="{00000000-0005-0000-0000-000035300000}"/>
    <cellStyle name="Normal 14 2 2 2 2" xfId="12955" xr:uid="{00000000-0005-0000-0000-000036300000}"/>
    <cellStyle name="Normal 14 2 2 3" xfId="12956" xr:uid="{00000000-0005-0000-0000-000037300000}"/>
    <cellStyle name="Normal 14 2 2 3 2" xfId="12957" xr:uid="{00000000-0005-0000-0000-000038300000}"/>
    <cellStyle name="Normal 14 2 2 3 2 2" xfId="12958" xr:uid="{00000000-0005-0000-0000-000039300000}"/>
    <cellStyle name="Normal 14 2 2 3 3" xfId="12959" xr:uid="{00000000-0005-0000-0000-00003A300000}"/>
    <cellStyle name="Normal 14 2 2 4" xfId="12960" xr:uid="{00000000-0005-0000-0000-00003B300000}"/>
    <cellStyle name="Normal 14 2 2 4 2" xfId="12961" xr:uid="{00000000-0005-0000-0000-00003C300000}"/>
    <cellStyle name="Normal 14 2 2 4 2 2" xfId="12962" xr:uid="{00000000-0005-0000-0000-00003D300000}"/>
    <cellStyle name="Normal 14 2 2 4 3" xfId="12963" xr:uid="{00000000-0005-0000-0000-00003E300000}"/>
    <cellStyle name="Normal 14 2 2 5" xfId="12964" xr:uid="{00000000-0005-0000-0000-00003F300000}"/>
    <cellStyle name="Normal 14 2 3" xfId="12965" xr:uid="{00000000-0005-0000-0000-000040300000}"/>
    <cellStyle name="Normal 14 2 3 2" xfId="12966" xr:uid="{00000000-0005-0000-0000-000041300000}"/>
    <cellStyle name="Normal 14 2 3 2 2" xfId="12967" xr:uid="{00000000-0005-0000-0000-000042300000}"/>
    <cellStyle name="Normal 14 2 3 2 2 2" xfId="12968" xr:uid="{00000000-0005-0000-0000-000043300000}"/>
    <cellStyle name="Normal 14 2 3 2 3" xfId="12969" xr:uid="{00000000-0005-0000-0000-000044300000}"/>
    <cellStyle name="Normal 14 2 3 2 3 2" xfId="12970" xr:uid="{00000000-0005-0000-0000-000045300000}"/>
    <cellStyle name="Normal 14 2 3 2 3 2 2" xfId="12971" xr:uid="{00000000-0005-0000-0000-000046300000}"/>
    <cellStyle name="Normal 14 2 3 2 3 3" xfId="12972" xr:uid="{00000000-0005-0000-0000-000047300000}"/>
    <cellStyle name="Normal 14 2 3 2 4" xfId="12973" xr:uid="{00000000-0005-0000-0000-000048300000}"/>
    <cellStyle name="Normal 14 2 3 3" xfId="12974" xr:uid="{00000000-0005-0000-0000-000049300000}"/>
    <cellStyle name="Normal 14 2 3 3 2" xfId="12975" xr:uid="{00000000-0005-0000-0000-00004A300000}"/>
    <cellStyle name="Normal 14 2 3 3 2 2" xfId="12976" xr:uid="{00000000-0005-0000-0000-00004B300000}"/>
    <cellStyle name="Normal 14 2 3 3 3" xfId="12977" xr:uid="{00000000-0005-0000-0000-00004C300000}"/>
    <cellStyle name="Normal 14 2 3 4" xfId="12978" xr:uid="{00000000-0005-0000-0000-00004D300000}"/>
    <cellStyle name="Normal 14 2 3 4 2" xfId="12979" xr:uid="{00000000-0005-0000-0000-00004E300000}"/>
    <cellStyle name="Normal 14 2 3 4 2 2" xfId="12980" xr:uid="{00000000-0005-0000-0000-00004F300000}"/>
    <cellStyle name="Normal 14 2 3 4 3" xfId="12981" xr:uid="{00000000-0005-0000-0000-000050300000}"/>
    <cellStyle name="Normal 14 2 3 5" xfId="12982" xr:uid="{00000000-0005-0000-0000-000051300000}"/>
    <cellStyle name="Normal 14 2 3 5 2" xfId="12983" xr:uid="{00000000-0005-0000-0000-000052300000}"/>
    <cellStyle name="Normal 14 2 3 5 2 2" xfId="12984" xr:uid="{00000000-0005-0000-0000-000053300000}"/>
    <cellStyle name="Normal 14 2 3 5 3" xfId="12985" xr:uid="{00000000-0005-0000-0000-000054300000}"/>
    <cellStyle name="Normal 14 2 3 6" xfId="12986" xr:uid="{00000000-0005-0000-0000-000055300000}"/>
    <cellStyle name="Normal 14 2 4" xfId="12987" xr:uid="{00000000-0005-0000-0000-000056300000}"/>
    <cellStyle name="Normal 14 3" xfId="12988" xr:uid="{00000000-0005-0000-0000-000057300000}"/>
    <cellStyle name="Normal 14 3 2" xfId="12989" xr:uid="{00000000-0005-0000-0000-000058300000}"/>
    <cellStyle name="Normal 14 3 2 2" xfId="12990" xr:uid="{00000000-0005-0000-0000-000059300000}"/>
    <cellStyle name="Normal 14 3 2 2 2" xfId="12991" xr:uid="{00000000-0005-0000-0000-00005A300000}"/>
    <cellStyle name="Normal 14 3 2 3" xfId="12992" xr:uid="{00000000-0005-0000-0000-00005B300000}"/>
    <cellStyle name="Normal 14 3 2 3 2" xfId="12993" xr:uid="{00000000-0005-0000-0000-00005C300000}"/>
    <cellStyle name="Normal 14 3 2 3 2 2" xfId="12994" xr:uid="{00000000-0005-0000-0000-00005D300000}"/>
    <cellStyle name="Normal 14 3 2 3 3" xfId="12995" xr:uid="{00000000-0005-0000-0000-00005E300000}"/>
    <cellStyle name="Normal 14 3 2 4" xfId="12996" xr:uid="{00000000-0005-0000-0000-00005F300000}"/>
    <cellStyle name="Normal 14 3 2 4 2" xfId="12997" xr:uid="{00000000-0005-0000-0000-000060300000}"/>
    <cellStyle name="Normal 14 3 2 4 2 2" xfId="12998" xr:uid="{00000000-0005-0000-0000-000061300000}"/>
    <cellStyle name="Normal 14 3 2 4 3" xfId="12999" xr:uid="{00000000-0005-0000-0000-000062300000}"/>
    <cellStyle name="Normal 14 3 2 5" xfId="13000" xr:uid="{00000000-0005-0000-0000-000063300000}"/>
    <cellStyle name="Normal 14 3 3" xfId="13001" xr:uid="{00000000-0005-0000-0000-000064300000}"/>
    <cellStyle name="Normal 14 3 3 2" xfId="13002" xr:uid="{00000000-0005-0000-0000-000065300000}"/>
    <cellStyle name="Normal 14 3 3 2 2" xfId="13003" xr:uid="{00000000-0005-0000-0000-000066300000}"/>
    <cellStyle name="Normal 14 3 3 3" xfId="13004" xr:uid="{00000000-0005-0000-0000-000067300000}"/>
    <cellStyle name="Normal 14 3 4" xfId="13005" xr:uid="{00000000-0005-0000-0000-000068300000}"/>
    <cellStyle name="Normal 14 3 4 2" xfId="13006" xr:uid="{00000000-0005-0000-0000-000069300000}"/>
    <cellStyle name="Normal 14 3 4 2 2" xfId="13007" xr:uid="{00000000-0005-0000-0000-00006A300000}"/>
    <cellStyle name="Normal 14 3 4 3" xfId="13008" xr:uid="{00000000-0005-0000-0000-00006B300000}"/>
    <cellStyle name="Normal 14 3 5" xfId="13009" xr:uid="{00000000-0005-0000-0000-00006C300000}"/>
    <cellStyle name="Normal 14 3 5 2" xfId="13010" xr:uid="{00000000-0005-0000-0000-00006D300000}"/>
    <cellStyle name="Normal 14 3 5 2 2" xfId="13011" xr:uid="{00000000-0005-0000-0000-00006E300000}"/>
    <cellStyle name="Normal 14 3 5 3" xfId="13012" xr:uid="{00000000-0005-0000-0000-00006F300000}"/>
    <cellStyle name="Normal 14 3 6" xfId="13013" xr:uid="{00000000-0005-0000-0000-000070300000}"/>
    <cellStyle name="Normal 14 4" xfId="13014" xr:uid="{00000000-0005-0000-0000-000071300000}"/>
    <cellStyle name="Normal 14 4 2" xfId="13015" xr:uid="{00000000-0005-0000-0000-000072300000}"/>
    <cellStyle name="Normal 14 4 2 2" xfId="13016" xr:uid="{00000000-0005-0000-0000-000073300000}"/>
    <cellStyle name="Normal 14 4 3" xfId="13017" xr:uid="{00000000-0005-0000-0000-000074300000}"/>
    <cellStyle name="Normal 14 4 3 2" xfId="13018" xr:uid="{00000000-0005-0000-0000-000075300000}"/>
    <cellStyle name="Normal 14 4 3 2 2" xfId="13019" xr:uid="{00000000-0005-0000-0000-000076300000}"/>
    <cellStyle name="Normal 14 4 3 3" xfId="13020" xr:uid="{00000000-0005-0000-0000-000077300000}"/>
    <cellStyle name="Normal 14 4 4" xfId="13021" xr:uid="{00000000-0005-0000-0000-000078300000}"/>
    <cellStyle name="Normal 14 4 4 2" xfId="13022" xr:uid="{00000000-0005-0000-0000-000079300000}"/>
    <cellStyle name="Normal 14 4 4 2 2" xfId="13023" xr:uid="{00000000-0005-0000-0000-00007A300000}"/>
    <cellStyle name="Normal 14 4 4 3" xfId="13024" xr:uid="{00000000-0005-0000-0000-00007B300000}"/>
    <cellStyle name="Normal 14 4 5" xfId="13025" xr:uid="{00000000-0005-0000-0000-00007C300000}"/>
    <cellStyle name="Normal 14 5" xfId="13026" xr:uid="{00000000-0005-0000-0000-00007D300000}"/>
    <cellStyle name="Normal 14 5 2" xfId="13027" xr:uid="{00000000-0005-0000-0000-00007E300000}"/>
    <cellStyle name="Normal 14 5 2 2" xfId="13028" xr:uid="{00000000-0005-0000-0000-00007F300000}"/>
    <cellStyle name="Normal 14 5 2 2 2" xfId="13029" xr:uid="{00000000-0005-0000-0000-000080300000}"/>
    <cellStyle name="Normal 14 5 2 3" xfId="13030" xr:uid="{00000000-0005-0000-0000-000081300000}"/>
    <cellStyle name="Normal 14 5 2 3 2" xfId="13031" xr:uid="{00000000-0005-0000-0000-000082300000}"/>
    <cellStyle name="Normal 14 5 2 3 2 2" xfId="13032" xr:uid="{00000000-0005-0000-0000-000083300000}"/>
    <cellStyle name="Normal 14 5 2 3 3" xfId="13033" xr:uid="{00000000-0005-0000-0000-000084300000}"/>
    <cellStyle name="Normal 14 5 2 4" xfId="13034" xr:uid="{00000000-0005-0000-0000-000085300000}"/>
    <cellStyle name="Normal 14 5 3" xfId="13035" xr:uid="{00000000-0005-0000-0000-000086300000}"/>
    <cellStyle name="Normal 14 5 3 2" xfId="13036" xr:uid="{00000000-0005-0000-0000-000087300000}"/>
    <cellStyle name="Normal 14 5 3 2 2" xfId="13037" xr:uid="{00000000-0005-0000-0000-000088300000}"/>
    <cellStyle name="Normal 14 5 3 3" xfId="13038" xr:uid="{00000000-0005-0000-0000-000089300000}"/>
    <cellStyle name="Normal 14 5 4" xfId="13039" xr:uid="{00000000-0005-0000-0000-00008A300000}"/>
    <cellStyle name="Normal 14 5 4 2" xfId="13040" xr:uid="{00000000-0005-0000-0000-00008B300000}"/>
    <cellStyle name="Normal 14 5 4 2 2" xfId="13041" xr:uid="{00000000-0005-0000-0000-00008C300000}"/>
    <cellStyle name="Normal 14 5 4 3" xfId="13042" xr:uid="{00000000-0005-0000-0000-00008D300000}"/>
    <cellStyle name="Normal 14 5 5" xfId="13043" xr:uid="{00000000-0005-0000-0000-00008E300000}"/>
    <cellStyle name="Normal 14 5 5 2" xfId="13044" xr:uid="{00000000-0005-0000-0000-00008F300000}"/>
    <cellStyle name="Normal 14 5 5 2 2" xfId="13045" xr:uid="{00000000-0005-0000-0000-000090300000}"/>
    <cellStyle name="Normal 14 5 5 3" xfId="13046" xr:uid="{00000000-0005-0000-0000-000091300000}"/>
    <cellStyle name="Normal 14 5 6" xfId="13047" xr:uid="{00000000-0005-0000-0000-000092300000}"/>
    <cellStyle name="Normal 14 6" xfId="13048" xr:uid="{00000000-0005-0000-0000-000093300000}"/>
    <cellStyle name="Normal 14 6 2" xfId="13049" xr:uid="{00000000-0005-0000-0000-000094300000}"/>
    <cellStyle name="Normal 14 6 2 2" xfId="13050" xr:uid="{00000000-0005-0000-0000-000095300000}"/>
    <cellStyle name="Normal 14 6 2 2 2" xfId="13051" xr:uid="{00000000-0005-0000-0000-000096300000}"/>
    <cellStyle name="Normal 14 6 2 3" xfId="13052" xr:uid="{00000000-0005-0000-0000-000097300000}"/>
    <cellStyle name="Normal 14 6 2 3 2" xfId="13053" xr:uid="{00000000-0005-0000-0000-000098300000}"/>
    <cellStyle name="Normal 14 6 2 3 2 2" xfId="13054" xr:uid="{00000000-0005-0000-0000-000099300000}"/>
    <cellStyle name="Normal 14 6 2 3 3" xfId="13055" xr:uid="{00000000-0005-0000-0000-00009A300000}"/>
    <cellStyle name="Normal 14 6 2 4" xfId="13056" xr:uid="{00000000-0005-0000-0000-00009B300000}"/>
    <cellStyle name="Normal 14 6 3" xfId="13057" xr:uid="{00000000-0005-0000-0000-00009C300000}"/>
    <cellStyle name="Normal 14 6 3 2" xfId="13058" xr:uid="{00000000-0005-0000-0000-00009D300000}"/>
    <cellStyle name="Normal 14 6 3 2 2" xfId="13059" xr:uid="{00000000-0005-0000-0000-00009E300000}"/>
    <cellStyle name="Normal 14 6 3 3" xfId="13060" xr:uid="{00000000-0005-0000-0000-00009F300000}"/>
    <cellStyle name="Normal 14 6 4" xfId="13061" xr:uid="{00000000-0005-0000-0000-0000A0300000}"/>
    <cellStyle name="Normal 14 6 4 2" xfId="13062" xr:uid="{00000000-0005-0000-0000-0000A1300000}"/>
    <cellStyle name="Normal 14 6 4 2 2" xfId="13063" xr:uid="{00000000-0005-0000-0000-0000A2300000}"/>
    <cellStyle name="Normal 14 6 4 3" xfId="13064" xr:uid="{00000000-0005-0000-0000-0000A3300000}"/>
    <cellStyle name="Normal 14 6 5" xfId="13065" xr:uid="{00000000-0005-0000-0000-0000A4300000}"/>
    <cellStyle name="Normal 14 7" xfId="13066" xr:uid="{00000000-0005-0000-0000-0000A5300000}"/>
    <cellStyle name="Normal 14 7 2" xfId="13067" xr:uid="{00000000-0005-0000-0000-0000A6300000}"/>
    <cellStyle name="Normal 14 8" xfId="13068" xr:uid="{00000000-0005-0000-0000-0000A7300000}"/>
    <cellStyle name="Normal 14 9" xfId="12951" xr:uid="{00000000-0005-0000-0000-0000A8300000}"/>
    <cellStyle name="Normal 140" xfId="13069" xr:uid="{00000000-0005-0000-0000-0000A9300000}"/>
    <cellStyle name="Normal 140 2" xfId="13070" xr:uid="{00000000-0005-0000-0000-0000AA300000}"/>
    <cellStyle name="Normal 140 2 2" xfId="13071" xr:uid="{00000000-0005-0000-0000-0000AB300000}"/>
    <cellStyle name="Normal 140 2 2 2" xfId="13072" xr:uid="{00000000-0005-0000-0000-0000AC300000}"/>
    <cellStyle name="Normal 140 2 3" xfId="13073" xr:uid="{00000000-0005-0000-0000-0000AD300000}"/>
    <cellStyle name="Normal 140 2 3 2" xfId="13074" xr:uid="{00000000-0005-0000-0000-0000AE300000}"/>
    <cellStyle name="Normal 140 2 3 2 2" xfId="13075" xr:uid="{00000000-0005-0000-0000-0000AF300000}"/>
    <cellStyle name="Normal 140 2 3 3" xfId="13076" xr:uid="{00000000-0005-0000-0000-0000B0300000}"/>
    <cellStyle name="Normal 140 2 4" xfId="13077" xr:uid="{00000000-0005-0000-0000-0000B1300000}"/>
    <cellStyle name="Normal 140 2 4 2" xfId="13078" xr:uid="{00000000-0005-0000-0000-0000B2300000}"/>
    <cellStyle name="Normal 140 2 4 2 2" xfId="13079" xr:uid="{00000000-0005-0000-0000-0000B3300000}"/>
    <cellStyle name="Normal 140 2 4 3" xfId="13080" xr:uid="{00000000-0005-0000-0000-0000B4300000}"/>
    <cellStyle name="Normal 140 2 5" xfId="13081" xr:uid="{00000000-0005-0000-0000-0000B5300000}"/>
    <cellStyle name="Normal 140 3" xfId="13082" xr:uid="{00000000-0005-0000-0000-0000B6300000}"/>
    <cellStyle name="Normal 140 3 2" xfId="13083" xr:uid="{00000000-0005-0000-0000-0000B7300000}"/>
    <cellStyle name="Normal 140 3 2 2" xfId="13084" xr:uid="{00000000-0005-0000-0000-0000B8300000}"/>
    <cellStyle name="Normal 140 3 2 2 2" xfId="13085" xr:uid="{00000000-0005-0000-0000-0000B9300000}"/>
    <cellStyle name="Normal 140 3 2 3" xfId="13086" xr:uid="{00000000-0005-0000-0000-0000BA300000}"/>
    <cellStyle name="Normal 140 3 2 3 2" xfId="13087" xr:uid="{00000000-0005-0000-0000-0000BB300000}"/>
    <cellStyle name="Normal 140 3 2 3 2 2" xfId="13088" xr:uid="{00000000-0005-0000-0000-0000BC300000}"/>
    <cellStyle name="Normal 140 3 2 3 3" xfId="13089" xr:uid="{00000000-0005-0000-0000-0000BD300000}"/>
    <cellStyle name="Normal 140 3 2 4" xfId="13090" xr:uid="{00000000-0005-0000-0000-0000BE300000}"/>
    <cellStyle name="Normal 140 3 3" xfId="13091" xr:uid="{00000000-0005-0000-0000-0000BF300000}"/>
    <cellStyle name="Normal 140 3 3 2" xfId="13092" xr:uid="{00000000-0005-0000-0000-0000C0300000}"/>
    <cellStyle name="Normal 140 3 3 2 2" xfId="13093" xr:uid="{00000000-0005-0000-0000-0000C1300000}"/>
    <cellStyle name="Normal 140 3 3 3" xfId="13094" xr:uid="{00000000-0005-0000-0000-0000C2300000}"/>
    <cellStyle name="Normal 140 3 4" xfId="13095" xr:uid="{00000000-0005-0000-0000-0000C3300000}"/>
    <cellStyle name="Normal 140 3 4 2" xfId="13096" xr:uid="{00000000-0005-0000-0000-0000C4300000}"/>
    <cellStyle name="Normal 140 3 4 2 2" xfId="13097" xr:uid="{00000000-0005-0000-0000-0000C5300000}"/>
    <cellStyle name="Normal 140 3 4 3" xfId="13098" xr:uid="{00000000-0005-0000-0000-0000C6300000}"/>
    <cellStyle name="Normal 140 3 5" xfId="13099" xr:uid="{00000000-0005-0000-0000-0000C7300000}"/>
    <cellStyle name="Normal 140 3 5 2" xfId="13100" xr:uid="{00000000-0005-0000-0000-0000C8300000}"/>
    <cellStyle name="Normal 140 3 5 2 2" xfId="13101" xr:uid="{00000000-0005-0000-0000-0000C9300000}"/>
    <cellStyle name="Normal 140 3 5 3" xfId="13102" xr:uid="{00000000-0005-0000-0000-0000CA300000}"/>
    <cellStyle name="Normal 140 3 6" xfId="13103" xr:uid="{00000000-0005-0000-0000-0000CB300000}"/>
    <cellStyle name="Normal 140 4" xfId="13104" xr:uid="{00000000-0005-0000-0000-0000CC300000}"/>
    <cellStyle name="Normal 140 4 2" xfId="13105" xr:uid="{00000000-0005-0000-0000-0000CD300000}"/>
    <cellStyle name="Normal 140 4 2 2" xfId="13106" xr:uid="{00000000-0005-0000-0000-0000CE300000}"/>
    <cellStyle name="Normal 140 4 3" xfId="13107" xr:uid="{00000000-0005-0000-0000-0000CF300000}"/>
    <cellStyle name="Normal 140 5" xfId="13108" xr:uid="{00000000-0005-0000-0000-0000D0300000}"/>
    <cellStyle name="Normal 140 5 2" xfId="13109" xr:uid="{00000000-0005-0000-0000-0000D1300000}"/>
    <cellStyle name="Normal 140 5 2 2" xfId="13110" xr:uid="{00000000-0005-0000-0000-0000D2300000}"/>
    <cellStyle name="Normal 140 5 3" xfId="13111" xr:uid="{00000000-0005-0000-0000-0000D3300000}"/>
    <cellStyle name="Normal 140 6" xfId="13112" xr:uid="{00000000-0005-0000-0000-0000D4300000}"/>
    <cellStyle name="Normal 140 6 2" xfId="13113" xr:uid="{00000000-0005-0000-0000-0000D5300000}"/>
    <cellStyle name="Normal 140 6 2 2" xfId="13114" xr:uid="{00000000-0005-0000-0000-0000D6300000}"/>
    <cellStyle name="Normal 140 6 3" xfId="13115" xr:uid="{00000000-0005-0000-0000-0000D7300000}"/>
    <cellStyle name="Normal 140 7" xfId="13116" xr:uid="{00000000-0005-0000-0000-0000D8300000}"/>
    <cellStyle name="Normal 141" xfId="13117" xr:uid="{00000000-0005-0000-0000-0000D9300000}"/>
    <cellStyle name="Normal 141 2" xfId="13118" xr:uid="{00000000-0005-0000-0000-0000DA300000}"/>
    <cellStyle name="Normal 141 2 2" xfId="13119" xr:uid="{00000000-0005-0000-0000-0000DB300000}"/>
    <cellStyle name="Normal 141 2 2 2" xfId="13120" xr:uid="{00000000-0005-0000-0000-0000DC300000}"/>
    <cellStyle name="Normal 141 2 3" xfId="13121" xr:uid="{00000000-0005-0000-0000-0000DD300000}"/>
    <cellStyle name="Normal 141 2 3 2" xfId="13122" xr:uid="{00000000-0005-0000-0000-0000DE300000}"/>
    <cellStyle name="Normal 141 2 3 2 2" xfId="13123" xr:uid="{00000000-0005-0000-0000-0000DF300000}"/>
    <cellStyle name="Normal 141 2 3 3" xfId="13124" xr:uid="{00000000-0005-0000-0000-0000E0300000}"/>
    <cellStyle name="Normal 141 2 4" xfId="13125" xr:uid="{00000000-0005-0000-0000-0000E1300000}"/>
    <cellStyle name="Normal 141 2 4 2" xfId="13126" xr:uid="{00000000-0005-0000-0000-0000E2300000}"/>
    <cellStyle name="Normal 141 2 4 2 2" xfId="13127" xr:uid="{00000000-0005-0000-0000-0000E3300000}"/>
    <cellStyle name="Normal 141 2 4 3" xfId="13128" xr:uid="{00000000-0005-0000-0000-0000E4300000}"/>
    <cellStyle name="Normal 141 2 5" xfId="13129" xr:uid="{00000000-0005-0000-0000-0000E5300000}"/>
    <cellStyle name="Normal 141 3" xfId="13130" xr:uid="{00000000-0005-0000-0000-0000E6300000}"/>
    <cellStyle name="Normal 141 3 2" xfId="13131" xr:uid="{00000000-0005-0000-0000-0000E7300000}"/>
    <cellStyle name="Normal 141 3 2 2" xfId="13132" xr:uid="{00000000-0005-0000-0000-0000E8300000}"/>
    <cellStyle name="Normal 141 3 2 2 2" xfId="13133" xr:uid="{00000000-0005-0000-0000-0000E9300000}"/>
    <cellStyle name="Normal 141 3 2 3" xfId="13134" xr:uid="{00000000-0005-0000-0000-0000EA300000}"/>
    <cellStyle name="Normal 141 3 2 3 2" xfId="13135" xr:uid="{00000000-0005-0000-0000-0000EB300000}"/>
    <cellStyle name="Normal 141 3 2 3 2 2" xfId="13136" xr:uid="{00000000-0005-0000-0000-0000EC300000}"/>
    <cellStyle name="Normal 141 3 2 3 3" xfId="13137" xr:uid="{00000000-0005-0000-0000-0000ED300000}"/>
    <cellStyle name="Normal 141 3 2 4" xfId="13138" xr:uid="{00000000-0005-0000-0000-0000EE300000}"/>
    <cellStyle name="Normal 141 3 3" xfId="13139" xr:uid="{00000000-0005-0000-0000-0000EF300000}"/>
    <cellStyle name="Normal 141 3 3 2" xfId="13140" xr:uid="{00000000-0005-0000-0000-0000F0300000}"/>
    <cellStyle name="Normal 141 3 3 2 2" xfId="13141" xr:uid="{00000000-0005-0000-0000-0000F1300000}"/>
    <cellStyle name="Normal 141 3 3 3" xfId="13142" xr:uid="{00000000-0005-0000-0000-0000F2300000}"/>
    <cellStyle name="Normal 141 3 4" xfId="13143" xr:uid="{00000000-0005-0000-0000-0000F3300000}"/>
    <cellStyle name="Normal 141 3 4 2" xfId="13144" xr:uid="{00000000-0005-0000-0000-0000F4300000}"/>
    <cellStyle name="Normal 141 3 4 2 2" xfId="13145" xr:uid="{00000000-0005-0000-0000-0000F5300000}"/>
    <cellStyle name="Normal 141 3 4 3" xfId="13146" xr:uid="{00000000-0005-0000-0000-0000F6300000}"/>
    <cellStyle name="Normal 141 3 5" xfId="13147" xr:uid="{00000000-0005-0000-0000-0000F7300000}"/>
    <cellStyle name="Normal 141 3 5 2" xfId="13148" xr:uid="{00000000-0005-0000-0000-0000F8300000}"/>
    <cellStyle name="Normal 141 3 5 2 2" xfId="13149" xr:uid="{00000000-0005-0000-0000-0000F9300000}"/>
    <cellStyle name="Normal 141 3 5 3" xfId="13150" xr:uid="{00000000-0005-0000-0000-0000FA300000}"/>
    <cellStyle name="Normal 141 3 6" xfId="13151" xr:uid="{00000000-0005-0000-0000-0000FB300000}"/>
    <cellStyle name="Normal 141 4" xfId="13152" xr:uid="{00000000-0005-0000-0000-0000FC300000}"/>
    <cellStyle name="Normal 141 4 2" xfId="13153" xr:uid="{00000000-0005-0000-0000-0000FD300000}"/>
    <cellStyle name="Normal 141 4 2 2" xfId="13154" xr:uid="{00000000-0005-0000-0000-0000FE300000}"/>
    <cellStyle name="Normal 141 4 3" xfId="13155" xr:uid="{00000000-0005-0000-0000-0000FF300000}"/>
    <cellStyle name="Normal 141 5" xfId="13156" xr:uid="{00000000-0005-0000-0000-000000310000}"/>
    <cellStyle name="Normal 141 5 2" xfId="13157" xr:uid="{00000000-0005-0000-0000-000001310000}"/>
    <cellStyle name="Normal 141 5 2 2" xfId="13158" xr:uid="{00000000-0005-0000-0000-000002310000}"/>
    <cellStyle name="Normal 141 5 3" xfId="13159" xr:uid="{00000000-0005-0000-0000-000003310000}"/>
    <cellStyle name="Normal 141 6" xfId="13160" xr:uid="{00000000-0005-0000-0000-000004310000}"/>
    <cellStyle name="Normal 141 6 2" xfId="13161" xr:uid="{00000000-0005-0000-0000-000005310000}"/>
    <cellStyle name="Normal 141 6 2 2" xfId="13162" xr:uid="{00000000-0005-0000-0000-000006310000}"/>
    <cellStyle name="Normal 141 6 3" xfId="13163" xr:uid="{00000000-0005-0000-0000-000007310000}"/>
    <cellStyle name="Normal 141 7" xfId="13164" xr:uid="{00000000-0005-0000-0000-000008310000}"/>
    <cellStyle name="Normal 142" xfId="13165" xr:uid="{00000000-0005-0000-0000-000009310000}"/>
    <cellStyle name="Normal 142 2" xfId="13166" xr:uid="{00000000-0005-0000-0000-00000A310000}"/>
    <cellStyle name="Normal 142 2 2" xfId="13167" xr:uid="{00000000-0005-0000-0000-00000B310000}"/>
    <cellStyle name="Normal 142 2 2 2" xfId="13168" xr:uid="{00000000-0005-0000-0000-00000C310000}"/>
    <cellStyle name="Normal 142 2 3" xfId="13169" xr:uid="{00000000-0005-0000-0000-00000D310000}"/>
    <cellStyle name="Normal 142 2 3 2" xfId="13170" xr:uid="{00000000-0005-0000-0000-00000E310000}"/>
    <cellStyle name="Normal 142 2 3 2 2" xfId="13171" xr:uid="{00000000-0005-0000-0000-00000F310000}"/>
    <cellStyle name="Normal 142 2 3 3" xfId="13172" xr:uid="{00000000-0005-0000-0000-000010310000}"/>
    <cellStyle name="Normal 142 2 4" xfId="13173" xr:uid="{00000000-0005-0000-0000-000011310000}"/>
    <cellStyle name="Normal 142 2 4 2" xfId="13174" xr:uid="{00000000-0005-0000-0000-000012310000}"/>
    <cellStyle name="Normal 142 2 4 2 2" xfId="13175" xr:uid="{00000000-0005-0000-0000-000013310000}"/>
    <cellStyle name="Normal 142 2 4 3" xfId="13176" xr:uid="{00000000-0005-0000-0000-000014310000}"/>
    <cellStyle name="Normal 142 2 5" xfId="13177" xr:uid="{00000000-0005-0000-0000-000015310000}"/>
    <cellStyle name="Normal 142 3" xfId="13178" xr:uid="{00000000-0005-0000-0000-000016310000}"/>
    <cellStyle name="Normal 142 3 2" xfId="13179" xr:uid="{00000000-0005-0000-0000-000017310000}"/>
    <cellStyle name="Normal 142 3 2 2" xfId="13180" xr:uid="{00000000-0005-0000-0000-000018310000}"/>
    <cellStyle name="Normal 142 3 2 2 2" xfId="13181" xr:uid="{00000000-0005-0000-0000-000019310000}"/>
    <cellStyle name="Normal 142 3 2 3" xfId="13182" xr:uid="{00000000-0005-0000-0000-00001A310000}"/>
    <cellStyle name="Normal 142 3 2 3 2" xfId="13183" xr:uid="{00000000-0005-0000-0000-00001B310000}"/>
    <cellStyle name="Normal 142 3 2 3 2 2" xfId="13184" xr:uid="{00000000-0005-0000-0000-00001C310000}"/>
    <cellStyle name="Normal 142 3 2 3 3" xfId="13185" xr:uid="{00000000-0005-0000-0000-00001D310000}"/>
    <cellStyle name="Normal 142 3 2 4" xfId="13186" xr:uid="{00000000-0005-0000-0000-00001E310000}"/>
    <cellStyle name="Normal 142 3 3" xfId="13187" xr:uid="{00000000-0005-0000-0000-00001F310000}"/>
    <cellStyle name="Normal 142 3 3 2" xfId="13188" xr:uid="{00000000-0005-0000-0000-000020310000}"/>
    <cellStyle name="Normal 142 3 3 2 2" xfId="13189" xr:uid="{00000000-0005-0000-0000-000021310000}"/>
    <cellStyle name="Normal 142 3 3 3" xfId="13190" xr:uid="{00000000-0005-0000-0000-000022310000}"/>
    <cellStyle name="Normal 142 3 4" xfId="13191" xr:uid="{00000000-0005-0000-0000-000023310000}"/>
    <cellStyle name="Normal 142 3 4 2" xfId="13192" xr:uid="{00000000-0005-0000-0000-000024310000}"/>
    <cellStyle name="Normal 142 3 4 2 2" xfId="13193" xr:uid="{00000000-0005-0000-0000-000025310000}"/>
    <cellStyle name="Normal 142 3 4 3" xfId="13194" xr:uid="{00000000-0005-0000-0000-000026310000}"/>
    <cellStyle name="Normal 142 3 5" xfId="13195" xr:uid="{00000000-0005-0000-0000-000027310000}"/>
    <cellStyle name="Normal 142 3 5 2" xfId="13196" xr:uid="{00000000-0005-0000-0000-000028310000}"/>
    <cellStyle name="Normal 142 3 5 2 2" xfId="13197" xr:uid="{00000000-0005-0000-0000-000029310000}"/>
    <cellStyle name="Normal 142 3 5 3" xfId="13198" xr:uid="{00000000-0005-0000-0000-00002A310000}"/>
    <cellStyle name="Normal 142 3 6" xfId="13199" xr:uid="{00000000-0005-0000-0000-00002B310000}"/>
    <cellStyle name="Normal 142 4" xfId="13200" xr:uid="{00000000-0005-0000-0000-00002C310000}"/>
    <cellStyle name="Normal 142 4 2" xfId="13201" xr:uid="{00000000-0005-0000-0000-00002D310000}"/>
    <cellStyle name="Normal 142 4 2 2" xfId="13202" xr:uid="{00000000-0005-0000-0000-00002E310000}"/>
    <cellStyle name="Normal 142 4 3" xfId="13203" xr:uid="{00000000-0005-0000-0000-00002F310000}"/>
    <cellStyle name="Normal 142 5" xfId="13204" xr:uid="{00000000-0005-0000-0000-000030310000}"/>
    <cellStyle name="Normal 142 5 2" xfId="13205" xr:uid="{00000000-0005-0000-0000-000031310000}"/>
    <cellStyle name="Normal 142 5 2 2" xfId="13206" xr:uid="{00000000-0005-0000-0000-000032310000}"/>
    <cellStyle name="Normal 142 5 3" xfId="13207" xr:uid="{00000000-0005-0000-0000-000033310000}"/>
    <cellStyle name="Normal 142 6" xfId="13208" xr:uid="{00000000-0005-0000-0000-000034310000}"/>
    <cellStyle name="Normal 142 6 2" xfId="13209" xr:uid="{00000000-0005-0000-0000-000035310000}"/>
    <cellStyle name="Normal 142 6 2 2" xfId="13210" xr:uid="{00000000-0005-0000-0000-000036310000}"/>
    <cellStyle name="Normal 142 6 3" xfId="13211" xr:uid="{00000000-0005-0000-0000-000037310000}"/>
    <cellStyle name="Normal 142 7" xfId="13212" xr:uid="{00000000-0005-0000-0000-000038310000}"/>
    <cellStyle name="Normal 143" xfId="13213" xr:uid="{00000000-0005-0000-0000-000039310000}"/>
    <cellStyle name="Normal 143 2" xfId="13214" xr:uid="{00000000-0005-0000-0000-00003A310000}"/>
    <cellStyle name="Normal 143 2 2" xfId="13215" xr:uid="{00000000-0005-0000-0000-00003B310000}"/>
    <cellStyle name="Normal 143 2 2 2" xfId="13216" xr:uid="{00000000-0005-0000-0000-00003C310000}"/>
    <cellStyle name="Normal 143 2 3" xfId="13217" xr:uid="{00000000-0005-0000-0000-00003D310000}"/>
    <cellStyle name="Normal 143 2 3 2" xfId="13218" xr:uid="{00000000-0005-0000-0000-00003E310000}"/>
    <cellStyle name="Normal 143 2 3 2 2" xfId="13219" xr:uid="{00000000-0005-0000-0000-00003F310000}"/>
    <cellStyle name="Normal 143 2 3 3" xfId="13220" xr:uid="{00000000-0005-0000-0000-000040310000}"/>
    <cellStyle name="Normal 143 2 4" xfId="13221" xr:uid="{00000000-0005-0000-0000-000041310000}"/>
    <cellStyle name="Normal 143 2 4 2" xfId="13222" xr:uid="{00000000-0005-0000-0000-000042310000}"/>
    <cellStyle name="Normal 143 2 4 2 2" xfId="13223" xr:uid="{00000000-0005-0000-0000-000043310000}"/>
    <cellStyle name="Normal 143 2 4 3" xfId="13224" xr:uid="{00000000-0005-0000-0000-000044310000}"/>
    <cellStyle name="Normal 143 2 5" xfId="13225" xr:uid="{00000000-0005-0000-0000-000045310000}"/>
    <cellStyle name="Normal 143 3" xfId="13226" xr:uid="{00000000-0005-0000-0000-000046310000}"/>
    <cellStyle name="Normal 143 3 2" xfId="13227" xr:uid="{00000000-0005-0000-0000-000047310000}"/>
    <cellStyle name="Normal 143 3 2 2" xfId="13228" xr:uid="{00000000-0005-0000-0000-000048310000}"/>
    <cellStyle name="Normal 143 3 2 2 2" xfId="13229" xr:uid="{00000000-0005-0000-0000-000049310000}"/>
    <cellStyle name="Normal 143 3 2 3" xfId="13230" xr:uid="{00000000-0005-0000-0000-00004A310000}"/>
    <cellStyle name="Normal 143 3 2 3 2" xfId="13231" xr:uid="{00000000-0005-0000-0000-00004B310000}"/>
    <cellStyle name="Normal 143 3 2 3 2 2" xfId="13232" xr:uid="{00000000-0005-0000-0000-00004C310000}"/>
    <cellStyle name="Normal 143 3 2 3 3" xfId="13233" xr:uid="{00000000-0005-0000-0000-00004D310000}"/>
    <cellStyle name="Normal 143 3 2 4" xfId="13234" xr:uid="{00000000-0005-0000-0000-00004E310000}"/>
    <cellStyle name="Normal 143 3 3" xfId="13235" xr:uid="{00000000-0005-0000-0000-00004F310000}"/>
    <cellStyle name="Normal 143 3 3 2" xfId="13236" xr:uid="{00000000-0005-0000-0000-000050310000}"/>
    <cellStyle name="Normal 143 3 3 2 2" xfId="13237" xr:uid="{00000000-0005-0000-0000-000051310000}"/>
    <cellStyle name="Normal 143 3 3 3" xfId="13238" xr:uid="{00000000-0005-0000-0000-000052310000}"/>
    <cellStyle name="Normal 143 3 4" xfId="13239" xr:uid="{00000000-0005-0000-0000-000053310000}"/>
    <cellStyle name="Normal 143 3 4 2" xfId="13240" xr:uid="{00000000-0005-0000-0000-000054310000}"/>
    <cellStyle name="Normal 143 3 4 2 2" xfId="13241" xr:uid="{00000000-0005-0000-0000-000055310000}"/>
    <cellStyle name="Normal 143 3 4 3" xfId="13242" xr:uid="{00000000-0005-0000-0000-000056310000}"/>
    <cellStyle name="Normal 143 3 5" xfId="13243" xr:uid="{00000000-0005-0000-0000-000057310000}"/>
    <cellStyle name="Normal 143 3 5 2" xfId="13244" xr:uid="{00000000-0005-0000-0000-000058310000}"/>
    <cellStyle name="Normal 143 3 5 2 2" xfId="13245" xr:uid="{00000000-0005-0000-0000-000059310000}"/>
    <cellStyle name="Normal 143 3 5 3" xfId="13246" xr:uid="{00000000-0005-0000-0000-00005A310000}"/>
    <cellStyle name="Normal 143 3 6" xfId="13247" xr:uid="{00000000-0005-0000-0000-00005B310000}"/>
    <cellStyle name="Normal 143 4" xfId="13248" xr:uid="{00000000-0005-0000-0000-00005C310000}"/>
    <cellStyle name="Normal 143 4 2" xfId="13249" xr:uid="{00000000-0005-0000-0000-00005D310000}"/>
    <cellStyle name="Normal 143 4 2 2" xfId="13250" xr:uid="{00000000-0005-0000-0000-00005E310000}"/>
    <cellStyle name="Normal 143 4 3" xfId="13251" xr:uid="{00000000-0005-0000-0000-00005F310000}"/>
    <cellStyle name="Normal 143 5" xfId="13252" xr:uid="{00000000-0005-0000-0000-000060310000}"/>
    <cellStyle name="Normal 143 5 2" xfId="13253" xr:uid="{00000000-0005-0000-0000-000061310000}"/>
    <cellStyle name="Normal 143 5 2 2" xfId="13254" xr:uid="{00000000-0005-0000-0000-000062310000}"/>
    <cellStyle name="Normal 143 5 3" xfId="13255" xr:uid="{00000000-0005-0000-0000-000063310000}"/>
    <cellStyle name="Normal 143 6" xfId="13256" xr:uid="{00000000-0005-0000-0000-000064310000}"/>
    <cellStyle name="Normal 143 6 2" xfId="13257" xr:uid="{00000000-0005-0000-0000-000065310000}"/>
    <cellStyle name="Normal 143 6 2 2" xfId="13258" xr:uid="{00000000-0005-0000-0000-000066310000}"/>
    <cellStyle name="Normal 143 6 3" xfId="13259" xr:uid="{00000000-0005-0000-0000-000067310000}"/>
    <cellStyle name="Normal 143 7" xfId="13260" xr:uid="{00000000-0005-0000-0000-000068310000}"/>
    <cellStyle name="Normal 144" xfId="13261" xr:uid="{00000000-0005-0000-0000-000069310000}"/>
    <cellStyle name="Normal 144 2" xfId="13262" xr:uid="{00000000-0005-0000-0000-00006A310000}"/>
    <cellStyle name="Normal 144 2 2" xfId="13263" xr:uid="{00000000-0005-0000-0000-00006B310000}"/>
    <cellStyle name="Normal 144 2 2 2" xfId="13264" xr:uid="{00000000-0005-0000-0000-00006C310000}"/>
    <cellStyle name="Normal 144 2 3" xfId="13265" xr:uid="{00000000-0005-0000-0000-00006D310000}"/>
    <cellStyle name="Normal 144 2 3 2" xfId="13266" xr:uid="{00000000-0005-0000-0000-00006E310000}"/>
    <cellStyle name="Normal 144 2 3 2 2" xfId="13267" xr:uid="{00000000-0005-0000-0000-00006F310000}"/>
    <cellStyle name="Normal 144 2 3 3" xfId="13268" xr:uid="{00000000-0005-0000-0000-000070310000}"/>
    <cellStyle name="Normal 144 2 4" xfId="13269" xr:uid="{00000000-0005-0000-0000-000071310000}"/>
    <cellStyle name="Normal 144 2 4 2" xfId="13270" xr:uid="{00000000-0005-0000-0000-000072310000}"/>
    <cellStyle name="Normal 144 2 4 2 2" xfId="13271" xr:uid="{00000000-0005-0000-0000-000073310000}"/>
    <cellStyle name="Normal 144 2 4 3" xfId="13272" xr:uid="{00000000-0005-0000-0000-000074310000}"/>
    <cellStyle name="Normal 144 2 5" xfId="13273" xr:uid="{00000000-0005-0000-0000-000075310000}"/>
    <cellStyle name="Normal 144 3" xfId="13274" xr:uid="{00000000-0005-0000-0000-000076310000}"/>
    <cellStyle name="Normal 144 3 2" xfId="13275" xr:uid="{00000000-0005-0000-0000-000077310000}"/>
    <cellStyle name="Normal 144 3 2 2" xfId="13276" xr:uid="{00000000-0005-0000-0000-000078310000}"/>
    <cellStyle name="Normal 144 3 2 2 2" xfId="13277" xr:uid="{00000000-0005-0000-0000-000079310000}"/>
    <cellStyle name="Normal 144 3 2 3" xfId="13278" xr:uid="{00000000-0005-0000-0000-00007A310000}"/>
    <cellStyle name="Normal 144 3 2 3 2" xfId="13279" xr:uid="{00000000-0005-0000-0000-00007B310000}"/>
    <cellStyle name="Normal 144 3 2 3 2 2" xfId="13280" xr:uid="{00000000-0005-0000-0000-00007C310000}"/>
    <cellStyle name="Normal 144 3 2 3 3" xfId="13281" xr:uid="{00000000-0005-0000-0000-00007D310000}"/>
    <cellStyle name="Normal 144 3 2 4" xfId="13282" xr:uid="{00000000-0005-0000-0000-00007E310000}"/>
    <cellStyle name="Normal 144 3 3" xfId="13283" xr:uid="{00000000-0005-0000-0000-00007F310000}"/>
    <cellStyle name="Normal 144 3 3 2" xfId="13284" xr:uid="{00000000-0005-0000-0000-000080310000}"/>
    <cellStyle name="Normal 144 3 3 2 2" xfId="13285" xr:uid="{00000000-0005-0000-0000-000081310000}"/>
    <cellStyle name="Normal 144 3 3 3" xfId="13286" xr:uid="{00000000-0005-0000-0000-000082310000}"/>
    <cellStyle name="Normal 144 3 4" xfId="13287" xr:uid="{00000000-0005-0000-0000-000083310000}"/>
    <cellStyle name="Normal 144 3 4 2" xfId="13288" xr:uid="{00000000-0005-0000-0000-000084310000}"/>
    <cellStyle name="Normal 144 3 4 2 2" xfId="13289" xr:uid="{00000000-0005-0000-0000-000085310000}"/>
    <cellStyle name="Normal 144 3 4 3" xfId="13290" xr:uid="{00000000-0005-0000-0000-000086310000}"/>
    <cellStyle name="Normal 144 3 5" xfId="13291" xr:uid="{00000000-0005-0000-0000-000087310000}"/>
    <cellStyle name="Normal 144 3 5 2" xfId="13292" xr:uid="{00000000-0005-0000-0000-000088310000}"/>
    <cellStyle name="Normal 144 3 5 2 2" xfId="13293" xr:uid="{00000000-0005-0000-0000-000089310000}"/>
    <cellStyle name="Normal 144 3 5 3" xfId="13294" xr:uid="{00000000-0005-0000-0000-00008A310000}"/>
    <cellStyle name="Normal 144 3 6" xfId="13295" xr:uid="{00000000-0005-0000-0000-00008B310000}"/>
    <cellStyle name="Normal 144 4" xfId="13296" xr:uid="{00000000-0005-0000-0000-00008C310000}"/>
    <cellStyle name="Normal 144 4 2" xfId="13297" xr:uid="{00000000-0005-0000-0000-00008D310000}"/>
    <cellStyle name="Normal 144 4 2 2" xfId="13298" xr:uid="{00000000-0005-0000-0000-00008E310000}"/>
    <cellStyle name="Normal 144 4 3" xfId="13299" xr:uid="{00000000-0005-0000-0000-00008F310000}"/>
    <cellStyle name="Normal 144 5" xfId="13300" xr:uid="{00000000-0005-0000-0000-000090310000}"/>
    <cellStyle name="Normal 144 5 2" xfId="13301" xr:uid="{00000000-0005-0000-0000-000091310000}"/>
    <cellStyle name="Normal 144 5 2 2" xfId="13302" xr:uid="{00000000-0005-0000-0000-000092310000}"/>
    <cellStyle name="Normal 144 5 3" xfId="13303" xr:uid="{00000000-0005-0000-0000-000093310000}"/>
    <cellStyle name="Normal 144 6" xfId="13304" xr:uid="{00000000-0005-0000-0000-000094310000}"/>
    <cellStyle name="Normal 144 6 2" xfId="13305" xr:uid="{00000000-0005-0000-0000-000095310000}"/>
    <cellStyle name="Normal 144 6 2 2" xfId="13306" xr:uid="{00000000-0005-0000-0000-000096310000}"/>
    <cellStyle name="Normal 144 6 3" xfId="13307" xr:uid="{00000000-0005-0000-0000-000097310000}"/>
    <cellStyle name="Normal 144 7" xfId="13308" xr:uid="{00000000-0005-0000-0000-000098310000}"/>
    <cellStyle name="Normal 145" xfId="13309" xr:uid="{00000000-0005-0000-0000-000099310000}"/>
    <cellStyle name="Normal 145 2" xfId="13310" xr:uid="{00000000-0005-0000-0000-00009A310000}"/>
    <cellStyle name="Normal 145 2 2" xfId="13311" xr:uid="{00000000-0005-0000-0000-00009B310000}"/>
    <cellStyle name="Normal 145 2 2 2" xfId="13312" xr:uid="{00000000-0005-0000-0000-00009C310000}"/>
    <cellStyle name="Normal 145 2 3" xfId="13313" xr:uid="{00000000-0005-0000-0000-00009D310000}"/>
    <cellStyle name="Normal 145 2 3 2" xfId="13314" xr:uid="{00000000-0005-0000-0000-00009E310000}"/>
    <cellStyle name="Normal 145 2 3 2 2" xfId="13315" xr:uid="{00000000-0005-0000-0000-00009F310000}"/>
    <cellStyle name="Normal 145 2 3 3" xfId="13316" xr:uid="{00000000-0005-0000-0000-0000A0310000}"/>
    <cellStyle name="Normal 145 2 4" xfId="13317" xr:uid="{00000000-0005-0000-0000-0000A1310000}"/>
    <cellStyle name="Normal 145 2 4 2" xfId="13318" xr:uid="{00000000-0005-0000-0000-0000A2310000}"/>
    <cellStyle name="Normal 145 2 4 2 2" xfId="13319" xr:uid="{00000000-0005-0000-0000-0000A3310000}"/>
    <cellStyle name="Normal 145 2 4 3" xfId="13320" xr:uid="{00000000-0005-0000-0000-0000A4310000}"/>
    <cellStyle name="Normal 145 2 5" xfId="13321" xr:uid="{00000000-0005-0000-0000-0000A5310000}"/>
    <cellStyle name="Normal 145 3" xfId="13322" xr:uid="{00000000-0005-0000-0000-0000A6310000}"/>
    <cellStyle name="Normal 145 3 2" xfId="13323" xr:uid="{00000000-0005-0000-0000-0000A7310000}"/>
    <cellStyle name="Normal 145 3 2 2" xfId="13324" xr:uid="{00000000-0005-0000-0000-0000A8310000}"/>
    <cellStyle name="Normal 145 3 2 2 2" xfId="13325" xr:uid="{00000000-0005-0000-0000-0000A9310000}"/>
    <cellStyle name="Normal 145 3 2 3" xfId="13326" xr:uid="{00000000-0005-0000-0000-0000AA310000}"/>
    <cellStyle name="Normal 145 3 2 3 2" xfId="13327" xr:uid="{00000000-0005-0000-0000-0000AB310000}"/>
    <cellStyle name="Normal 145 3 2 3 2 2" xfId="13328" xr:uid="{00000000-0005-0000-0000-0000AC310000}"/>
    <cellStyle name="Normal 145 3 2 3 3" xfId="13329" xr:uid="{00000000-0005-0000-0000-0000AD310000}"/>
    <cellStyle name="Normal 145 3 2 4" xfId="13330" xr:uid="{00000000-0005-0000-0000-0000AE310000}"/>
    <cellStyle name="Normal 145 3 3" xfId="13331" xr:uid="{00000000-0005-0000-0000-0000AF310000}"/>
    <cellStyle name="Normal 145 3 3 2" xfId="13332" xr:uid="{00000000-0005-0000-0000-0000B0310000}"/>
    <cellStyle name="Normal 145 3 3 2 2" xfId="13333" xr:uid="{00000000-0005-0000-0000-0000B1310000}"/>
    <cellStyle name="Normal 145 3 3 3" xfId="13334" xr:uid="{00000000-0005-0000-0000-0000B2310000}"/>
    <cellStyle name="Normal 145 3 4" xfId="13335" xr:uid="{00000000-0005-0000-0000-0000B3310000}"/>
    <cellStyle name="Normal 145 3 4 2" xfId="13336" xr:uid="{00000000-0005-0000-0000-0000B4310000}"/>
    <cellStyle name="Normal 145 3 4 2 2" xfId="13337" xr:uid="{00000000-0005-0000-0000-0000B5310000}"/>
    <cellStyle name="Normal 145 3 4 3" xfId="13338" xr:uid="{00000000-0005-0000-0000-0000B6310000}"/>
    <cellStyle name="Normal 145 3 5" xfId="13339" xr:uid="{00000000-0005-0000-0000-0000B7310000}"/>
    <cellStyle name="Normal 145 3 5 2" xfId="13340" xr:uid="{00000000-0005-0000-0000-0000B8310000}"/>
    <cellStyle name="Normal 145 3 5 2 2" xfId="13341" xr:uid="{00000000-0005-0000-0000-0000B9310000}"/>
    <cellStyle name="Normal 145 3 5 3" xfId="13342" xr:uid="{00000000-0005-0000-0000-0000BA310000}"/>
    <cellStyle name="Normal 145 3 6" xfId="13343" xr:uid="{00000000-0005-0000-0000-0000BB310000}"/>
    <cellStyle name="Normal 145 4" xfId="13344" xr:uid="{00000000-0005-0000-0000-0000BC310000}"/>
    <cellStyle name="Normal 145 4 2" xfId="13345" xr:uid="{00000000-0005-0000-0000-0000BD310000}"/>
    <cellStyle name="Normal 145 4 2 2" xfId="13346" xr:uid="{00000000-0005-0000-0000-0000BE310000}"/>
    <cellStyle name="Normal 145 4 3" xfId="13347" xr:uid="{00000000-0005-0000-0000-0000BF310000}"/>
    <cellStyle name="Normal 145 5" xfId="13348" xr:uid="{00000000-0005-0000-0000-0000C0310000}"/>
    <cellStyle name="Normal 145 5 2" xfId="13349" xr:uid="{00000000-0005-0000-0000-0000C1310000}"/>
    <cellStyle name="Normal 145 5 2 2" xfId="13350" xr:uid="{00000000-0005-0000-0000-0000C2310000}"/>
    <cellStyle name="Normal 145 5 3" xfId="13351" xr:uid="{00000000-0005-0000-0000-0000C3310000}"/>
    <cellStyle name="Normal 145 6" xfId="13352" xr:uid="{00000000-0005-0000-0000-0000C4310000}"/>
    <cellStyle name="Normal 145 6 2" xfId="13353" xr:uid="{00000000-0005-0000-0000-0000C5310000}"/>
    <cellStyle name="Normal 145 6 2 2" xfId="13354" xr:uid="{00000000-0005-0000-0000-0000C6310000}"/>
    <cellStyle name="Normal 145 6 3" xfId="13355" xr:uid="{00000000-0005-0000-0000-0000C7310000}"/>
    <cellStyle name="Normal 145 7" xfId="13356" xr:uid="{00000000-0005-0000-0000-0000C8310000}"/>
    <cellStyle name="Normal 146" xfId="13357" xr:uid="{00000000-0005-0000-0000-0000C9310000}"/>
    <cellStyle name="Normal 146 2" xfId="13358" xr:uid="{00000000-0005-0000-0000-0000CA310000}"/>
    <cellStyle name="Normal 146 2 2" xfId="13359" xr:uid="{00000000-0005-0000-0000-0000CB310000}"/>
    <cellStyle name="Normal 146 2 2 2" xfId="13360" xr:uid="{00000000-0005-0000-0000-0000CC310000}"/>
    <cellStyle name="Normal 146 2 3" xfId="13361" xr:uid="{00000000-0005-0000-0000-0000CD310000}"/>
    <cellStyle name="Normal 146 2 3 2" xfId="13362" xr:uid="{00000000-0005-0000-0000-0000CE310000}"/>
    <cellStyle name="Normal 146 2 3 2 2" xfId="13363" xr:uid="{00000000-0005-0000-0000-0000CF310000}"/>
    <cellStyle name="Normal 146 2 3 3" xfId="13364" xr:uid="{00000000-0005-0000-0000-0000D0310000}"/>
    <cellStyle name="Normal 146 2 4" xfId="13365" xr:uid="{00000000-0005-0000-0000-0000D1310000}"/>
    <cellStyle name="Normal 146 2 4 2" xfId="13366" xr:uid="{00000000-0005-0000-0000-0000D2310000}"/>
    <cellStyle name="Normal 146 2 4 2 2" xfId="13367" xr:uid="{00000000-0005-0000-0000-0000D3310000}"/>
    <cellStyle name="Normal 146 2 4 3" xfId="13368" xr:uid="{00000000-0005-0000-0000-0000D4310000}"/>
    <cellStyle name="Normal 146 2 5" xfId="13369" xr:uid="{00000000-0005-0000-0000-0000D5310000}"/>
    <cellStyle name="Normal 146 3" xfId="13370" xr:uid="{00000000-0005-0000-0000-0000D6310000}"/>
    <cellStyle name="Normal 146 3 2" xfId="13371" xr:uid="{00000000-0005-0000-0000-0000D7310000}"/>
    <cellStyle name="Normal 146 3 2 2" xfId="13372" xr:uid="{00000000-0005-0000-0000-0000D8310000}"/>
    <cellStyle name="Normal 146 3 2 2 2" xfId="13373" xr:uid="{00000000-0005-0000-0000-0000D9310000}"/>
    <cellStyle name="Normal 146 3 2 3" xfId="13374" xr:uid="{00000000-0005-0000-0000-0000DA310000}"/>
    <cellStyle name="Normal 146 3 2 3 2" xfId="13375" xr:uid="{00000000-0005-0000-0000-0000DB310000}"/>
    <cellStyle name="Normal 146 3 2 3 2 2" xfId="13376" xr:uid="{00000000-0005-0000-0000-0000DC310000}"/>
    <cellStyle name="Normal 146 3 2 3 3" xfId="13377" xr:uid="{00000000-0005-0000-0000-0000DD310000}"/>
    <cellStyle name="Normal 146 3 2 4" xfId="13378" xr:uid="{00000000-0005-0000-0000-0000DE310000}"/>
    <cellStyle name="Normal 146 3 3" xfId="13379" xr:uid="{00000000-0005-0000-0000-0000DF310000}"/>
    <cellStyle name="Normal 146 3 3 2" xfId="13380" xr:uid="{00000000-0005-0000-0000-0000E0310000}"/>
    <cellStyle name="Normal 146 3 3 2 2" xfId="13381" xr:uid="{00000000-0005-0000-0000-0000E1310000}"/>
    <cellStyle name="Normal 146 3 3 3" xfId="13382" xr:uid="{00000000-0005-0000-0000-0000E2310000}"/>
    <cellStyle name="Normal 146 3 4" xfId="13383" xr:uid="{00000000-0005-0000-0000-0000E3310000}"/>
    <cellStyle name="Normal 146 3 4 2" xfId="13384" xr:uid="{00000000-0005-0000-0000-0000E4310000}"/>
    <cellStyle name="Normal 146 3 4 2 2" xfId="13385" xr:uid="{00000000-0005-0000-0000-0000E5310000}"/>
    <cellStyle name="Normal 146 3 4 3" xfId="13386" xr:uid="{00000000-0005-0000-0000-0000E6310000}"/>
    <cellStyle name="Normal 146 3 5" xfId="13387" xr:uid="{00000000-0005-0000-0000-0000E7310000}"/>
    <cellStyle name="Normal 146 3 5 2" xfId="13388" xr:uid="{00000000-0005-0000-0000-0000E8310000}"/>
    <cellStyle name="Normal 146 3 5 2 2" xfId="13389" xr:uid="{00000000-0005-0000-0000-0000E9310000}"/>
    <cellStyle name="Normal 146 3 5 3" xfId="13390" xr:uid="{00000000-0005-0000-0000-0000EA310000}"/>
    <cellStyle name="Normal 146 3 6" xfId="13391" xr:uid="{00000000-0005-0000-0000-0000EB310000}"/>
    <cellStyle name="Normal 146 4" xfId="13392" xr:uid="{00000000-0005-0000-0000-0000EC310000}"/>
    <cellStyle name="Normal 146 4 2" xfId="13393" xr:uid="{00000000-0005-0000-0000-0000ED310000}"/>
    <cellStyle name="Normal 146 4 2 2" xfId="13394" xr:uid="{00000000-0005-0000-0000-0000EE310000}"/>
    <cellStyle name="Normal 146 4 3" xfId="13395" xr:uid="{00000000-0005-0000-0000-0000EF310000}"/>
    <cellStyle name="Normal 146 5" xfId="13396" xr:uid="{00000000-0005-0000-0000-0000F0310000}"/>
    <cellStyle name="Normal 146 5 2" xfId="13397" xr:uid="{00000000-0005-0000-0000-0000F1310000}"/>
    <cellStyle name="Normal 146 5 2 2" xfId="13398" xr:uid="{00000000-0005-0000-0000-0000F2310000}"/>
    <cellStyle name="Normal 146 5 3" xfId="13399" xr:uid="{00000000-0005-0000-0000-0000F3310000}"/>
    <cellStyle name="Normal 146 6" xfId="13400" xr:uid="{00000000-0005-0000-0000-0000F4310000}"/>
    <cellStyle name="Normal 146 6 2" xfId="13401" xr:uid="{00000000-0005-0000-0000-0000F5310000}"/>
    <cellStyle name="Normal 146 6 2 2" xfId="13402" xr:uid="{00000000-0005-0000-0000-0000F6310000}"/>
    <cellStyle name="Normal 146 6 3" xfId="13403" xr:uid="{00000000-0005-0000-0000-0000F7310000}"/>
    <cellStyle name="Normal 146 7" xfId="13404" xr:uid="{00000000-0005-0000-0000-0000F8310000}"/>
    <cellStyle name="Normal 147" xfId="13405" xr:uid="{00000000-0005-0000-0000-0000F9310000}"/>
    <cellStyle name="Normal 147 2" xfId="13406" xr:uid="{00000000-0005-0000-0000-0000FA310000}"/>
    <cellStyle name="Normal 147 2 2" xfId="13407" xr:uid="{00000000-0005-0000-0000-0000FB310000}"/>
    <cellStyle name="Normal 147 2 2 2" xfId="13408" xr:uid="{00000000-0005-0000-0000-0000FC310000}"/>
    <cellStyle name="Normal 147 2 3" xfId="13409" xr:uid="{00000000-0005-0000-0000-0000FD310000}"/>
    <cellStyle name="Normal 147 2 3 2" xfId="13410" xr:uid="{00000000-0005-0000-0000-0000FE310000}"/>
    <cellStyle name="Normal 147 2 3 2 2" xfId="13411" xr:uid="{00000000-0005-0000-0000-0000FF310000}"/>
    <cellStyle name="Normal 147 2 3 3" xfId="13412" xr:uid="{00000000-0005-0000-0000-000000320000}"/>
    <cellStyle name="Normal 147 2 4" xfId="13413" xr:uid="{00000000-0005-0000-0000-000001320000}"/>
    <cellStyle name="Normal 147 2 4 2" xfId="13414" xr:uid="{00000000-0005-0000-0000-000002320000}"/>
    <cellStyle name="Normal 147 2 4 2 2" xfId="13415" xr:uid="{00000000-0005-0000-0000-000003320000}"/>
    <cellStyle name="Normal 147 2 4 3" xfId="13416" xr:uid="{00000000-0005-0000-0000-000004320000}"/>
    <cellStyle name="Normal 147 2 5" xfId="13417" xr:uid="{00000000-0005-0000-0000-000005320000}"/>
    <cellStyle name="Normal 147 3" xfId="13418" xr:uid="{00000000-0005-0000-0000-000006320000}"/>
    <cellStyle name="Normal 147 3 2" xfId="13419" xr:uid="{00000000-0005-0000-0000-000007320000}"/>
    <cellStyle name="Normal 147 3 2 2" xfId="13420" xr:uid="{00000000-0005-0000-0000-000008320000}"/>
    <cellStyle name="Normal 147 3 2 2 2" xfId="13421" xr:uid="{00000000-0005-0000-0000-000009320000}"/>
    <cellStyle name="Normal 147 3 2 3" xfId="13422" xr:uid="{00000000-0005-0000-0000-00000A320000}"/>
    <cellStyle name="Normal 147 3 2 3 2" xfId="13423" xr:uid="{00000000-0005-0000-0000-00000B320000}"/>
    <cellStyle name="Normal 147 3 2 3 2 2" xfId="13424" xr:uid="{00000000-0005-0000-0000-00000C320000}"/>
    <cellStyle name="Normal 147 3 2 3 3" xfId="13425" xr:uid="{00000000-0005-0000-0000-00000D320000}"/>
    <cellStyle name="Normal 147 3 2 4" xfId="13426" xr:uid="{00000000-0005-0000-0000-00000E320000}"/>
    <cellStyle name="Normal 147 3 3" xfId="13427" xr:uid="{00000000-0005-0000-0000-00000F320000}"/>
    <cellStyle name="Normal 147 3 3 2" xfId="13428" xr:uid="{00000000-0005-0000-0000-000010320000}"/>
    <cellStyle name="Normal 147 3 3 2 2" xfId="13429" xr:uid="{00000000-0005-0000-0000-000011320000}"/>
    <cellStyle name="Normal 147 3 3 3" xfId="13430" xr:uid="{00000000-0005-0000-0000-000012320000}"/>
    <cellStyle name="Normal 147 3 4" xfId="13431" xr:uid="{00000000-0005-0000-0000-000013320000}"/>
    <cellStyle name="Normal 147 3 4 2" xfId="13432" xr:uid="{00000000-0005-0000-0000-000014320000}"/>
    <cellStyle name="Normal 147 3 4 2 2" xfId="13433" xr:uid="{00000000-0005-0000-0000-000015320000}"/>
    <cellStyle name="Normal 147 3 4 3" xfId="13434" xr:uid="{00000000-0005-0000-0000-000016320000}"/>
    <cellStyle name="Normal 147 3 5" xfId="13435" xr:uid="{00000000-0005-0000-0000-000017320000}"/>
    <cellStyle name="Normal 147 3 5 2" xfId="13436" xr:uid="{00000000-0005-0000-0000-000018320000}"/>
    <cellStyle name="Normal 147 3 5 2 2" xfId="13437" xr:uid="{00000000-0005-0000-0000-000019320000}"/>
    <cellStyle name="Normal 147 3 5 3" xfId="13438" xr:uid="{00000000-0005-0000-0000-00001A320000}"/>
    <cellStyle name="Normal 147 3 6" xfId="13439" xr:uid="{00000000-0005-0000-0000-00001B320000}"/>
    <cellStyle name="Normal 147 4" xfId="13440" xr:uid="{00000000-0005-0000-0000-00001C320000}"/>
    <cellStyle name="Normal 147 4 2" xfId="13441" xr:uid="{00000000-0005-0000-0000-00001D320000}"/>
    <cellStyle name="Normal 147 4 2 2" xfId="13442" xr:uid="{00000000-0005-0000-0000-00001E320000}"/>
    <cellStyle name="Normal 147 4 3" xfId="13443" xr:uid="{00000000-0005-0000-0000-00001F320000}"/>
    <cellStyle name="Normal 147 5" xfId="13444" xr:uid="{00000000-0005-0000-0000-000020320000}"/>
    <cellStyle name="Normal 147 5 2" xfId="13445" xr:uid="{00000000-0005-0000-0000-000021320000}"/>
    <cellStyle name="Normal 147 5 2 2" xfId="13446" xr:uid="{00000000-0005-0000-0000-000022320000}"/>
    <cellStyle name="Normal 147 5 3" xfId="13447" xr:uid="{00000000-0005-0000-0000-000023320000}"/>
    <cellStyle name="Normal 147 6" xfId="13448" xr:uid="{00000000-0005-0000-0000-000024320000}"/>
    <cellStyle name="Normal 147 6 2" xfId="13449" xr:uid="{00000000-0005-0000-0000-000025320000}"/>
    <cellStyle name="Normal 147 6 2 2" xfId="13450" xr:uid="{00000000-0005-0000-0000-000026320000}"/>
    <cellStyle name="Normal 147 6 3" xfId="13451" xr:uid="{00000000-0005-0000-0000-000027320000}"/>
    <cellStyle name="Normal 147 7" xfId="13452" xr:uid="{00000000-0005-0000-0000-000028320000}"/>
    <cellStyle name="Normal 148" xfId="13453" xr:uid="{00000000-0005-0000-0000-000029320000}"/>
    <cellStyle name="Normal 148 2" xfId="13454" xr:uid="{00000000-0005-0000-0000-00002A320000}"/>
    <cellStyle name="Normal 148 2 2" xfId="13455" xr:uid="{00000000-0005-0000-0000-00002B320000}"/>
    <cellStyle name="Normal 148 2 2 2" xfId="13456" xr:uid="{00000000-0005-0000-0000-00002C320000}"/>
    <cellStyle name="Normal 148 2 3" xfId="13457" xr:uid="{00000000-0005-0000-0000-00002D320000}"/>
    <cellStyle name="Normal 148 2 3 2" xfId="13458" xr:uid="{00000000-0005-0000-0000-00002E320000}"/>
    <cellStyle name="Normal 148 2 3 2 2" xfId="13459" xr:uid="{00000000-0005-0000-0000-00002F320000}"/>
    <cellStyle name="Normal 148 2 3 3" xfId="13460" xr:uid="{00000000-0005-0000-0000-000030320000}"/>
    <cellStyle name="Normal 148 2 4" xfId="13461" xr:uid="{00000000-0005-0000-0000-000031320000}"/>
    <cellStyle name="Normal 148 2 4 2" xfId="13462" xr:uid="{00000000-0005-0000-0000-000032320000}"/>
    <cellStyle name="Normal 148 2 4 2 2" xfId="13463" xr:uid="{00000000-0005-0000-0000-000033320000}"/>
    <cellStyle name="Normal 148 2 4 3" xfId="13464" xr:uid="{00000000-0005-0000-0000-000034320000}"/>
    <cellStyle name="Normal 148 2 5" xfId="13465" xr:uid="{00000000-0005-0000-0000-000035320000}"/>
    <cellStyle name="Normal 148 3" xfId="13466" xr:uid="{00000000-0005-0000-0000-000036320000}"/>
    <cellStyle name="Normal 148 3 2" xfId="13467" xr:uid="{00000000-0005-0000-0000-000037320000}"/>
    <cellStyle name="Normal 148 3 2 2" xfId="13468" xr:uid="{00000000-0005-0000-0000-000038320000}"/>
    <cellStyle name="Normal 148 3 2 2 2" xfId="13469" xr:uid="{00000000-0005-0000-0000-000039320000}"/>
    <cellStyle name="Normal 148 3 2 3" xfId="13470" xr:uid="{00000000-0005-0000-0000-00003A320000}"/>
    <cellStyle name="Normal 148 3 2 3 2" xfId="13471" xr:uid="{00000000-0005-0000-0000-00003B320000}"/>
    <cellStyle name="Normal 148 3 2 3 2 2" xfId="13472" xr:uid="{00000000-0005-0000-0000-00003C320000}"/>
    <cellStyle name="Normal 148 3 2 3 3" xfId="13473" xr:uid="{00000000-0005-0000-0000-00003D320000}"/>
    <cellStyle name="Normal 148 3 2 4" xfId="13474" xr:uid="{00000000-0005-0000-0000-00003E320000}"/>
    <cellStyle name="Normal 148 3 3" xfId="13475" xr:uid="{00000000-0005-0000-0000-00003F320000}"/>
    <cellStyle name="Normal 148 3 3 2" xfId="13476" xr:uid="{00000000-0005-0000-0000-000040320000}"/>
    <cellStyle name="Normal 148 3 3 2 2" xfId="13477" xr:uid="{00000000-0005-0000-0000-000041320000}"/>
    <cellStyle name="Normal 148 3 3 3" xfId="13478" xr:uid="{00000000-0005-0000-0000-000042320000}"/>
    <cellStyle name="Normal 148 3 4" xfId="13479" xr:uid="{00000000-0005-0000-0000-000043320000}"/>
    <cellStyle name="Normal 148 3 4 2" xfId="13480" xr:uid="{00000000-0005-0000-0000-000044320000}"/>
    <cellStyle name="Normal 148 3 4 2 2" xfId="13481" xr:uid="{00000000-0005-0000-0000-000045320000}"/>
    <cellStyle name="Normal 148 3 4 3" xfId="13482" xr:uid="{00000000-0005-0000-0000-000046320000}"/>
    <cellStyle name="Normal 148 3 5" xfId="13483" xr:uid="{00000000-0005-0000-0000-000047320000}"/>
    <cellStyle name="Normal 148 3 5 2" xfId="13484" xr:uid="{00000000-0005-0000-0000-000048320000}"/>
    <cellStyle name="Normal 148 3 5 2 2" xfId="13485" xr:uid="{00000000-0005-0000-0000-000049320000}"/>
    <cellStyle name="Normal 148 3 5 3" xfId="13486" xr:uid="{00000000-0005-0000-0000-00004A320000}"/>
    <cellStyle name="Normal 148 3 6" xfId="13487" xr:uid="{00000000-0005-0000-0000-00004B320000}"/>
    <cellStyle name="Normal 148 4" xfId="13488" xr:uid="{00000000-0005-0000-0000-00004C320000}"/>
    <cellStyle name="Normal 148 4 2" xfId="13489" xr:uid="{00000000-0005-0000-0000-00004D320000}"/>
    <cellStyle name="Normal 148 4 2 2" xfId="13490" xr:uid="{00000000-0005-0000-0000-00004E320000}"/>
    <cellStyle name="Normal 148 4 3" xfId="13491" xr:uid="{00000000-0005-0000-0000-00004F320000}"/>
    <cellStyle name="Normal 148 5" xfId="13492" xr:uid="{00000000-0005-0000-0000-000050320000}"/>
    <cellStyle name="Normal 148 5 2" xfId="13493" xr:uid="{00000000-0005-0000-0000-000051320000}"/>
    <cellStyle name="Normal 148 5 2 2" xfId="13494" xr:uid="{00000000-0005-0000-0000-000052320000}"/>
    <cellStyle name="Normal 148 5 3" xfId="13495" xr:uid="{00000000-0005-0000-0000-000053320000}"/>
    <cellStyle name="Normal 148 6" xfId="13496" xr:uid="{00000000-0005-0000-0000-000054320000}"/>
    <cellStyle name="Normal 148 6 2" xfId="13497" xr:uid="{00000000-0005-0000-0000-000055320000}"/>
    <cellStyle name="Normal 148 6 2 2" xfId="13498" xr:uid="{00000000-0005-0000-0000-000056320000}"/>
    <cellStyle name="Normal 148 6 3" xfId="13499" xr:uid="{00000000-0005-0000-0000-000057320000}"/>
    <cellStyle name="Normal 148 7" xfId="13500" xr:uid="{00000000-0005-0000-0000-000058320000}"/>
    <cellStyle name="Normal 149" xfId="13501" xr:uid="{00000000-0005-0000-0000-000059320000}"/>
    <cellStyle name="Normal 149 2" xfId="13502" xr:uid="{00000000-0005-0000-0000-00005A320000}"/>
    <cellStyle name="Normal 149 2 2" xfId="13503" xr:uid="{00000000-0005-0000-0000-00005B320000}"/>
    <cellStyle name="Normal 149 2 2 2" xfId="13504" xr:uid="{00000000-0005-0000-0000-00005C320000}"/>
    <cellStyle name="Normal 149 2 3" xfId="13505" xr:uid="{00000000-0005-0000-0000-00005D320000}"/>
    <cellStyle name="Normal 149 2 3 2" xfId="13506" xr:uid="{00000000-0005-0000-0000-00005E320000}"/>
    <cellStyle name="Normal 149 2 3 2 2" xfId="13507" xr:uid="{00000000-0005-0000-0000-00005F320000}"/>
    <cellStyle name="Normal 149 2 3 3" xfId="13508" xr:uid="{00000000-0005-0000-0000-000060320000}"/>
    <cellStyle name="Normal 149 2 4" xfId="13509" xr:uid="{00000000-0005-0000-0000-000061320000}"/>
    <cellStyle name="Normal 149 2 4 2" xfId="13510" xr:uid="{00000000-0005-0000-0000-000062320000}"/>
    <cellStyle name="Normal 149 2 4 2 2" xfId="13511" xr:uid="{00000000-0005-0000-0000-000063320000}"/>
    <cellStyle name="Normal 149 2 4 3" xfId="13512" xr:uid="{00000000-0005-0000-0000-000064320000}"/>
    <cellStyle name="Normal 149 2 5" xfId="13513" xr:uid="{00000000-0005-0000-0000-000065320000}"/>
    <cellStyle name="Normal 149 3" xfId="13514" xr:uid="{00000000-0005-0000-0000-000066320000}"/>
    <cellStyle name="Normal 149 3 2" xfId="13515" xr:uid="{00000000-0005-0000-0000-000067320000}"/>
    <cellStyle name="Normal 149 3 2 2" xfId="13516" xr:uid="{00000000-0005-0000-0000-000068320000}"/>
    <cellStyle name="Normal 149 3 2 2 2" xfId="13517" xr:uid="{00000000-0005-0000-0000-000069320000}"/>
    <cellStyle name="Normal 149 3 2 3" xfId="13518" xr:uid="{00000000-0005-0000-0000-00006A320000}"/>
    <cellStyle name="Normal 149 3 2 3 2" xfId="13519" xr:uid="{00000000-0005-0000-0000-00006B320000}"/>
    <cellStyle name="Normal 149 3 2 3 2 2" xfId="13520" xr:uid="{00000000-0005-0000-0000-00006C320000}"/>
    <cellStyle name="Normal 149 3 2 3 3" xfId="13521" xr:uid="{00000000-0005-0000-0000-00006D320000}"/>
    <cellStyle name="Normal 149 3 2 4" xfId="13522" xr:uid="{00000000-0005-0000-0000-00006E320000}"/>
    <cellStyle name="Normal 149 3 3" xfId="13523" xr:uid="{00000000-0005-0000-0000-00006F320000}"/>
    <cellStyle name="Normal 149 3 3 2" xfId="13524" xr:uid="{00000000-0005-0000-0000-000070320000}"/>
    <cellStyle name="Normal 149 3 3 2 2" xfId="13525" xr:uid="{00000000-0005-0000-0000-000071320000}"/>
    <cellStyle name="Normal 149 3 3 3" xfId="13526" xr:uid="{00000000-0005-0000-0000-000072320000}"/>
    <cellStyle name="Normal 149 3 4" xfId="13527" xr:uid="{00000000-0005-0000-0000-000073320000}"/>
    <cellStyle name="Normal 149 3 4 2" xfId="13528" xr:uid="{00000000-0005-0000-0000-000074320000}"/>
    <cellStyle name="Normal 149 3 4 2 2" xfId="13529" xr:uid="{00000000-0005-0000-0000-000075320000}"/>
    <cellStyle name="Normal 149 3 4 3" xfId="13530" xr:uid="{00000000-0005-0000-0000-000076320000}"/>
    <cellStyle name="Normal 149 3 5" xfId="13531" xr:uid="{00000000-0005-0000-0000-000077320000}"/>
    <cellStyle name="Normal 149 3 5 2" xfId="13532" xr:uid="{00000000-0005-0000-0000-000078320000}"/>
    <cellStyle name="Normal 149 3 5 2 2" xfId="13533" xr:uid="{00000000-0005-0000-0000-000079320000}"/>
    <cellStyle name="Normal 149 3 5 3" xfId="13534" xr:uid="{00000000-0005-0000-0000-00007A320000}"/>
    <cellStyle name="Normal 149 3 6" xfId="13535" xr:uid="{00000000-0005-0000-0000-00007B320000}"/>
    <cellStyle name="Normal 149 4" xfId="13536" xr:uid="{00000000-0005-0000-0000-00007C320000}"/>
    <cellStyle name="Normal 149 4 2" xfId="13537" xr:uid="{00000000-0005-0000-0000-00007D320000}"/>
    <cellStyle name="Normal 149 4 2 2" xfId="13538" xr:uid="{00000000-0005-0000-0000-00007E320000}"/>
    <cellStyle name="Normal 149 4 3" xfId="13539" xr:uid="{00000000-0005-0000-0000-00007F320000}"/>
    <cellStyle name="Normal 149 5" xfId="13540" xr:uid="{00000000-0005-0000-0000-000080320000}"/>
    <cellStyle name="Normal 149 5 2" xfId="13541" xr:uid="{00000000-0005-0000-0000-000081320000}"/>
    <cellStyle name="Normal 149 5 2 2" xfId="13542" xr:uid="{00000000-0005-0000-0000-000082320000}"/>
    <cellStyle name="Normal 149 5 3" xfId="13543" xr:uid="{00000000-0005-0000-0000-000083320000}"/>
    <cellStyle name="Normal 149 6" xfId="13544" xr:uid="{00000000-0005-0000-0000-000084320000}"/>
    <cellStyle name="Normal 149 6 2" xfId="13545" xr:uid="{00000000-0005-0000-0000-000085320000}"/>
    <cellStyle name="Normal 149 6 2 2" xfId="13546" xr:uid="{00000000-0005-0000-0000-000086320000}"/>
    <cellStyle name="Normal 149 6 3" xfId="13547" xr:uid="{00000000-0005-0000-0000-000087320000}"/>
    <cellStyle name="Normal 149 7" xfId="13548" xr:uid="{00000000-0005-0000-0000-000088320000}"/>
    <cellStyle name="Normal 15" xfId="132" xr:uid="{00000000-0005-0000-0000-000089320000}"/>
    <cellStyle name="Normal 15 2" xfId="13550" xr:uid="{00000000-0005-0000-0000-00008A320000}"/>
    <cellStyle name="Normal 15 2 2" xfId="13551" xr:uid="{00000000-0005-0000-0000-00008B320000}"/>
    <cellStyle name="Normal 15 2 2 2" xfId="13552" xr:uid="{00000000-0005-0000-0000-00008C320000}"/>
    <cellStyle name="Normal 15 2 2 2 2" xfId="13553" xr:uid="{00000000-0005-0000-0000-00008D320000}"/>
    <cellStyle name="Normal 15 2 2 3" xfId="13554" xr:uid="{00000000-0005-0000-0000-00008E320000}"/>
    <cellStyle name="Normal 15 2 2 3 2" xfId="13555" xr:uid="{00000000-0005-0000-0000-00008F320000}"/>
    <cellStyle name="Normal 15 2 2 3 2 2" xfId="13556" xr:uid="{00000000-0005-0000-0000-000090320000}"/>
    <cellStyle name="Normal 15 2 2 3 3" xfId="13557" xr:uid="{00000000-0005-0000-0000-000091320000}"/>
    <cellStyle name="Normal 15 2 2 4" xfId="13558" xr:uid="{00000000-0005-0000-0000-000092320000}"/>
    <cellStyle name="Normal 15 2 2 4 2" xfId="13559" xr:uid="{00000000-0005-0000-0000-000093320000}"/>
    <cellStyle name="Normal 15 2 2 4 2 2" xfId="13560" xr:uid="{00000000-0005-0000-0000-000094320000}"/>
    <cellStyle name="Normal 15 2 2 4 3" xfId="13561" xr:uid="{00000000-0005-0000-0000-000095320000}"/>
    <cellStyle name="Normal 15 2 2 5" xfId="13562" xr:uid="{00000000-0005-0000-0000-000096320000}"/>
    <cellStyle name="Normal 15 2 3" xfId="13563" xr:uid="{00000000-0005-0000-0000-000097320000}"/>
    <cellStyle name="Normal 15 2 3 2" xfId="13564" xr:uid="{00000000-0005-0000-0000-000098320000}"/>
    <cellStyle name="Normal 15 2 3 2 2" xfId="13565" xr:uid="{00000000-0005-0000-0000-000099320000}"/>
    <cellStyle name="Normal 15 2 3 2 2 2" xfId="13566" xr:uid="{00000000-0005-0000-0000-00009A320000}"/>
    <cellStyle name="Normal 15 2 3 2 3" xfId="13567" xr:uid="{00000000-0005-0000-0000-00009B320000}"/>
    <cellStyle name="Normal 15 2 3 2 3 2" xfId="13568" xr:uid="{00000000-0005-0000-0000-00009C320000}"/>
    <cellStyle name="Normal 15 2 3 2 3 2 2" xfId="13569" xr:uid="{00000000-0005-0000-0000-00009D320000}"/>
    <cellStyle name="Normal 15 2 3 2 3 3" xfId="13570" xr:uid="{00000000-0005-0000-0000-00009E320000}"/>
    <cellStyle name="Normal 15 2 3 2 4" xfId="13571" xr:uid="{00000000-0005-0000-0000-00009F320000}"/>
    <cellStyle name="Normal 15 2 3 3" xfId="13572" xr:uid="{00000000-0005-0000-0000-0000A0320000}"/>
    <cellStyle name="Normal 15 2 3 3 2" xfId="13573" xr:uid="{00000000-0005-0000-0000-0000A1320000}"/>
    <cellStyle name="Normal 15 2 3 3 2 2" xfId="13574" xr:uid="{00000000-0005-0000-0000-0000A2320000}"/>
    <cellStyle name="Normal 15 2 3 3 3" xfId="13575" xr:uid="{00000000-0005-0000-0000-0000A3320000}"/>
    <cellStyle name="Normal 15 2 3 4" xfId="13576" xr:uid="{00000000-0005-0000-0000-0000A4320000}"/>
    <cellStyle name="Normal 15 2 3 4 2" xfId="13577" xr:uid="{00000000-0005-0000-0000-0000A5320000}"/>
    <cellStyle name="Normal 15 2 3 4 2 2" xfId="13578" xr:uid="{00000000-0005-0000-0000-0000A6320000}"/>
    <cellStyle name="Normal 15 2 3 4 3" xfId="13579" xr:uid="{00000000-0005-0000-0000-0000A7320000}"/>
    <cellStyle name="Normal 15 2 3 5" xfId="13580" xr:uid="{00000000-0005-0000-0000-0000A8320000}"/>
    <cellStyle name="Normal 15 2 3 5 2" xfId="13581" xr:uid="{00000000-0005-0000-0000-0000A9320000}"/>
    <cellStyle name="Normal 15 2 3 5 2 2" xfId="13582" xr:uid="{00000000-0005-0000-0000-0000AA320000}"/>
    <cellStyle name="Normal 15 2 3 5 3" xfId="13583" xr:uid="{00000000-0005-0000-0000-0000AB320000}"/>
    <cellStyle name="Normal 15 2 3 6" xfId="13584" xr:uid="{00000000-0005-0000-0000-0000AC320000}"/>
    <cellStyle name="Normal 15 2 4" xfId="13585" xr:uid="{00000000-0005-0000-0000-0000AD320000}"/>
    <cellStyle name="Normal 15 3" xfId="13586" xr:uid="{00000000-0005-0000-0000-0000AE320000}"/>
    <cellStyle name="Normal 15 3 2" xfId="13587" xr:uid="{00000000-0005-0000-0000-0000AF320000}"/>
    <cellStyle name="Normal 15 3 2 2" xfId="13588" xr:uid="{00000000-0005-0000-0000-0000B0320000}"/>
    <cellStyle name="Normal 15 3 2 2 2" xfId="13589" xr:uid="{00000000-0005-0000-0000-0000B1320000}"/>
    <cellStyle name="Normal 15 3 2 3" xfId="13590" xr:uid="{00000000-0005-0000-0000-0000B2320000}"/>
    <cellStyle name="Normal 15 3 2 3 2" xfId="13591" xr:uid="{00000000-0005-0000-0000-0000B3320000}"/>
    <cellStyle name="Normal 15 3 2 3 2 2" xfId="13592" xr:uid="{00000000-0005-0000-0000-0000B4320000}"/>
    <cellStyle name="Normal 15 3 2 3 3" xfId="13593" xr:uid="{00000000-0005-0000-0000-0000B5320000}"/>
    <cellStyle name="Normal 15 3 2 4" xfId="13594" xr:uid="{00000000-0005-0000-0000-0000B6320000}"/>
    <cellStyle name="Normal 15 3 2 4 2" xfId="13595" xr:uid="{00000000-0005-0000-0000-0000B7320000}"/>
    <cellStyle name="Normal 15 3 2 4 2 2" xfId="13596" xr:uid="{00000000-0005-0000-0000-0000B8320000}"/>
    <cellStyle name="Normal 15 3 2 4 3" xfId="13597" xr:uid="{00000000-0005-0000-0000-0000B9320000}"/>
    <cellStyle name="Normal 15 3 2 5" xfId="13598" xr:uid="{00000000-0005-0000-0000-0000BA320000}"/>
    <cellStyle name="Normal 15 3 3" xfId="13599" xr:uid="{00000000-0005-0000-0000-0000BB320000}"/>
    <cellStyle name="Normal 15 3 3 2" xfId="13600" xr:uid="{00000000-0005-0000-0000-0000BC320000}"/>
    <cellStyle name="Normal 15 3 3 2 2" xfId="13601" xr:uid="{00000000-0005-0000-0000-0000BD320000}"/>
    <cellStyle name="Normal 15 3 3 3" xfId="13602" xr:uid="{00000000-0005-0000-0000-0000BE320000}"/>
    <cellStyle name="Normal 15 3 4" xfId="13603" xr:uid="{00000000-0005-0000-0000-0000BF320000}"/>
    <cellStyle name="Normal 15 3 4 2" xfId="13604" xr:uid="{00000000-0005-0000-0000-0000C0320000}"/>
    <cellStyle name="Normal 15 3 4 2 2" xfId="13605" xr:uid="{00000000-0005-0000-0000-0000C1320000}"/>
    <cellStyle name="Normal 15 3 4 3" xfId="13606" xr:uid="{00000000-0005-0000-0000-0000C2320000}"/>
    <cellStyle name="Normal 15 3 5" xfId="13607" xr:uid="{00000000-0005-0000-0000-0000C3320000}"/>
    <cellStyle name="Normal 15 3 5 2" xfId="13608" xr:uid="{00000000-0005-0000-0000-0000C4320000}"/>
    <cellStyle name="Normal 15 3 5 2 2" xfId="13609" xr:uid="{00000000-0005-0000-0000-0000C5320000}"/>
    <cellStyle name="Normal 15 3 5 3" xfId="13610" xr:uid="{00000000-0005-0000-0000-0000C6320000}"/>
    <cellStyle name="Normal 15 3 6" xfId="13611" xr:uid="{00000000-0005-0000-0000-0000C7320000}"/>
    <cellStyle name="Normal 15 4" xfId="13612" xr:uid="{00000000-0005-0000-0000-0000C8320000}"/>
    <cellStyle name="Normal 15 4 2" xfId="13613" xr:uid="{00000000-0005-0000-0000-0000C9320000}"/>
    <cellStyle name="Normal 15 4 2 2" xfId="13614" xr:uid="{00000000-0005-0000-0000-0000CA320000}"/>
    <cellStyle name="Normal 15 4 3" xfId="13615" xr:uid="{00000000-0005-0000-0000-0000CB320000}"/>
    <cellStyle name="Normal 15 4 3 2" xfId="13616" xr:uid="{00000000-0005-0000-0000-0000CC320000}"/>
    <cellStyle name="Normal 15 4 3 2 2" xfId="13617" xr:uid="{00000000-0005-0000-0000-0000CD320000}"/>
    <cellStyle name="Normal 15 4 3 3" xfId="13618" xr:uid="{00000000-0005-0000-0000-0000CE320000}"/>
    <cellStyle name="Normal 15 4 4" xfId="13619" xr:uid="{00000000-0005-0000-0000-0000CF320000}"/>
    <cellStyle name="Normal 15 4 4 2" xfId="13620" xr:uid="{00000000-0005-0000-0000-0000D0320000}"/>
    <cellStyle name="Normal 15 4 4 2 2" xfId="13621" xr:uid="{00000000-0005-0000-0000-0000D1320000}"/>
    <cellStyle name="Normal 15 4 4 3" xfId="13622" xr:uid="{00000000-0005-0000-0000-0000D2320000}"/>
    <cellStyle name="Normal 15 4 5" xfId="13623" xr:uid="{00000000-0005-0000-0000-0000D3320000}"/>
    <cellStyle name="Normal 15 5" xfId="13624" xr:uid="{00000000-0005-0000-0000-0000D4320000}"/>
    <cellStyle name="Normal 15 5 2" xfId="13625" xr:uid="{00000000-0005-0000-0000-0000D5320000}"/>
    <cellStyle name="Normal 15 5 2 2" xfId="13626" xr:uid="{00000000-0005-0000-0000-0000D6320000}"/>
    <cellStyle name="Normal 15 5 2 2 2" xfId="13627" xr:uid="{00000000-0005-0000-0000-0000D7320000}"/>
    <cellStyle name="Normal 15 5 2 3" xfId="13628" xr:uid="{00000000-0005-0000-0000-0000D8320000}"/>
    <cellStyle name="Normal 15 5 2 3 2" xfId="13629" xr:uid="{00000000-0005-0000-0000-0000D9320000}"/>
    <cellStyle name="Normal 15 5 2 3 2 2" xfId="13630" xr:uid="{00000000-0005-0000-0000-0000DA320000}"/>
    <cellStyle name="Normal 15 5 2 3 3" xfId="13631" xr:uid="{00000000-0005-0000-0000-0000DB320000}"/>
    <cellStyle name="Normal 15 5 2 4" xfId="13632" xr:uid="{00000000-0005-0000-0000-0000DC320000}"/>
    <cellStyle name="Normal 15 5 3" xfId="13633" xr:uid="{00000000-0005-0000-0000-0000DD320000}"/>
    <cellStyle name="Normal 15 5 3 2" xfId="13634" xr:uid="{00000000-0005-0000-0000-0000DE320000}"/>
    <cellStyle name="Normal 15 5 3 2 2" xfId="13635" xr:uid="{00000000-0005-0000-0000-0000DF320000}"/>
    <cellStyle name="Normal 15 5 3 3" xfId="13636" xr:uid="{00000000-0005-0000-0000-0000E0320000}"/>
    <cellStyle name="Normal 15 5 4" xfId="13637" xr:uid="{00000000-0005-0000-0000-0000E1320000}"/>
    <cellStyle name="Normal 15 5 4 2" xfId="13638" xr:uid="{00000000-0005-0000-0000-0000E2320000}"/>
    <cellStyle name="Normal 15 5 4 2 2" xfId="13639" xr:uid="{00000000-0005-0000-0000-0000E3320000}"/>
    <cellStyle name="Normal 15 5 4 3" xfId="13640" xr:uid="{00000000-0005-0000-0000-0000E4320000}"/>
    <cellStyle name="Normal 15 5 5" xfId="13641" xr:uid="{00000000-0005-0000-0000-0000E5320000}"/>
    <cellStyle name="Normal 15 5 5 2" xfId="13642" xr:uid="{00000000-0005-0000-0000-0000E6320000}"/>
    <cellStyle name="Normal 15 5 5 2 2" xfId="13643" xr:uid="{00000000-0005-0000-0000-0000E7320000}"/>
    <cellStyle name="Normal 15 5 5 3" xfId="13644" xr:uid="{00000000-0005-0000-0000-0000E8320000}"/>
    <cellStyle name="Normal 15 5 6" xfId="13645" xr:uid="{00000000-0005-0000-0000-0000E9320000}"/>
    <cellStyle name="Normal 15 6" xfId="13646" xr:uid="{00000000-0005-0000-0000-0000EA320000}"/>
    <cellStyle name="Normal 15 6 2" xfId="13647" xr:uid="{00000000-0005-0000-0000-0000EB320000}"/>
    <cellStyle name="Normal 15 6 2 2" xfId="13648" xr:uid="{00000000-0005-0000-0000-0000EC320000}"/>
    <cellStyle name="Normal 15 6 2 2 2" xfId="13649" xr:uid="{00000000-0005-0000-0000-0000ED320000}"/>
    <cellStyle name="Normal 15 6 2 3" xfId="13650" xr:uid="{00000000-0005-0000-0000-0000EE320000}"/>
    <cellStyle name="Normal 15 6 2 3 2" xfId="13651" xr:uid="{00000000-0005-0000-0000-0000EF320000}"/>
    <cellStyle name="Normal 15 6 2 3 2 2" xfId="13652" xr:uid="{00000000-0005-0000-0000-0000F0320000}"/>
    <cellStyle name="Normal 15 6 2 3 3" xfId="13653" xr:uid="{00000000-0005-0000-0000-0000F1320000}"/>
    <cellStyle name="Normal 15 6 2 4" xfId="13654" xr:uid="{00000000-0005-0000-0000-0000F2320000}"/>
    <cellStyle name="Normal 15 6 3" xfId="13655" xr:uid="{00000000-0005-0000-0000-0000F3320000}"/>
    <cellStyle name="Normal 15 6 3 2" xfId="13656" xr:uid="{00000000-0005-0000-0000-0000F4320000}"/>
    <cellStyle name="Normal 15 6 3 2 2" xfId="13657" xr:uid="{00000000-0005-0000-0000-0000F5320000}"/>
    <cellStyle name="Normal 15 6 3 3" xfId="13658" xr:uid="{00000000-0005-0000-0000-0000F6320000}"/>
    <cellStyle name="Normal 15 6 4" xfId="13659" xr:uid="{00000000-0005-0000-0000-0000F7320000}"/>
    <cellStyle name="Normal 15 6 4 2" xfId="13660" xr:uid="{00000000-0005-0000-0000-0000F8320000}"/>
    <cellStyle name="Normal 15 6 4 2 2" xfId="13661" xr:uid="{00000000-0005-0000-0000-0000F9320000}"/>
    <cellStyle name="Normal 15 6 4 3" xfId="13662" xr:uid="{00000000-0005-0000-0000-0000FA320000}"/>
    <cellStyle name="Normal 15 6 5" xfId="13663" xr:uid="{00000000-0005-0000-0000-0000FB320000}"/>
    <cellStyle name="Normal 15 7" xfId="13664" xr:uid="{00000000-0005-0000-0000-0000FC320000}"/>
    <cellStyle name="Normal 15 8" xfId="13549" xr:uid="{00000000-0005-0000-0000-0000FD320000}"/>
    <cellStyle name="Normal 150" xfId="13665" xr:uid="{00000000-0005-0000-0000-0000FE320000}"/>
    <cellStyle name="Normal 150 2" xfId="13666" xr:uid="{00000000-0005-0000-0000-0000FF320000}"/>
    <cellStyle name="Normal 150 2 2" xfId="13667" xr:uid="{00000000-0005-0000-0000-000000330000}"/>
    <cellStyle name="Normal 150 2 2 2" xfId="13668" xr:uid="{00000000-0005-0000-0000-000001330000}"/>
    <cellStyle name="Normal 150 2 3" xfId="13669" xr:uid="{00000000-0005-0000-0000-000002330000}"/>
    <cellStyle name="Normal 150 2 3 2" xfId="13670" xr:uid="{00000000-0005-0000-0000-000003330000}"/>
    <cellStyle name="Normal 150 2 3 2 2" xfId="13671" xr:uid="{00000000-0005-0000-0000-000004330000}"/>
    <cellStyle name="Normal 150 2 3 3" xfId="13672" xr:uid="{00000000-0005-0000-0000-000005330000}"/>
    <cellStyle name="Normal 150 2 4" xfId="13673" xr:uid="{00000000-0005-0000-0000-000006330000}"/>
    <cellStyle name="Normal 150 2 4 2" xfId="13674" xr:uid="{00000000-0005-0000-0000-000007330000}"/>
    <cellStyle name="Normal 150 2 4 2 2" xfId="13675" xr:uid="{00000000-0005-0000-0000-000008330000}"/>
    <cellStyle name="Normal 150 2 4 3" xfId="13676" xr:uid="{00000000-0005-0000-0000-000009330000}"/>
    <cellStyle name="Normal 150 2 5" xfId="13677" xr:uid="{00000000-0005-0000-0000-00000A330000}"/>
    <cellStyle name="Normal 150 3" xfId="13678" xr:uid="{00000000-0005-0000-0000-00000B330000}"/>
    <cellStyle name="Normal 150 3 2" xfId="13679" xr:uid="{00000000-0005-0000-0000-00000C330000}"/>
    <cellStyle name="Normal 150 3 2 2" xfId="13680" xr:uid="{00000000-0005-0000-0000-00000D330000}"/>
    <cellStyle name="Normal 150 3 2 2 2" xfId="13681" xr:uid="{00000000-0005-0000-0000-00000E330000}"/>
    <cellStyle name="Normal 150 3 2 3" xfId="13682" xr:uid="{00000000-0005-0000-0000-00000F330000}"/>
    <cellStyle name="Normal 150 3 2 3 2" xfId="13683" xr:uid="{00000000-0005-0000-0000-000010330000}"/>
    <cellStyle name="Normal 150 3 2 3 2 2" xfId="13684" xr:uid="{00000000-0005-0000-0000-000011330000}"/>
    <cellStyle name="Normal 150 3 2 3 3" xfId="13685" xr:uid="{00000000-0005-0000-0000-000012330000}"/>
    <cellStyle name="Normal 150 3 2 4" xfId="13686" xr:uid="{00000000-0005-0000-0000-000013330000}"/>
    <cellStyle name="Normal 150 3 3" xfId="13687" xr:uid="{00000000-0005-0000-0000-000014330000}"/>
    <cellStyle name="Normal 150 3 3 2" xfId="13688" xr:uid="{00000000-0005-0000-0000-000015330000}"/>
    <cellStyle name="Normal 150 3 3 2 2" xfId="13689" xr:uid="{00000000-0005-0000-0000-000016330000}"/>
    <cellStyle name="Normal 150 3 3 3" xfId="13690" xr:uid="{00000000-0005-0000-0000-000017330000}"/>
    <cellStyle name="Normal 150 3 4" xfId="13691" xr:uid="{00000000-0005-0000-0000-000018330000}"/>
    <cellStyle name="Normal 150 3 4 2" xfId="13692" xr:uid="{00000000-0005-0000-0000-000019330000}"/>
    <cellStyle name="Normal 150 3 4 2 2" xfId="13693" xr:uid="{00000000-0005-0000-0000-00001A330000}"/>
    <cellStyle name="Normal 150 3 4 3" xfId="13694" xr:uid="{00000000-0005-0000-0000-00001B330000}"/>
    <cellStyle name="Normal 150 3 5" xfId="13695" xr:uid="{00000000-0005-0000-0000-00001C330000}"/>
    <cellStyle name="Normal 150 3 5 2" xfId="13696" xr:uid="{00000000-0005-0000-0000-00001D330000}"/>
    <cellStyle name="Normal 150 3 5 2 2" xfId="13697" xr:uid="{00000000-0005-0000-0000-00001E330000}"/>
    <cellStyle name="Normal 150 3 5 3" xfId="13698" xr:uid="{00000000-0005-0000-0000-00001F330000}"/>
    <cellStyle name="Normal 150 3 6" xfId="13699" xr:uid="{00000000-0005-0000-0000-000020330000}"/>
    <cellStyle name="Normal 150 4" xfId="13700" xr:uid="{00000000-0005-0000-0000-000021330000}"/>
    <cellStyle name="Normal 150 4 2" xfId="13701" xr:uid="{00000000-0005-0000-0000-000022330000}"/>
    <cellStyle name="Normal 150 4 2 2" xfId="13702" xr:uid="{00000000-0005-0000-0000-000023330000}"/>
    <cellStyle name="Normal 150 4 3" xfId="13703" xr:uid="{00000000-0005-0000-0000-000024330000}"/>
    <cellStyle name="Normal 150 5" xfId="13704" xr:uid="{00000000-0005-0000-0000-000025330000}"/>
    <cellStyle name="Normal 150 5 2" xfId="13705" xr:uid="{00000000-0005-0000-0000-000026330000}"/>
    <cellStyle name="Normal 150 5 2 2" xfId="13706" xr:uid="{00000000-0005-0000-0000-000027330000}"/>
    <cellStyle name="Normal 150 5 3" xfId="13707" xr:uid="{00000000-0005-0000-0000-000028330000}"/>
    <cellStyle name="Normal 150 6" xfId="13708" xr:uid="{00000000-0005-0000-0000-000029330000}"/>
    <cellStyle name="Normal 150 6 2" xfId="13709" xr:uid="{00000000-0005-0000-0000-00002A330000}"/>
    <cellStyle name="Normal 150 6 2 2" xfId="13710" xr:uid="{00000000-0005-0000-0000-00002B330000}"/>
    <cellStyle name="Normal 150 6 3" xfId="13711" xr:uid="{00000000-0005-0000-0000-00002C330000}"/>
    <cellStyle name="Normal 150 7" xfId="13712" xr:uid="{00000000-0005-0000-0000-00002D330000}"/>
    <cellStyle name="Normal 151" xfId="13713" xr:uid="{00000000-0005-0000-0000-00002E330000}"/>
    <cellStyle name="Normal 151 2" xfId="13714" xr:uid="{00000000-0005-0000-0000-00002F330000}"/>
    <cellStyle name="Normal 151 2 2" xfId="13715" xr:uid="{00000000-0005-0000-0000-000030330000}"/>
    <cellStyle name="Normal 151 2 2 2" xfId="13716" xr:uid="{00000000-0005-0000-0000-000031330000}"/>
    <cellStyle name="Normal 151 2 3" xfId="13717" xr:uid="{00000000-0005-0000-0000-000032330000}"/>
    <cellStyle name="Normal 151 2 3 2" xfId="13718" xr:uid="{00000000-0005-0000-0000-000033330000}"/>
    <cellStyle name="Normal 151 2 3 2 2" xfId="13719" xr:uid="{00000000-0005-0000-0000-000034330000}"/>
    <cellStyle name="Normal 151 2 3 3" xfId="13720" xr:uid="{00000000-0005-0000-0000-000035330000}"/>
    <cellStyle name="Normal 151 2 4" xfId="13721" xr:uid="{00000000-0005-0000-0000-000036330000}"/>
    <cellStyle name="Normal 151 2 4 2" xfId="13722" xr:uid="{00000000-0005-0000-0000-000037330000}"/>
    <cellStyle name="Normal 151 2 4 2 2" xfId="13723" xr:uid="{00000000-0005-0000-0000-000038330000}"/>
    <cellStyle name="Normal 151 2 4 3" xfId="13724" xr:uid="{00000000-0005-0000-0000-000039330000}"/>
    <cellStyle name="Normal 151 2 5" xfId="13725" xr:uid="{00000000-0005-0000-0000-00003A330000}"/>
    <cellStyle name="Normal 151 3" xfId="13726" xr:uid="{00000000-0005-0000-0000-00003B330000}"/>
    <cellStyle name="Normal 151 3 2" xfId="13727" xr:uid="{00000000-0005-0000-0000-00003C330000}"/>
    <cellStyle name="Normal 151 3 2 2" xfId="13728" xr:uid="{00000000-0005-0000-0000-00003D330000}"/>
    <cellStyle name="Normal 151 3 2 2 2" xfId="13729" xr:uid="{00000000-0005-0000-0000-00003E330000}"/>
    <cellStyle name="Normal 151 3 2 3" xfId="13730" xr:uid="{00000000-0005-0000-0000-00003F330000}"/>
    <cellStyle name="Normal 151 3 2 3 2" xfId="13731" xr:uid="{00000000-0005-0000-0000-000040330000}"/>
    <cellStyle name="Normal 151 3 2 3 2 2" xfId="13732" xr:uid="{00000000-0005-0000-0000-000041330000}"/>
    <cellStyle name="Normal 151 3 2 3 3" xfId="13733" xr:uid="{00000000-0005-0000-0000-000042330000}"/>
    <cellStyle name="Normal 151 3 2 4" xfId="13734" xr:uid="{00000000-0005-0000-0000-000043330000}"/>
    <cellStyle name="Normal 151 3 3" xfId="13735" xr:uid="{00000000-0005-0000-0000-000044330000}"/>
    <cellStyle name="Normal 151 3 3 2" xfId="13736" xr:uid="{00000000-0005-0000-0000-000045330000}"/>
    <cellStyle name="Normal 151 3 3 2 2" xfId="13737" xr:uid="{00000000-0005-0000-0000-000046330000}"/>
    <cellStyle name="Normal 151 3 3 3" xfId="13738" xr:uid="{00000000-0005-0000-0000-000047330000}"/>
    <cellStyle name="Normal 151 3 4" xfId="13739" xr:uid="{00000000-0005-0000-0000-000048330000}"/>
    <cellStyle name="Normal 151 3 4 2" xfId="13740" xr:uid="{00000000-0005-0000-0000-000049330000}"/>
    <cellStyle name="Normal 151 3 4 2 2" xfId="13741" xr:uid="{00000000-0005-0000-0000-00004A330000}"/>
    <cellStyle name="Normal 151 3 4 3" xfId="13742" xr:uid="{00000000-0005-0000-0000-00004B330000}"/>
    <cellStyle name="Normal 151 3 5" xfId="13743" xr:uid="{00000000-0005-0000-0000-00004C330000}"/>
    <cellStyle name="Normal 151 3 5 2" xfId="13744" xr:uid="{00000000-0005-0000-0000-00004D330000}"/>
    <cellStyle name="Normal 151 3 5 2 2" xfId="13745" xr:uid="{00000000-0005-0000-0000-00004E330000}"/>
    <cellStyle name="Normal 151 3 5 3" xfId="13746" xr:uid="{00000000-0005-0000-0000-00004F330000}"/>
    <cellStyle name="Normal 151 3 6" xfId="13747" xr:uid="{00000000-0005-0000-0000-000050330000}"/>
    <cellStyle name="Normal 151 4" xfId="13748" xr:uid="{00000000-0005-0000-0000-000051330000}"/>
    <cellStyle name="Normal 151 4 2" xfId="13749" xr:uid="{00000000-0005-0000-0000-000052330000}"/>
    <cellStyle name="Normal 151 4 2 2" xfId="13750" xr:uid="{00000000-0005-0000-0000-000053330000}"/>
    <cellStyle name="Normal 151 4 3" xfId="13751" xr:uid="{00000000-0005-0000-0000-000054330000}"/>
    <cellStyle name="Normal 151 5" xfId="13752" xr:uid="{00000000-0005-0000-0000-000055330000}"/>
    <cellStyle name="Normal 151 5 2" xfId="13753" xr:uid="{00000000-0005-0000-0000-000056330000}"/>
    <cellStyle name="Normal 151 5 2 2" xfId="13754" xr:uid="{00000000-0005-0000-0000-000057330000}"/>
    <cellStyle name="Normal 151 5 3" xfId="13755" xr:uid="{00000000-0005-0000-0000-000058330000}"/>
    <cellStyle name="Normal 151 6" xfId="13756" xr:uid="{00000000-0005-0000-0000-000059330000}"/>
    <cellStyle name="Normal 151 6 2" xfId="13757" xr:uid="{00000000-0005-0000-0000-00005A330000}"/>
    <cellStyle name="Normal 151 6 2 2" xfId="13758" xr:uid="{00000000-0005-0000-0000-00005B330000}"/>
    <cellStyle name="Normal 151 6 3" xfId="13759" xr:uid="{00000000-0005-0000-0000-00005C330000}"/>
    <cellStyle name="Normal 151 7" xfId="13760" xr:uid="{00000000-0005-0000-0000-00005D330000}"/>
    <cellStyle name="Normal 152" xfId="13761" xr:uid="{00000000-0005-0000-0000-00005E330000}"/>
    <cellStyle name="Normal 152 2" xfId="13762" xr:uid="{00000000-0005-0000-0000-00005F330000}"/>
    <cellStyle name="Normal 152 2 2" xfId="13763" xr:uid="{00000000-0005-0000-0000-000060330000}"/>
    <cellStyle name="Normal 152 2 2 2" xfId="13764" xr:uid="{00000000-0005-0000-0000-000061330000}"/>
    <cellStyle name="Normal 152 2 3" xfId="13765" xr:uid="{00000000-0005-0000-0000-000062330000}"/>
    <cellStyle name="Normal 152 2 3 2" xfId="13766" xr:uid="{00000000-0005-0000-0000-000063330000}"/>
    <cellStyle name="Normal 152 2 3 2 2" xfId="13767" xr:uid="{00000000-0005-0000-0000-000064330000}"/>
    <cellStyle name="Normal 152 2 3 3" xfId="13768" xr:uid="{00000000-0005-0000-0000-000065330000}"/>
    <cellStyle name="Normal 152 2 4" xfId="13769" xr:uid="{00000000-0005-0000-0000-000066330000}"/>
    <cellStyle name="Normal 152 2 4 2" xfId="13770" xr:uid="{00000000-0005-0000-0000-000067330000}"/>
    <cellStyle name="Normal 152 2 4 2 2" xfId="13771" xr:uid="{00000000-0005-0000-0000-000068330000}"/>
    <cellStyle name="Normal 152 2 4 3" xfId="13772" xr:uid="{00000000-0005-0000-0000-000069330000}"/>
    <cellStyle name="Normal 152 2 5" xfId="13773" xr:uid="{00000000-0005-0000-0000-00006A330000}"/>
    <cellStyle name="Normal 152 3" xfId="13774" xr:uid="{00000000-0005-0000-0000-00006B330000}"/>
    <cellStyle name="Normal 152 3 2" xfId="13775" xr:uid="{00000000-0005-0000-0000-00006C330000}"/>
    <cellStyle name="Normal 152 3 2 2" xfId="13776" xr:uid="{00000000-0005-0000-0000-00006D330000}"/>
    <cellStyle name="Normal 152 3 2 2 2" xfId="13777" xr:uid="{00000000-0005-0000-0000-00006E330000}"/>
    <cellStyle name="Normal 152 3 2 3" xfId="13778" xr:uid="{00000000-0005-0000-0000-00006F330000}"/>
    <cellStyle name="Normal 152 3 2 3 2" xfId="13779" xr:uid="{00000000-0005-0000-0000-000070330000}"/>
    <cellStyle name="Normal 152 3 2 3 2 2" xfId="13780" xr:uid="{00000000-0005-0000-0000-000071330000}"/>
    <cellStyle name="Normal 152 3 2 3 3" xfId="13781" xr:uid="{00000000-0005-0000-0000-000072330000}"/>
    <cellStyle name="Normal 152 3 2 4" xfId="13782" xr:uid="{00000000-0005-0000-0000-000073330000}"/>
    <cellStyle name="Normal 152 3 3" xfId="13783" xr:uid="{00000000-0005-0000-0000-000074330000}"/>
    <cellStyle name="Normal 152 3 3 2" xfId="13784" xr:uid="{00000000-0005-0000-0000-000075330000}"/>
    <cellStyle name="Normal 152 3 3 2 2" xfId="13785" xr:uid="{00000000-0005-0000-0000-000076330000}"/>
    <cellStyle name="Normal 152 3 3 3" xfId="13786" xr:uid="{00000000-0005-0000-0000-000077330000}"/>
    <cellStyle name="Normal 152 3 4" xfId="13787" xr:uid="{00000000-0005-0000-0000-000078330000}"/>
    <cellStyle name="Normal 152 3 4 2" xfId="13788" xr:uid="{00000000-0005-0000-0000-000079330000}"/>
    <cellStyle name="Normal 152 3 4 2 2" xfId="13789" xr:uid="{00000000-0005-0000-0000-00007A330000}"/>
    <cellStyle name="Normal 152 3 4 3" xfId="13790" xr:uid="{00000000-0005-0000-0000-00007B330000}"/>
    <cellStyle name="Normal 152 3 5" xfId="13791" xr:uid="{00000000-0005-0000-0000-00007C330000}"/>
    <cellStyle name="Normal 152 3 5 2" xfId="13792" xr:uid="{00000000-0005-0000-0000-00007D330000}"/>
    <cellStyle name="Normal 152 3 5 2 2" xfId="13793" xr:uid="{00000000-0005-0000-0000-00007E330000}"/>
    <cellStyle name="Normal 152 3 5 3" xfId="13794" xr:uid="{00000000-0005-0000-0000-00007F330000}"/>
    <cellStyle name="Normal 152 3 6" xfId="13795" xr:uid="{00000000-0005-0000-0000-000080330000}"/>
    <cellStyle name="Normal 152 4" xfId="13796" xr:uid="{00000000-0005-0000-0000-000081330000}"/>
    <cellStyle name="Normal 152 4 2" xfId="13797" xr:uid="{00000000-0005-0000-0000-000082330000}"/>
    <cellStyle name="Normal 152 4 2 2" xfId="13798" xr:uid="{00000000-0005-0000-0000-000083330000}"/>
    <cellStyle name="Normal 152 4 3" xfId="13799" xr:uid="{00000000-0005-0000-0000-000084330000}"/>
    <cellStyle name="Normal 152 5" xfId="13800" xr:uid="{00000000-0005-0000-0000-000085330000}"/>
    <cellStyle name="Normal 152 5 2" xfId="13801" xr:uid="{00000000-0005-0000-0000-000086330000}"/>
    <cellStyle name="Normal 152 5 2 2" xfId="13802" xr:uid="{00000000-0005-0000-0000-000087330000}"/>
    <cellStyle name="Normal 152 5 3" xfId="13803" xr:uid="{00000000-0005-0000-0000-000088330000}"/>
    <cellStyle name="Normal 152 6" xfId="13804" xr:uid="{00000000-0005-0000-0000-000089330000}"/>
    <cellStyle name="Normal 152 6 2" xfId="13805" xr:uid="{00000000-0005-0000-0000-00008A330000}"/>
    <cellStyle name="Normal 152 6 2 2" xfId="13806" xr:uid="{00000000-0005-0000-0000-00008B330000}"/>
    <cellStyle name="Normal 152 6 3" xfId="13807" xr:uid="{00000000-0005-0000-0000-00008C330000}"/>
    <cellStyle name="Normal 152 7" xfId="13808" xr:uid="{00000000-0005-0000-0000-00008D330000}"/>
    <cellStyle name="Normal 153" xfId="13809" xr:uid="{00000000-0005-0000-0000-00008E330000}"/>
    <cellStyle name="Normal 153 2" xfId="13810" xr:uid="{00000000-0005-0000-0000-00008F330000}"/>
    <cellStyle name="Normal 153 2 2" xfId="13811" xr:uid="{00000000-0005-0000-0000-000090330000}"/>
    <cellStyle name="Normal 153 2 2 2" xfId="13812" xr:uid="{00000000-0005-0000-0000-000091330000}"/>
    <cellStyle name="Normal 153 2 3" xfId="13813" xr:uid="{00000000-0005-0000-0000-000092330000}"/>
    <cellStyle name="Normal 153 2 3 2" xfId="13814" xr:uid="{00000000-0005-0000-0000-000093330000}"/>
    <cellStyle name="Normal 153 2 3 2 2" xfId="13815" xr:uid="{00000000-0005-0000-0000-000094330000}"/>
    <cellStyle name="Normal 153 2 3 3" xfId="13816" xr:uid="{00000000-0005-0000-0000-000095330000}"/>
    <cellStyle name="Normal 153 2 4" xfId="13817" xr:uid="{00000000-0005-0000-0000-000096330000}"/>
    <cellStyle name="Normal 153 2 4 2" xfId="13818" xr:uid="{00000000-0005-0000-0000-000097330000}"/>
    <cellStyle name="Normal 153 2 4 2 2" xfId="13819" xr:uid="{00000000-0005-0000-0000-000098330000}"/>
    <cellStyle name="Normal 153 2 4 3" xfId="13820" xr:uid="{00000000-0005-0000-0000-000099330000}"/>
    <cellStyle name="Normal 153 2 5" xfId="13821" xr:uid="{00000000-0005-0000-0000-00009A330000}"/>
    <cellStyle name="Normal 153 3" xfId="13822" xr:uid="{00000000-0005-0000-0000-00009B330000}"/>
    <cellStyle name="Normal 153 3 2" xfId="13823" xr:uid="{00000000-0005-0000-0000-00009C330000}"/>
    <cellStyle name="Normal 153 3 2 2" xfId="13824" xr:uid="{00000000-0005-0000-0000-00009D330000}"/>
    <cellStyle name="Normal 153 3 2 2 2" xfId="13825" xr:uid="{00000000-0005-0000-0000-00009E330000}"/>
    <cellStyle name="Normal 153 3 2 3" xfId="13826" xr:uid="{00000000-0005-0000-0000-00009F330000}"/>
    <cellStyle name="Normal 153 3 2 3 2" xfId="13827" xr:uid="{00000000-0005-0000-0000-0000A0330000}"/>
    <cellStyle name="Normal 153 3 2 3 2 2" xfId="13828" xr:uid="{00000000-0005-0000-0000-0000A1330000}"/>
    <cellStyle name="Normal 153 3 2 3 3" xfId="13829" xr:uid="{00000000-0005-0000-0000-0000A2330000}"/>
    <cellStyle name="Normal 153 3 2 4" xfId="13830" xr:uid="{00000000-0005-0000-0000-0000A3330000}"/>
    <cellStyle name="Normal 153 3 3" xfId="13831" xr:uid="{00000000-0005-0000-0000-0000A4330000}"/>
    <cellStyle name="Normal 153 3 3 2" xfId="13832" xr:uid="{00000000-0005-0000-0000-0000A5330000}"/>
    <cellStyle name="Normal 153 3 3 2 2" xfId="13833" xr:uid="{00000000-0005-0000-0000-0000A6330000}"/>
    <cellStyle name="Normal 153 3 3 3" xfId="13834" xr:uid="{00000000-0005-0000-0000-0000A7330000}"/>
    <cellStyle name="Normal 153 3 4" xfId="13835" xr:uid="{00000000-0005-0000-0000-0000A8330000}"/>
    <cellStyle name="Normal 153 3 4 2" xfId="13836" xr:uid="{00000000-0005-0000-0000-0000A9330000}"/>
    <cellStyle name="Normal 153 3 4 2 2" xfId="13837" xr:uid="{00000000-0005-0000-0000-0000AA330000}"/>
    <cellStyle name="Normal 153 3 4 3" xfId="13838" xr:uid="{00000000-0005-0000-0000-0000AB330000}"/>
    <cellStyle name="Normal 153 3 5" xfId="13839" xr:uid="{00000000-0005-0000-0000-0000AC330000}"/>
    <cellStyle name="Normal 153 3 5 2" xfId="13840" xr:uid="{00000000-0005-0000-0000-0000AD330000}"/>
    <cellStyle name="Normal 153 3 5 2 2" xfId="13841" xr:uid="{00000000-0005-0000-0000-0000AE330000}"/>
    <cellStyle name="Normal 153 3 5 3" xfId="13842" xr:uid="{00000000-0005-0000-0000-0000AF330000}"/>
    <cellStyle name="Normal 153 3 6" xfId="13843" xr:uid="{00000000-0005-0000-0000-0000B0330000}"/>
    <cellStyle name="Normal 153 4" xfId="13844" xr:uid="{00000000-0005-0000-0000-0000B1330000}"/>
    <cellStyle name="Normal 153 4 2" xfId="13845" xr:uid="{00000000-0005-0000-0000-0000B2330000}"/>
    <cellStyle name="Normal 153 4 2 2" xfId="13846" xr:uid="{00000000-0005-0000-0000-0000B3330000}"/>
    <cellStyle name="Normal 153 4 3" xfId="13847" xr:uid="{00000000-0005-0000-0000-0000B4330000}"/>
    <cellStyle name="Normal 153 5" xfId="13848" xr:uid="{00000000-0005-0000-0000-0000B5330000}"/>
    <cellStyle name="Normal 153 5 2" xfId="13849" xr:uid="{00000000-0005-0000-0000-0000B6330000}"/>
    <cellStyle name="Normal 153 5 2 2" xfId="13850" xr:uid="{00000000-0005-0000-0000-0000B7330000}"/>
    <cellStyle name="Normal 153 5 3" xfId="13851" xr:uid="{00000000-0005-0000-0000-0000B8330000}"/>
    <cellStyle name="Normal 153 6" xfId="13852" xr:uid="{00000000-0005-0000-0000-0000B9330000}"/>
    <cellStyle name="Normal 153 6 2" xfId="13853" xr:uid="{00000000-0005-0000-0000-0000BA330000}"/>
    <cellStyle name="Normal 153 6 2 2" xfId="13854" xr:uid="{00000000-0005-0000-0000-0000BB330000}"/>
    <cellStyle name="Normal 153 6 3" xfId="13855" xr:uid="{00000000-0005-0000-0000-0000BC330000}"/>
    <cellStyle name="Normal 153 7" xfId="13856" xr:uid="{00000000-0005-0000-0000-0000BD330000}"/>
    <cellStyle name="Normal 154" xfId="13857" xr:uid="{00000000-0005-0000-0000-0000BE330000}"/>
    <cellStyle name="Normal 154 2" xfId="13858" xr:uid="{00000000-0005-0000-0000-0000BF330000}"/>
    <cellStyle name="Normal 154 2 2" xfId="13859" xr:uid="{00000000-0005-0000-0000-0000C0330000}"/>
    <cellStyle name="Normal 154 2 2 2" xfId="13860" xr:uid="{00000000-0005-0000-0000-0000C1330000}"/>
    <cellStyle name="Normal 154 2 3" xfId="13861" xr:uid="{00000000-0005-0000-0000-0000C2330000}"/>
    <cellStyle name="Normal 154 2 3 2" xfId="13862" xr:uid="{00000000-0005-0000-0000-0000C3330000}"/>
    <cellStyle name="Normal 154 2 3 2 2" xfId="13863" xr:uid="{00000000-0005-0000-0000-0000C4330000}"/>
    <cellStyle name="Normal 154 2 3 3" xfId="13864" xr:uid="{00000000-0005-0000-0000-0000C5330000}"/>
    <cellStyle name="Normal 154 2 4" xfId="13865" xr:uid="{00000000-0005-0000-0000-0000C6330000}"/>
    <cellStyle name="Normal 154 2 4 2" xfId="13866" xr:uid="{00000000-0005-0000-0000-0000C7330000}"/>
    <cellStyle name="Normal 154 2 4 2 2" xfId="13867" xr:uid="{00000000-0005-0000-0000-0000C8330000}"/>
    <cellStyle name="Normal 154 2 4 3" xfId="13868" xr:uid="{00000000-0005-0000-0000-0000C9330000}"/>
    <cellStyle name="Normal 154 2 5" xfId="13869" xr:uid="{00000000-0005-0000-0000-0000CA330000}"/>
    <cellStyle name="Normal 154 3" xfId="13870" xr:uid="{00000000-0005-0000-0000-0000CB330000}"/>
    <cellStyle name="Normal 154 3 2" xfId="13871" xr:uid="{00000000-0005-0000-0000-0000CC330000}"/>
    <cellStyle name="Normal 154 3 2 2" xfId="13872" xr:uid="{00000000-0005-0000-0000-0000CD330000}"/>
    <cellStyle name="Normal 154 3 2 2 2" xfId="13873" xr:uid="{00000000-0005-0000-0000-0000CE330000}"/>
    <cellStyle name="Normal 154 3 2 3" xfId="13874" xr:uid="{00000000-0005-0000-0000-0000CF330000}"/>
    <cellStyle name="Normal 154 3 2 3 2" xfId="13875" xr:uid="{00000000-0005-0000-0000-0000D0330000}"/>
    <cellStyle name="Normal 154 3 2 3 2 2" xfId="13876" xr:uid="{00000000-0005-0000-0000-0000D1330000}"/>
    <cellStyle name="Normal 154 3 2 3 3" xfId="13877" xr:uid="{00000000-0005-0000-0000-0000D2330000}"/>
    <cellStyle name="Normal 154 3 2 4" xfId="13878" xr:uid="{00000000-0005-0000-0000-0000D3330000}"/>
    <cellStyle name="Normal 154 3 3" xfId="13879" xr:uid="{00000000-0005-0000-0000-0000D4330000}"/>
    <cellStyle name="Normal 154 3 3 2" xfId="13880" xr:uid="{00000000-0005-0000-0000-0000D5330000}"/>
    <cellStyle name="Normal 154 3 3 2 2" xfId="13881" xr:uid="{00000000-0005-0000-0000-0000D6330000}"/>
    <cellStyle name="Normal 154 3 3 3" xfId="13882" xr:uid="{00000000-0005-0000-0000-0000D7330000}"/>
    <cellStyle name="Normal 154 3 4" xfId="13883" xr:uid="{00000000-0005-0000-0000-0000D8330000}"/>
    <cellStyle name="Normal 154 3 4 2" xfId="13884" xr:uid="{00000000-0005-0000-0000-0000D9330000}"/>
    <cellStyle name="Normal 154 3 4 2 2" xfId="13885" xr:uid="{00000000-0005-0000-0000-0000DA330000}"/>
    <cellStyle name="Normal 154 3 4 3" xfId="13886" xr:uid="{00000000-0005-0000-0000-0000DB330000}"/>
    <cellStyle name="Normal 154 3 5" xfId="13887" xr:uid="{00000000-0005-0000-0000-0000DC330000}"/>
    <cellStyle name="Normal 154 3 5 2" xfId="13888" xr:uid="{00000000-0005-0000-0000-0000DD330000}"/>
    <cellStyle name="Normal 154 3 5 2 2" xfId="13889" xr:uid="{00000000-0005-0000-0000-0000DE330000}"/>
    <cellStyle name="Normal 154 3 5 3" xfId="13890" xr:uid="{00000000-0005-0000-0000-0000DF330000}"/>
    <cellStyle name="Normal 154 3 6" xfId="13891" xr:uid="{00000000-0005-0000-0000-0000E0330000}"/>
    <cellStyle name="Normal 154 4" xfId="13892" xr:uid="{00000000-0005-0000-0000-0000E1330000}"/>
    <cellStyle name="Normal 154 4 2" xfId="13893" xr:uid="{00000000-0005-0000-0000-0000E2330000}"/>
    <cellStyle name="Normal 154 4 2 2" xfId="13894" xr:uid="{00000000-0005-0000-0000-0000E3330000}"/>
    <cellStyle name="Normal 154 4 3" xfId="13895" xr:uid="{00000000-0005-0000-0000-0000E4330000}"/>
    <cellStyle name="Normal 154 5" xfId="13896" xr:uid="{00000000-0005-0000-0000-0000E5330000}"/>
    <cellStyle name="Normal 154 5 2" xfId="13897" xr:uid="{00000000-0005-0000-0000-0000E6330000}"/>
    <cellStyle name="Normal 154 5 2 2" xfId="13898" xr:uid="{00000000-0005-0000-0000-0000E7330000}"/>
    <cellStyle name="Normal 154 5 3" xfId="13899" xr:uid="{00000000-0005-0000-0000-0000E8330000}"/>
    <cellStyle name="Normal 154 6" xfId="13900" xr:uid="{00000000-0005-0000-0000-0000E9330000}"/>
    <cellStyle name="Normal 154 6 2" xfId="13901" xr:uid="{00000000-0005-0000-0000-0000EA330000}"/>
    <cellStyle name="Normal 154 6 2 2" xfId="13902" xr:uid="{00000000-0005-0000-0000-0000EB330000}"/>
    <cellStyle name="Normal 154 6 3" xfId="13903" xr:uid="{00000000-0005-0000-0000-0000EC330000}"/>
    <cellStyle name="Normal 154 7" xfId="13904" xr:uid="{00000000-0005-0000-0000-0000ED330000}"/>
    <cellStyle name="Normal 155" xfId="13905" xr:uid="{00000000-0005-0000-0000-0000EE330000}"/>
    <cellStyle name="Normal 155 2" xfId="13906" xr:uid="{00000000-0005-0000-0000-0000EF330000}"/>
    <cellStyle name="Normal 155 2 2" xfId="13907" xr:uid="{00000000-0005-0000-0000-0000F0330000}"/>
    <cellStyle name="Normal 155 2 2 2" xfId="13908" xr:uid="{00000000-0005-0000-0000-0000F1330000}"/>
    <cellStyle name="Normal 155 2 3" xfId="13909" xr:uid="{00000000-0005-0000-0000-0000F2330000}"/>
    <cellStyle name="Normal 155 2 3 2" xfId="13910" xr:uid="{00000000-0005-0000-0000-0000F3330000}"/>
    <cellStyle name="Normal 155 2 3 2 2" xfId="13911" xr:uid="{00000000-0005-0000-0000-0000F4330000}"/>
    <cellStyle name="Normal 155 2 3 3" xfId="13912" xr:uid="{00000000-0005-0000-0000-0000F5330000}"/>
    <cellStyle name="Normal 155 2 4" xfId="13913" xr:uid="{00000000-0005-0000-0000-0000F6330000}"/>
    <cellStyle name="Normal 155 2 4 2" xfId="13914" xr:uid="{00000000-0005-0000-0000-0000F7330000}"/>
    <cellStyle name="Normal 155 2 4 2 2" xfId="13915" xr:uid="{00000000-0005-0000-0000-0000F8330000}"/>
    <cellStyle name="Normal 155 2 4 3" xfId="13916" xr:uid="{00000000-0005-0000-0000-0000F9330000}"/>
    <cellStyle name="Normal 155 2 5" xfId="13917" xr:uid="{00000000-0005-0000-0000-0000FA330000}"/>
    <cellStyle name="Normal 155 3" xfId="13918" xr:uid="{00000000-0005-0000-0000-0000FB330000}"/>
    <cellStyle name="Normal 155 3 2" xfId="13919" xr:uid="{00000000-0005-0000-0000-0000FC330000}"/>
    <cellStyle name="Normal 155 3 2 2" xfId="13920" xr:uid="{00000000-0005-0000-0000-0000FD330000}"/>
    <cellStyle name="Normal 155 3 2 2 2" xfId="13921" xr:uid="{00000000-0005-0000-0000-0000FE330000}"/>
    <cellStyle name="Normal 155 3 2 3" xfId="13922" xr:uid="{00000000-0005-0000-0000-0000FF330000}"/>
    <cellStyle name="Normal 155 3 2 3 2" xfId="13923" xr:uid="{00000000-0005-0000-0000-000000340000}"/>
    <cellStyle name="Normal 155 3 2 3 2 2" xfId="13924" xr:uid="{00000000-0005-0000-0000-000001340000}"/>
    <cellStyle name="Normal 155 3 2 3 3" xfId="13925" xr:uid="{00000000-0005-0000-0000-000002340000}"/>
    <cellStyle name="Normal 155 3 2 4" xfId="13926" xr:uid="{00000000-0005-0000-0000-000003340000}"/>
    <cellStyle name="Normal 155 3 3" xfId="13927" xr:uid="{00000000-0005-0000-0000-000004340000}"/>
    <cellStyle name="Normal 155 3 3 2" xfId="13928" xr:uid="{00000000-0005-0000-0000-000005340000}"/>
    <cellStyle name="Normal 155 3 3 2 2" xfId="13929" xr:uid="{00000000-0005-0000-0000-000006340000}"/>
    <cellStyle name="Normal 155 3 3 3" xfId="13930" xr:uid="{00000000-0005-0000-0000-000007340000}"/>
    <cellStyle name="Normal 155 3 4" xfId="13931" xr:uid="{00000000-0005-0000-0000-000008340000}"/>
    <cellStyle name="Normal 155 3 4 2" xfId="13932" xr:uid="{00000000-0005-0000-0000-000009340000}"/>
    <cellStyle name="Normal 155 3 4 2 2" xfId="13933" xr:uid="{00000000-0005-0000-0000-00000A340000}"/>
    <cellStyle name="Normal 155 3 4 3" xfId="13934" xr:uid="{00000000-0005-0000-0000-00000B340000}"/>
    <cellStyle name="Normal 155 3 5" xfId="13935" xr:uid="{00000000-0005-0000-0000-00000C340000}"/>
    <cellStyle name="Normal 155 3 5 2" xfId="13936" xr:uid="{00000000-0005-0000-0000-00000D340000}"/>
    <cellStyle name="Normal 155 3 5 2 2" xfId="13937" xr:uid="{00000000-0005-0000-0000-00000E340000}"/>
    <cellStyle name="Normal 155 3 5 3" xfId="13938" xr:uid="{00000000-0005-0000-0000-00000F340000}"/>
    <cellStyle name="Normal 155 3 6" xfId="13939" xr:uid="{00000000-0005-0000-0000-000010340000}"/>
    <cellStyle name="Normal 155 4" xfId="13940" xr:uid="{00000000-0005-0000-0000-000011340000}"/>
    <cellStyle name="Normal 155 4 2" xfId="13941" xr:uid="{00000000-0005-0000-0000-000012340000}"/>
    <cellStyle name="Normal 155 4 2 2" xfId="13942" xr:uid="{00000000-0005-0000-0000-000013340000}"/>
    <cellStyle name="Normal 155 4 3" xfId="13943" xr:uid="{00000000-0005-0000-0000-000014340000}"/>
    <cellStyle name="Normal 155 5" xfId="13944" xr:uid="{00000000-0005-0000-0000-000015340000}"/>
    <cellStyle name="Normal 155 5 2" xfId="13945" xr:uid="{00000000-0005-0000-0000-000016340000}"/>
    <cellStyle name="Normal 155 5 2 2" xfId="13946" xr:uid="{00000000-0005-0000-0000-000017340000}"/>
    <cellStyle name="Normal 155 5 3" xfId="13947" xr:uid="{00000000-0005-0000-0000-000018340000}"/>
    <cellStyle name="Normal 155 6" xfId="13948" xr:uid="{00000000-0005-0000-0000-000019340000}"/>
    <cellStyle name="Normal 155 6 2" xfId="13949" xr:uid="{00000000-0005-0000-0000-00001A340000}"/>
    <cellStyle name="Normal 155 6 2 2" xfId="13950" xr:uid="{00000000-0005-0000-0000-00001B340000}"/>
    <cellStyle name="Normal 155 6 3" xfId="13951" xr:uid="{00000000-0005-0000-0000-00001C340000}"/>
    <cellStyle name="Normal 155 7" xfId="13952" xr:uid="{00000000-0005-0000-0000-00001D340000}"/>
    <cellStyle name="Normal 156" xfId="13953" xr:uid="{00000000-0005-0000-0000-00001E340000}"/>
    <cellStyle name="Normal 156 2" xfId="13954" xr:uid="{00000000-0005-0000-0000-00001F340000}"/>
    <cellStyle name="Normal 156 2 2" xfId="13955" xr:uid="{00000000-0005-0000-0000-000020340000}"/>
    <cellStyle name="Normal 156 2 2 2" xfId="13956" xr:uid="{00000000-0005-0000-0000-000021340000}"/>
    <cellStyle name="Normal 156 2 3" xfId="13957" xr:uid="{00000000-0005-0000-0000-000022340000}"/>
    <cellStyle name="Normal 156 2 3 2" xfId="13958" xr:uid="{00000000-0005-0000-0000-000023340000}"/>
    <cellStyle name="Normal 156 2 3 2 2" xfId="13959" xr:uid="{00000000-0005-0000-0000-000024340000}"/>
    <cellStyle name="Normal 156 2 3 3" xfId="13960" xr:uid="{00000000-0005-0000-0000-000025340000}"/>
    <cellStyle name="Normal 156 2 4" xfId="13961" xr:uid="{00000000-0005-0000-0000-000026340000}"/>
    <cellStyle name="Normal 156 2 4 2" xfId="13962" xr:uid="{00000000-0005-0000-0000-000027340000}"/>
    <cellStyle name="Normal 156 2 4 2 2" xfId="13963" xr:uid="{00000000-0005-0000-0000-000028340000}"/>
    <cellStyle name="Normal 156 2 4 3" xfId="13964" xr:uid="{00000000-0005-0000-0000-000029340000}"/>
    <cellStyle name="Normal 156 2 5" xfId="13965" xr:uid="{00000000-0005-0000-0000-00002A340000}"/>
    <cellStyle name="Normal 156 3" xfId="13966" xr:uid="{00000000-0005-0000-0000-00002B340000}"/>
    <cellStyle name="Normal 156 3 2" xfId="13967" xr:uid="{00000000-0005-0000-0000-00002C340000}"/>
    <cellStyle name="Normal 156 3 2 2" xfId="13968" xr:uid="{00000000-0005-0000-0000-00002D340000}"/>
    <cellStyle name="Normal 156 3 2 2 2" xfId="13969" xr:uid="{00000000-0005-0000-0000-00002E340000}"/>
    <cellStyle name="Normal 156 3 2 3" xfId="13970" xr:uid="{00000000-0005-0000-0000-00002F340000}"/>
    <cellStyle name="Normal 156 3 2 3 2" xfId="13971" xr:uid="{00000000-0005-0000-0000-000030340000}"/>
    <cellStyle name="Normal 156 3 2 3 2 2" xfId="13972" xr:uid="{00000000-0005-0000-0000-000031340000}"/>
    <cellStyle name="Normal 156 3 2 3 3" xfId="13973" xr:uid="{00000000-0005-0000-0000-000032340000}"/>
    <cellStyle name="Normal 156 3 2 4" xfId="13974" xr:uid="{00000000-0005-0000-0000-000033340000}"/>
    <cellStyle name="Normal 156 3 3" xfId="13975" xr:uid="{00000000-0005-0000-0000-000034340000}"/>
    <cellStyle name="Normal 156 3 3 2" xfId="13976" xr:uid="{00000000-0005-0000-0000-000035340000}"/>
    <cellStyle name="Normal 156 3 3 2 2" xfId="13977" xr:uid="{00000000-0005-0000-0000-000036340000}"/>
    <cellStyle name="Normal 156 3 3 3" xfId="13978" xr:uid="{00000000-0005-0000-0000-000037340000}"/>
    <cellStyle name="Normal 156 3 4" xfId="13979" xr:uid="{00000000-0005-0000-0000-000038340000}"/>
    <cellStyle name="Normal 156 3 4 2" xfId="13980" xr:uid="{00000000-0005-0000-0000-000039340000}"/>
    <cellStyle name="Normal 156 3 4 2 2" xfId="13981" xr:uid="{00000000-0005-0000-0000-00003A340000}"/>
    <cellStyle name="Normal 156 3 4 3" xfId="13982" xr:uid="{00000000-0005-0000-0000-00003B340000}"/>
    <cellStyle name="Normal 156 3 5" xfId="13983" xr:uid="{00000000-0005-0000-0000-00003C340000}"/>
    <cellStyle name="Normal 156 3 5 2" xfId="13984" xr:uid="{00000000-0005-0000-0000-00003D340000}"/>
    <cellStyle name="Normal 156 3 5 2 2" xfId="13985" xr:uid="{00000000-0005-0000-0000-00003E340000}"/>
    <cellStyle name="Normal 156 3 5 3" xfId="13986" xr:uid="{00000000-0005-0000-0000-00003F340000}"/>
    <cellStyle name="Normal 156 3 6" xfId="13987" xr:uid="{00000000-0005-0000-0000-000040340000}"/>
    <cellStyle name="Normal 156 4" xfId="13988" xr:uid="{00000000-0005-0000-0000-000041340000}"/>
    <cellStyle name="Normal 156 4 2" xfId="13989" xr:uid="{00000000-0005-0000-0000-000042340000}"/>
    <cellStyle name="Normal 156 4 2 2" xfId="13990" xr:uid="{00000000-0005-0000-0000-000043340000}"/>
    <cellStyle name="Normal 156 4 3" xfId="13991" xr:uid="{00000000-0005-0000-0000-000044340000}"/>
    <cellStyle name="Normal 156 5" xfId="13992" xr:uid="{00000000-0005-0000-0000-000045340000}"/>
    <cellStyle name="Normal 156 5 2" xfId="13993" xr:uid="{00000000-0005-0000-0000-000046340000}"/>
    <cellStyle name="Normal 156 5 2 2" xfId="13994" xr:uid="{00000000-0005-0000-0000-000047340000}"/>
    <cellStyle name="Normal 156 5 3" xfId="13995" xr:uid="{00000000-0005-0000-0000-000048340000}"/>
    <cellStyle name="Normal 156 6" xfId="13996" xr:uid="{00000000-0005-0000-0000-000049340000}"/>
    <cellStyle name="Normal 156 6 2" xfId="13997" xr:uid="{00000000-0005-0000-0000-00004A340000}"/>
    <cellStyle name="Normal 156 6 2 2" xfId="13998" xr:uid="{00000000-0005-0000-0000-00004B340000}"/>
    <cellStyle name="Normal 156 6 3" xfId="13999" xr:uid="{00000000-0005-0000-0000-00004C340000}"/>
    <cellStyle name="Normal 156 7" xfId="14000" xr:uid="{00000000-0005-0000-0000-00004D340000}"/>
    <cellStyle name="Normal 157" xfId="14001" xr:uid="{00000000-0005-0000-0000-00004E340000}"/>
    <cellStyle name="Normal 157 2" xfId="14002" xr:uid="{00000000-0005-0000-0000-00004F340000}"/>
    <cellStyle name="Normal 157 2 2" xfId="14003" xr:uid="{00000000-0005-0000-0000-000050340000}"/>
    <cellStyle name="Normal 157 2 2 2" xfId="14004" xr:uid="{00000000-0005-0000-0000-000051340000}"/>
    <cellStyle name="Normal 157 2 3" xfId="14005" xr:uid="{00000000-0005-0000-0000-000052340000}"/>
    <cellStyle name="Normal 157 2 3 2" xfId="14006" xr:uid="{00000000-0005-0000-0000-000053340000}"/>
    <cellStyle name="Normal 157 2 3 2 2" xfId="14007" xr:uid="{00000000-0005-0000-0000-000054340000}"/>
    <cellStyle name="Normal 157 2 3 3" xfId="14008" xr:uid="{00000000-0005-0000-0000-000055340000}"/>
    <cellStyle name="Normal 157 2 4" xfId="14009" xr:uid="{00000000-0005-0000-0000-000056340000}"/>
    <cellStyle name="Normal 157 2 4 2" xfId="14010" xr:uid="{00000000-0005-0000-0000-000057340000}"/>
    <cellStyle name="Normal 157 2 4 2 2" xfId="14011" xr:uid="{00000000-0005-0000-0000-000058340000}"/>
    <cellStyle name="Normal 157 2 4 3" xfId="14012" xr:uid="{00000000-0005-0000-0000-000059340000}"/>
    <cellStyle name="Normal 157 2 5" xfId="14013" xr:uid="{00000000-0005-0000-0000-00005A340000}"/>
    <cellStyle name="Normal 157 3" xfId="14014" xr:uid="{00000000-0005-0000-0000-00005B340000}"/>
    <cellStyle name="Normal 157 3 2" xfId="14015" xr:uid="{00000000-0005-0000-0000-00005C340000}"/>
    <cellStyle name="Normal 157 3 2 2" xfId="14016" xr:uid="{00000000-0005-0000-0000-00005D340000}"/>
    <cellStyle name="Normal 157 3 2 2 2" xfId="14017" xr:uid="{00000000-0005-0000-0000-00005E340000}"/>
    <cellStyle name="Normal 157 3 2 3" xfId="14018" xr:uid="{00000000-0005-0000-0000-00005F340000}"/>
    <cellStyle name="Normal 157 3 2 3 2" xfId="14019" xr:uid="{00000000-0005-0000-0000-000060340000}"/>
    <cellStyle name="Normal 157 3 2 3 2 2" xfId="14020" xr:uid="{00000000-0005-0000-0000-000061340000}"/>
    <cellStyle name="Normal 157 3 2 3 3" xfId="14021" xr:uid="{00000000-0005-0000-0000-000062340000}"/>
    <cellStyle name="Normal 157 3 2 4" xfId="14022" xr:uid="{00000000-0005-0000-0000-000063340000}"/>
    <cellStyle name="Normal 157 3 3" xfId="14023" xr:uid="{00000000-0005-0000-0000-000064340000}"/>
    <cellStyle name="Normal 157 3 3 2" xfId="14024" xr:uid="{00000000-0005-0000-0000-000065340000}"/>
    <cellStyle name="Normal 157 3 3 2 2" xfId="14025" xr:uid="{00000000-0005-0000-0000-000066340000}"/>
    <cellStyle name="Normal 157 3 3 3" xfId="14026" xr:uid="{00000000-0005-0000-0000-000067340000}"/>
    <cellStyle name="Normal 157 3 4" xfId="14027" xr:uid="{00000000-0005-0000-0000-000068340000}"/>
    <cellStyle name="Normal 157 3 4 2" xfId="14028" xr:uid="{00000000-0005-0000-0000-000069340000}"/>
    <cellStyle name="Normal 157 3 4 2 2" xfId="14029" xr:uid="{00000000-0005-0000-0000-00006A340000}"/>
    <cellStyle name="Normal 157 3 4 3" xfId="14030" xr:uid="{00000000-0005-0000-0000-00006B340000}"/>
    <cellStyle name="Normal 157 3 5" xfId="14031" xr:uid="{00000000-0005-0000-0000-00006C340000}"/>
    <cellStyle name="Normal 157 3 5 2" xfId="14032" xr:uid="{00000000-0005-0000-0000-00006D340000}"/>
    <cellStyle name="Normal 157 3 5 2 2" xfId="14033" xr:uid="{00000000-0005-0000-0000-00006E340000}"/>
    <cellStyle name="Normal 157 3 5 3" xfId="14034" xr:uid="{00000000-0005-0000-0000-00006F340000}"/>
    <cellStyle name="Normal 157 3 6" xfId="14035" xr:uid="{00000000-0005-0000-0000-000070340000}"/>
    <cellStyle name="Normal 157 4" xfId="14036" xr:uid="{00000000-0005-0000-0000-000071340000}"/>
    <cellStyle name="Normal 157 4 2" xfId="14037" xr:uid="{00000000-0005-0000-0000-000072340000}"/>
    <cellStyle name="Normal 157 4 2 2" xfId="14038" xr:uid="{00000000-0005-0000-0000-000073340000}"/>
    <cellStyle name="Normal 157 4 3" xfId="14039" xr:uid="{00000000-0005-0000-0000-000074340000}"/>
    <cellStyle name="Normal 157 5" xfId="14040" xr:uid="{00000000-0005-0000-0000-000075340000}"/>
    <cellStyle name="Normal 157 5 2" xfId="14041" xr:uid="{00000000-0005-0000-0000-000076340000}"/>
    <cellStyle name="Normal 157 5 2 2" xfId="14042" xr:uid="{00000000-0005-0000-0000-000077340000}"/>
    <cellStyle name="Normal 157 5 3" xfId="14043" xr:uid="{00000000-0005-0000-0000-000078340000}"/>
    <cellStyle name="Normal 157 6" xfId="14044" xr:uid="{00000000-0005-0000-0000-000079340000}"/>
    <cellStyle name="Normal 157 6 2" xfId="14045" xr:uid="{00000000-0005-0000-0000-00007A340000}"/>
    <cellStyle name="Normal 157 6 2 2" xfId="14046" xr:uid="{00000000-0005-0000-0000-00007B340000}"/>
    <cellStyle name="Normal 157 6 3" xfId="14047" xr:uid="{00000000-0005-0000-0000-00007C340000}"/>
    <cellStyle name="Normal 157 7" xfId="14048" xr:uid="{00000000-0005-0000-0000-00007D340000}"/>
    <cellStyle name="Normal 158" xfId="14049" xr:uid="{00000000-0005-0000-0000-00007E340000}"/>
    <cellStyle name="Normal 158 2" xfId="14050" xr:uid="{00000000-0005-0000-0000-00007F340000}"/>
    <cellStyle name="Normal 158 2 2" xfId="14051" xr:uid="{00000000-0005-0000-0000-000080340000}"/>
    <cellStyle name="Normal 158 2 2 2" xfId="14052" xr:uid="{00000000-0005-0000-0000-000081340000}"/>
    <cellStyle name="Normal 158 2 3" xfId="14053" xr:uid="{00000000-0005-0000-0000-000082340000}"/>
    <cellStyle name="Normal 158 2 3 2" xfId="14054" xr:uid="{00000000-0005-0000-0000-000083340000}"/>
    <cellStyle name="Normal 158 2 3 2 2" xfId="14055" xr:uid="{00000000-0005-0000-0000-000084340000}"/>
    <cellStyle name="Normal 158 2 3 3" xfId="14056" xr:uid="{00000000-0005-0000-0000-000085340000}"/>
    <cellStyle name="Normal 158 2 4" xfId="14057" xr:uid="{00000000-0005-0000-0000-000086340000}"/>
    <cellStyle name="Normal 158 2 4 2" xfId="14058" xr:uid="{00000000-0005-0000-0000-000087340000}"/>
    <cellStyle name="Normal 158 2 4 2 2" xfId="14059" xr:uid="{00000000-0005-0000-0000-000088340000}"/>
    <cellStyle name="Normal 158 2 4 3" xfId="14060" xr:uid="{00000000-0005-0000-0000-000089340000}"/>
    <cellStyle name="Normal 158 2 5" xfId="14061" xr:uid="{00000000-0005-0000-0000-00008A340000}"/>
    <cellStyle name="Normal 158 3" xfId="14062" xr:uid="{00000000-0005-0000-0000-00008B340000}"/>
    <cellStyle name="Normal 158 3 2" xfId="14063" xr:uid="{00000000-0005-0000-0000-00008C340000}"/>
    <cellStyle name="Normal 158 3 2 2" xfId="14064" xr:uid="{00000000-0005-0000-0000-00008D340000}"/>
    <cellStyle name="Normal 158 3 2 2 2" xfId="14065" xr:uid="{00000000-0005-0000-0000-00008E340000}"/>
    <cellStyle name="Normal 158 3 2 3" xfId="14066" xr:uid="{00000000-0005-0000-0000-00008F340000}"/>
    <cellStyle name="Normal 158 3 2 3 2" xfId="14067" xr:uid="{00000000-0005-0000-0000-000090340000}"/>
    <cellStyle name="Normal 158 3 2 3 2 2" xfId="14068" xr:uid="{00000000-0005-0000-0000-000091340000}"/>
    <cellStyle name="Normal 158 3 2 3 3" xfId="14069" xr:uid="{00000000-0005-0000-0000-000092340000}"/>
    <cellStyle name="Normal 158 3 2 4" xfId="14070" xr:uid="{00000000-0005-0000-0000-000093340000}"/>
    <cellStyle name="Normal 158 3 3" xfId="14071" xr:uid="{00000000-0005-0000-0000-000094340000}"/>
    <cellStyle name="Normal 158 3 3 2" xfId="14072" xr:uid="{00000000-0005-0000-0000-000095340000}"/>
    <cellStyle name="Normal 158 3 3 2 2" xfId="14073" xr:uid="{00000000-0005-0000-0000-000096340000}"/>
    <cellStyle name="Normal 158 3 3 3" xfId="14074" xr:uid="{00000000-0005-0000-0000-000097340000}"/>
    <cellStyle name="Normal 158 3 4" xfId="14075" xr:uid="{00000000-0005-0000-0000-000098340000}"/>
    <cellStyle name="Normal 158 3 4 2" xfId="14076" xr:uid="{00000000-0005-0000-0000-000099340000}"/>
    <cellStyle name="Normal 158 3 4 2 2" xfId="14077" xr:uid="{00000000-0005-0000-0000-00009A340000}"/>
    <cellStyle name="Normal 158 3 4 3" xfId="14078" xr:uid="{00000000-0005-0000-0000-00009B340000}"/>
    <cellStyle name="Normal 158 3 5" xfId="14079" xr:uid="{00000000-0005-0000-0000-00009C340000}"/>
    <cellStyle name="Normal 158 3 5 2" xfId="14080" xr:uid="{00000000-0005-0000-0000-00009D340000}"/>
    <cellStyle name="Normal 158 3 5 2 2" xfId="14081" xr:uid="{00000000-0005-0000-0000-00009E340000}"/>
    <cellStyle name="Normal 158 3 5 3" xfId="14082" xr:uid="{00000000-0005-0000-0000-00009F340000}"/>
    <cellStyle name="Normal 158 3 6" xfId="14083" xr:uid="{00000000-0005-0000-0000-0000A0340000}"/>
    <cellStyle name="Normal 158 4" xfId="14084" xr:uid="{00000000-0005-0000-0000-0000A1340000}"/>
    <cellStyle name="Normal 158 4 2" xfId="14085" xr:uid="{00000000-0005-0000-0000-0000A2340000}"/>
    <cellStyle name="Normal 158 4 2 2" xfId="14086" xr:uid="{00000000-0005-0000-0000-0000A3340000}"/>
    <cellStyle name="Normal 158 4 3" xfId="14087" xr:uid="{00000000-0005-0000-0000-0000A4340000}"/>
    <cellStyle name="Normal 158 5" xfId="14088" xr:uid="{00000000-0005-0000-0000-0000A5340000}"/>
    <cellStyle name="Normal 158 5 2" xfId="14089" xr:uid="{00000000-0005-0000-0000-0000A6340000}"/>
    <cellStyle name="Normal 158 5 2 2" xfId="14090" xr:uid="{00000000-0005-0000-0000-0000A7340000}"/>
    <cellStyle name="Normal 158 5 3" xfId="14091" xr:uid="{00000000-0005-0000-0000-0000A8340000}"/>
    <cellStyle name="Normal 158 6" xfId="14092" xr:uid="{00000000-0005-0000-0000-0000A9340000}"/>
    <cellStyle name="Normal 158 6 2" xfId="14093" xr:uid="{00000000-0005-0000-0000-0000AA340000}"/>
    <cellStyle name="Normal 158 6 2 2" xfId="14094" xr:uid="{00000000-0005-0000-0000-0000AB340000}"/>
    <cellStyle name="Normal 158 6 3" xfId="14095" xr:uid="{00000000-0005-0000-0000-0000AC340000}"/>
    <cellStyle name="Normal 158 7" xfId="14096" xr:uid="{00000000-0005-0000-0000-0000AD340000}"/>
    <cellStyle name="Normal 159" xfId="14097" xr:uid="{00000000-0005-0000-0000-0000AE340000}"/>
    <cellStyle name="Normal 159 2" xfId="14098" xr:uid="{00000000-0005-0000-0000-0000AF340000}"/>
    <cellStyle name="Normal 159 2 2" xfId="14099" xr:uid="{00000000-0005-0000-0000-0000B0340000}"/>
    <cellStyle name="Normal 159 2 2 2" xfId="14100" xr:uid="{00000000-0005-0000-0000-0000B1340000}"/>
    <cellStyle name="Normal 159 2 3" xfId="14101" xr:uid="{00000000-0005-0000-0000-0000B2340000}"/>
    <cellStyle name="Normal 159 2 3 2" xfId="14102" xr:uid="{00000000-0005-0000-0000-0000B3340000}"/>
    <cellStyle name="Normal 159 2 3 2 2" xfId="14103" xr:uid="{00000000-0005-0000-0000-0000B4340000}"/>
    <cellStyle name="Normal 159 2 3 3" xfId="14104" xr:uid="{00000000-0005-0000-0000-0000B5340000}"/>
    <cellStyle name="Normal 159 2 4" xfId="14105" xr:uid="{00000000-0005-0000-0000-0000B6340000}"/>
    <cellStyle name="Normal 159 2 4 2" xfId="14106" xr:uid="{00000000-0005-0000-0000-0000B7340000}"/>
    <cellStyle name="Normal 159 2 4 2 2" xfId="14107" xr:uid="{00000000-0005-0000-0000-0000B8340000}"/>
    <cellStyle name="Normal 159 2 4 3" xfId="14108" xr:uid="{00000000-0005-0000-0000-0000B9340000}"/>
    <cellStyle name="Normal 159 2 5" xfId="14109" xr:uid="{00000000-0005-0000-0000-0000BA340000}"/>
    <cellStyle name="Normal 159 3" xfId="14110" xr:uid="{00000000-0005-0000-0000-0000BB340000}"/>
    <cellStyle name="Normal 159 3 2" xfId="14111" xr:uid="{00000000-0005-0000-0000-0000BC340000}"/>
    <cellStyle name="Normal 159 3 2 2" xfId="14112" xr:uid="{00000000-0005-0000-0000-0000BD340000}"/>
    <cellStyle name="Normal 159 3 2 2 2" xfId="14113" xr:uid="{00000000-0005-0000-0000-0000BE340000}"/>
    <cellStyle name="Normal 159 3 2 3" xfId="14114" xr:uid="{00000000-0005-0000-0000-0000BF340000}"/>
    <cellStyle name="Normal 159 3 2 3 2" xfId="14115" xr:uid="{00000000-0005-0000-0000-0000C0340000}"/>
    <cellStyle name="Normal 159 3 2 3 2 2" xfId="14116" xr:uid="{00000000-0005-0000-0000-0000C1340000}"/>
    <cellStyle name="Normal 159 3 2 3 3" xfId="14117" xr:uid="{00000000-0005-0000-0000-0000C2340000}"/>
    <cellStyle name="Normal 159 3 2 4" xfId="14118" xr:uid="{00000000-0005-0000-0000-0000C3340000}"/>
    <cellStyle name="Normal 159 3 3" xfId="14119" xr:uid="{00000000-0005-0000-0000-0000C4340000}"/>
    <cellStyle name="Normal 159 3 3 2" xfId="14120" xr:uid="{00000000-0005-0000-0000-0000C5340000}"/>
    <cellStyle name="Normal 159 3 3 2 2" xfId="14121" xr:uid="{00000000-0005-0000-0000-0000C6340000}"/>
    <cellStyle name="Normal 159 3 3 3" xfId="14122" xr:uid="{00000000-0005-0000-0000-0000C7340000}"/>
    <cellStyle name="Normal 159 3 4" xfId="14123" xr:uid="{00000000-0005-0000-0000-0000C8340000}"/>
    <cellStyle name="Normal 159 3 4 2" xfId="14124" xr:uid="{00000000-0005-0000-0000-0000C9340000}"/>
    <cellStyle name="Normal 159 3 4 2 2" xfId="14125" xr:uid="{00000000-0005-0000-0000-0000CA340000}"/>
    <cellStyle name="Normal 159 3 4 3" xfId="14126" xr:uid="{00000000-0005-0000-0000-0000CB340000}"/>
    <cellStyle name="Normal 159 3 5" xfId="14127" xr:uid="{00000000-0005-0000-0000-0000CC340000}"/>
    <cellStyle name="Normal 159 3 5 2" xfId="14128" xr:uid="{00000000-0005-0000-0000-0000CD340000}"/>
    <cellStyle name="Normal 159 3 5 2 2" xfId="14129" xr:uid="{00000000-0005-0000-0000-0000CE340000}"/>
    <cellStyle name="Normal 159 3 5 3" xfId="14130" xr:uid="{00000000-0005-0000-0000-0000CF340000}"/>
    <cellStyle name="Normal 159 3 6" xfId="14131" xr:uid="{00000000-0005-0000-0000-0000D0340000}"/>
    <cellStyle name="Normal 159 4" xfId="14132" xr:uid="{00000000-0005-0000-0000-0000D1340000}"/>
    <cellStyle name="Normal 159 4 2" xfId="14133" xr:uid="{00000000-0005-0000-0000-0000D2340000}"/>
    <cellStyle name="Normal 159 4 2 2" xfId="14134" xr:uid="{00000000-0005-0000-0000-0000D3340000}"/>
    <cellStyle name="Normal 159 4 3" xfId="14135" xr:uid="{00000000-0005-0000-0000-0000D4340000}"/>
    <cellStyle name="Normal 159 5" xfId="14136" xr:uid="{00000000-0005-0000-0000-0000D5340000}"/>
    <cellStyle name="Normal 159 5 2" xfId="14137" xr:uid="{00000000-0005-0000-0000-0000D6340000}"/>
    <cellStyle name="Normal 159 5 2 2" xfId="14138" xr:uid="{00000000-0005-0000-0000-0000D7340000}"/>
    <cellStyle name="Normal 159 5 3" xfId="14139" xr:uid="{00000000-0005-0000-0000-0000D8340000}"/>
    <cellStyle name="Normal 159 6" xfId="14140" xr:uid="{00000000-0005-0000-0000-0000D9340000}"/>
    <cellStyle name="Normal 159 6 2" xfId="14141" xr:uid="{00000000-0005-0000-0000-0000DA340000}"/>
    <cellStyle name="Normal 159 6 2 2" xfId="14142" xr:uid="{00000000-0005-0000-0000-0000DB340000}"/>
    <cellStyle name="Normal 159 6 3" xfId="14143" xr:uid="{00000000-0005-0000-0000-0000DC340000}"/>
    <cellStyle name="Normal 159 7" xfId="14144" xr:uid="{00000000-0005-0000-0000-0000DD340000}"/>
    <cellStyle name="Normal 16" xfId="131" xr:uid="{00000000-0005-0000-0000-0000DE340000}"/>
    <cellStyle name="Normal 16 2" xfId="14146" xr:uid="{00000000-0005-0000-0000-0000DF340000}"/>
    <cellStyle name="Normal 16 2 2" xfId="14147" xr:uid="{00000000-0005-0000-0000-0000E0340000}"/>
    <cellStyle name="Normal 16 2 2 2" xfId="14148" xr:uid="{00000000-0005-0000-0000-0000E1340000}"/>
    <cellStyle name="Normal 16 2 2 2 2" xfId="14149" xr:uid="{00000000-0005-0000-0000-0000E2340000}"/>
    <cellStyle name="Normal 16 2 2 3" xfId="14150" xr:uid="{00000000-0005-0000-0000-0000E3340000}"/>
    <cellStyle name="Normal 16 2 2 3 2" xfId="14151" xr:uid="{00000000-0005-0000-0000-0000E4340000}"/>
    <cellStyle name="Normal 16 2 2 3 2 2" xfId="14152" xr:uid="{00000000-0005-0000-0000-0000E5340000}"/>
    <cellStyle name="Normal 16 2 2 3 3" xfId="14153" xr:uid="{00000000-0005-0000-0000-0000E6340000}"/>
    <cellStyle name="Normal 16 2 2 4" xfId="14154" xr:uid="{00000000-0005-0000-0000-0000E7340000}"/>
    <cellStyle name="Normal 16 2 2 4 2" xfId="14155" xr:uid="{00000000-0005-0000-0000-0000E8340000}"/>
    <cellStyle name="Normal 16 2 2 4 2 2" xfId="14156" xr:uid="{00000000-0005-0000-0000-0000E9340000}"/>
    <cellStyle name="Normal 16 2 2 4 3" xfId="14157" xr:uid="{00000000-0005-0000-0000-0000EA340000}"/>
    <cellStyle name="Normal 16 2 2 5" xfId="14158" xr:uid="{00000000-0005-0000-0000-0000EB340000}"/>
    <cellStyle name="Normal 16 2 3" xfId="14159" xr:uid="{00000000-0005-0000-0000-0000EC340000}"/>
    <cellStyle name="Normal 16 2 3 2" xfId="14160" xr:uid="{00000000-0005-0000-0000-0000ED340000}"/>
    <cellStyle name="Normal 16 2 3 2 2" xfId="14161" xr:uid="{00000000-0005-0000-0000-0000EE340000}"/>
    <cellStyle name="Normal 16 2 3 2 2 2" xfId="14162" xr:uid="{00000000-0005-0000-0000-0000EF340000}"/>
    <cellStyle name="Normal 16 2 3 2 3" xfId="14163" xr:uid="{00000000-0005-0000-0000-0000F0340000}"/>
    <cellStyle name="Normal 16 2 3 2 3 2" xfId="14164" xr:uid="{00000000-0005-0000-0000-0000F1340000}"/>
    <cellStyle name="Normal 16 2 3 2 3 2 2" xfId="14165" xr:uid="{00000000-0005-0000-0000-0000F2340000}"/>
    <cellStyle name="Normal 16 2 3 2 3 3" xfId="14166" xr:uid="{00000000-0005-0000-0000-0000F3340000}"/>
    <cellStyle name="Normal 16 2 3 2 4" xfId="14167" xr:uid="{00000000-0005-0000-0000-0000F4340000}"/>
    <cellStyle name="Normal 16 2 3 3" xfId="14168" xr:uid="{00000000-0005-0000-0000-0000F5340000}"/>
    <cellStyle name="Normal 16 2 3 3 2" xfId="14169" xr:uid="{00000000-0005-0000-0000-0000F6340000}"/>
    <cellStyle name="Normal 16 2 3 3 2 2" xfId="14170" xr:uid="{00000000-0005-0000-0000-0000F7340000}"/>
    <cellStyle name="Normal 16 2 3 3 3" xfId="14171" xr:uid="{00000000-0005-0000-0000-0000F8340000}"/>
    <cellStyle name="Normal 16 2 3 4" xfId="14172" xr:uid="{00000000-0005-0000-0000-0000F9340000}"/>
    <cellStyle name="Normal 16 2 3 4 2" xfId="14173" xr:uid="{00000000-0005-0000-0000-0000FA340000}"/>
    <cellStyle name="Normal 16 2 3 4 2 2" xfId="14174" xr:uid="{00000000-0005-0000-0000-0000FB340000}"/>
    <cellStyle name="Normal 16 2 3 4 3" xfId="14175" xr:uid="{00000000-0005-0000-0000-0000FC340000}"/>
    <cellStyle name="Normal 16 2 3 5" xfId="14176" xr:uid="{00000000-0005-0000-0000-0000FD340000}"/>
    <cellStyle name="Normal 16 2 3 5 2" xfId="14177" xr:uid="{00000000-0005-0000-0000-0000FE340000}"/>
    <cellStyle name="Normal 16 2 3 5 2 2" xfId="14178" xr:uid="{00000000-0005-0000-0000-0000FF340000}"/>
    <cellStyle name="Normal 16 2 3 5 3" xfId="14179" xr:uid="{00000000-0005-0000-0000-000000350000}"/>
    <cellStyle name="Normal 16 2 3 6" xfId="14180" xr:uid="{00000000-0005-0000-0000-000001350000}"/>
    <cellStyle name="Normal 16 2 4" xfId="14181" xr:uid="{00000000-0005-0000-0000-000002350000}"/>
    <cellStyle name="Normal 16 3" xfId="14182" xr:uid="{00000000-0005-0000-0000-000003350000}"/>
    <cellStyle name="Normal 16 3 2" xfId="14183" xr:uid="{00000000-0005-0000-0000-000004350000}"/>
    <cellStyle name="Normal 16 3 2 2" xfId="14184" xr:uid="{00000000-0005-0000-0000-000005350000}"/>
    <cellStyle name="Normal 16 3 2 2 2" xfId="14185" xr:uid="{00000000-0005-0000-0000-000006350000}"/>
    <cellStyle name="Normal 16 3 2 3" xfId="14186" xr:uid="{00000000-0005-0000-0000-000007350000}"/>
    <cellStyle name="Normal 16 3 2 3 2" xfId="14187" xr:uid="{00000000-0005-0000-0000-000008350000}"/>
    <cellStyle name="Normal 16 3 2 3 2 2" xfId="14188" xr:uid="{00000000-0005-0000-0000-000009350000}"/>
    <cellStyle name="Normal 16 3 2 3 3" xfId="14189" xr:uid="{00000000-0005-0000-0000-00000A350000}"/>
    <cellStyle name="Normal 16 3 2 4" xfId="14190" xr:uid="{00000000-0005-0000-0000-00000B350000}"/>
    <cellStyle name="Normal 16 3 2 4 2" xfId="14191" xr:uid="{00000000-0005-0000-0000-00000C350000}"/>
    <cellStyle name="Normal 16 3 2 4 2 2" xfId="14192" xr:uid="{00000000-0005-0000-0000-00000D350000}"/>
    <cellStyle name="Normal 16 3 2 4 3" xfId="14193" xr:uid="{00000000-0005-0000-0000-00000E350000}"/>
    <cellStyle name="Normal 16 3 2 5" xfId="14194" xr:uid="{00000000-0005-0000-0000-00000F350000}"/>
    <cellStyle name="Normal 16 3 3" xfId="14195" xr:uid="{00000000-0005-0000-0000-000010350000}"/>
    <cellStyle name="Normal 16 3 3 2" xfId="14196" xr:uid="{00000000-0005-0000-0000-000011350000}"/>
    <cellStyle name="Normal 16 3 3 2 2" xfId="14197" xr:uid="{00000000-0005-0000-0000-000012350000}"/>
    <cellStyle name="Normal 16 3 3 3" xfId="14198" xr:uid="{00000000-0005-0000-0000-000013350000}"/>
    <cellStyle name="Normal 16 3 4" xfId="14199" xr:uid="{00000000-0005-0000-0000-000014350000}"/>
    <cellStyle name="Normal 16 3 4 2" xfId="14200" xr:uid="{00000000-0005-0000-0000-000015350000}"/>
    <cellStyle name="Normal 16 3 4 2 2" xfId="14201" xr:uid="{00000000-0005-0000-0000-000016350000}"/>
    <cellStyle name="Normal 16 3 4 3" xfId="14202" xr:uid="{00000000-0005-0000-0000-000017350000}"/>
    <cellStyle name="Normal 16 3 5" xfId="14203" xr:uid="{00000000-0005-0000-0000-000018350000}"/>
    <cellStyle name="Normal 16 3 5 2" xfId="14204" xr:uid="{00000000-0005-0000-0000-000019350000}"/>
    <cellStyle name="Normal 16 3 5 2 2" xfId="14205" xr:uid="{00000000-0005-0000-0000-00001A350000}"/>
    <cellStyle name="Normal 16 3 5 3" xfId="14206" xr:uid="{00000000-0005-0000-0000-00001B350000}"/>
    <cellStyle name="Normal 16 3 6" xfId="14207" xr:uid="{00000000-0005-0000-0000-00001C350000}"/>
    <cellStyle name="Normal 16 4" xfId="14208" xr:uid="{00000000-0005-0000-0000-00001D350000}"/>
    <cellStyle name="Normal 16 4 2" xfId="14209" xr:uid="{00000000-0005-0000-0000-00001E350000}"/>
    <cellStyle name="Normal 16 4 2 2" xfId="14210" xr:uid="{00000000-0005-0000-0000-00001F350000}"/>
    <cellStyle name="Normal 16 4 3" xfId="14211" xr:uid="{00000000-0005-0000-0000-000020350000}"/>
    <cellStyle name="Normal 16 4 3 2" xfId="14212" xr:uid="{00000000-0005-0000-0000-000021350000}"/>
    <cellStyle name="Normal 16 4 3 2 2" xfId="14213" xr:uid="{00000000-0005-0000-0000-000022350000}"/>
    <cellStyle name="Normal 16 4 3 3" xfId="14214" xr:uid="{00000000-0005-0000-0000-000023350000}"/>
    <cellStyle name="Normal 16 4 4" xfId="14215" xr:uid="{00000000-0005-0000-0000-000024350000}"/>
    <cellStyle name="Normal 16 4 4 2" xfId="14216" xr:uid="{00000000-0005-0000-0000-000025350000}"/>
    <cellStyle name="Normal 16 4 4 2 2" xfId="14217" xr:uid="{00000000-0005-0000-0000-000026350000}"/>
    <cellStyle name="Normal 16 4 4 3" xfId="14218" xr:uid="{00000000-0005-0000-0000-000027350000}"/>
    <cellStyle name="Normal 16 4 5" xfId="14219" xr:uid="{00000000-0005-0000-0000-000028350000}"/>
    <cellStyle name="Normal 16 5" xfId="14220" xr:uid="{00000000-0005-0000-0000-000029350000}"/>
    <cellStyle name="Normal 16 5 2" xfId="14221" xr:uid="{00000000-0005-0000-0000-00002A350000}"/>
    <cellStyle name="Normal 16 5 2 2" xfId="14222" xr:uid="{00000000-0005-0000-0000-00002B350000}"/>
    <cellStyle name="Normal 16 5 2 2 2" xfId="14223" xr:uid="{00000000-0005-0000-0000-00002C350000}"/>
    <cellStyle name="Normal 16 5 2 3" xfId="14224" xr:uid="{00000000-0005-0000-0000-00002D350000}"/>
    <cellStyle name="Normal 16 5 2 3 2" xfId="14225" xr:uid="{00000000-0005-0000-0000-00002E350000}"/>
    <cellStyle name="Normal 16 5 2 3 2 2" xfId="14226" xr:uid="{00000000-0005-0000-0000-00002F350000}"/>
    <cellStyle name="Normal 16 5 2 3 3" xfId="14227" xr:uid="{00000000-0005-0000-0000-000030350000}"/>
    <cellStyle name="Normal 16 5 2 4" xfId="14228" xr:uid="{00000000-0005-0000-0000-000031350000}"/>
    <cellStyle name="Normal 16 5 3" xfId="14229" xr:uid="{00000000-0005-0000-0000-000032350000}"/>
    <cellStyle name="Normal 16 5 3 2" xfId="14230" xr:uid="{00000000-0005-0000-0000-000033350000}"/>
    <cellStyle name="Normal 16 5 3 2 2" xfId="14231" xr:uid="{00000000-0005-0000-0000-000034350000}"/>
    <cellStyle name="Normal 16 5 3 3" xfId="14232" xr:uid="{00000000-0005-0000-0000-000035350000}"/>
    <cellStyle name="Normal 16 5 4" xfId="14233" xr:uid="{00000000-0005-0000-0000-000036350000}"/>
    <cellStyle name="Normal 16 5 4 2" xfId="14234" xr:uid="{00000000-0005-0000-0000-000037350000}"/>
    <cellStyle name="Normal 16 5 4 2 2" xfId="14235" xr:uid="{00000000-0005-0000-0000-000038350000}"/>
    <cellStyle name="Normal 16 5 4 3" xfId="14236" xr:uid="{00000000-0005-0000-0000-000039350000}"/>
    <cellStyle name="Normal 16 5 5" xfId="14237" xr:uid="{00000000-0005-0000-0000-00003A350000}"/>
    <cellStyle name="Normal 16 5 5 2" xfId="14238" xr:uid="{00000000-0005-0000-0000-00003B350000}"/>
    <cellStyle name="Normal 16 5 5 2 2" xfId="14239" xr:uid="{00000000-0005-0000-0000-00003C350000}"/>
    <cellStyle name="Normal 16 5 5 3" xfId="14240" xr:uid="{00000000-0005-0000-0000-00003D350000}"/>
    <cellStyle name="Normal 16 5 6" xfId="14241" xr:uid="{00000000-0005-0000-0000-00003E350000}"/>
    <cellStyle name="Normal 16 6" xfId="14242" xr:uid="{00000000-0005-0000-0000-00003F350000}"/>
    <cellStyle name="Normal 16 7" xfId="14145" xr:uid="{00000000-0005-0000-0000-000040350000}"/>
    <cellStyle name="Normal 160" xfId="14243" xr:uid="{00000000-0005-0000-0000-000041350000}"/>
    <cellStyle name="Normal 160 2" xfId="14244" xr:uid="{00000000-0005-0000-0000-000042350000}"/>
    <cellStyle name="Normal 160 2 2" xfId="14245" xr:uid="{00000000-0005-0000-0000-000043350000}"/>
    <cellStyle name="Normal 160 2 2 2" xfId="14246" xr:uid="{00000000-0005-0000-0000-000044350000}"/>
    <cellStyle name="Normal 160 2 3" xfId="14247" xr:uid="{00000000-0005-0000-0000-000045350000}"/>
    <cellStyle name="Normal 160 2 3 2" xfId="14248" xr:uid="{00000000-0005-0000-0000-000046350000}"/>
    <cellStyle name="Normal 160 2 3 2 2" xfId="14249" xr:uid="{00000000-0005-0000-0000-000047350000}"/>
    <cellStyle name="Normal 160 2 3 3" xfId="14250" xr:uid="{00000000-0005-0000-0000-000048350000}"/>
    <cellStyle name="Normal 160 2 4" xfId="14251" xr:uid="{00000000-0005-0000-0000-000049350000}"/>
    <cellStyle name="Normal 160 2 4 2" xfId="14252" xr:uid="{00000000-0005-0000-0000-00004A350000}"/>
    <cellStyle name="Normal 160 2 4 2 2" xfId="14253" xr:uid="{00000000-0005-0000-0000-00004B350000}"/>
    <cellStyle name="Normal 160 2 4 3" xfId="14254" xr:uid="{00000000-0005-0000-0000-00004C350000}"/>
    <cellStyle name="Normal 160 2 5" xfId="14255" xr:uid="{00000000-0005-0000-0000-00004D350000}"/>
    <cellStyle name="Normal 160 3" xfId="14256" xr:uid="{00000000-0005-0000-0000-00004E350000}"/>
    <cellStyle name="Normal 160 3 2" xfId="14257" xr:uid="{00000000-0005-0000-0000-00004F350000}"/>
    <cellStyle name="Normal 160 3 2 2" xfId="14258" xr:uid="{00000000-0005-0000-0000-000050350000}"/>
    <cellStyle name="Normal 160 3 2 2 2" xfId="14259" xr:uid="{00000000-0005-0000-0000-000051350000}"/>
    <cellStyle name="Normal 160 3 2 3" xfId="14260" xr:uid="{00000000-0005-0000-0000-000052350000}"/>
    <cellStyle name="Normal 160 3 2 3 2" xfId="14261" xr:uid="{00000000-0005-0000-0000-000053350000}"/>
    <cellStyle name="Normal 160 3 2 3 2 2" xfId="14262" xr:uid="{00000000-0005-0000-0000-000054350000}"/>
    <cellStyle name="Normal 160 3 2 3 3" xfId="14263" xr:uid="{00000000-0005-0000-0000-000055350000}"/>
    <cellStyle name="Normal 160 3 2 4" xfId="14264" xr:uid="{00000000-0005-0000-0000-000056350000}"/>
    <cellStyle name="Normal 160 3 3" xfId="14265" xr:uid="{00000000-0005-0000-0000-000057350000}"/>
    <cellStyle name="Normal 160 3 3 2" xfId="14266" xr:uid="{00000000-0005-0000-0000-000058350000}"/>
    <cellStyle name="Normal 160 3 3 2 2" xfId="14267" xr:uid="{00000000-0005-0000-0000-000059350000}"/>
    <cellStyle name="Normal 160 3 3 3" xfId="14268" xr:uid="{00000000-0005-0000-0000-00005A350000}"/>
    <cellStyle name="Normal 160 3 4" xfId="14269" xr:uid="{00000000-0005-0000-0000-00005B350000}"/>
    <cellStyle name="Normal 160 3 4 2" xfId="14270" xr:uid="{00000000-0005-0000-0000-00005C350000}"/>
    <cellStyle name="Normal 160 3 4 2 2" xfId="14271" xr:uid="{00000000-0005-0000-0000-00005D350000}"/>
    <cellStyle name="Normal 160 3 4 3" xfId="14272" xr:uid="{00000000-0005-0000-0000-00005E350000}"/>
    <cellStyle name="Normal 160 3 5" xfId="14273" xr:uid="{00000000-0005-0000-0000-00005F350000}"/>
    <cellStyle name="Normal 160 3 5 2" xfId="14274" xr:uid="{00000000-0005-0000-0000-000060350000}"/>
    <cellStyle name="Normal 160 3 5 2 2" xfId="14275" xr:uid="{00000000-0005-0000-0000-000061350000}"/>
    <cellStyle name="Normal 160 3 5 3" xfId="14276" xr:uid="{00000000-0005-0000-0000-000062350000}"/>
    <cellStyle name="Normal 160 3 6" xfId="14277" xr:uid="{00000000-0005-0000-0000-000063350000}"/>
    <cellStyle name="Normal 160 4" xfId="14278" xr:uid="{00000000-0005-0000-0000-000064350000}"/>
    <cellStyle name="Normal 160 4 2" xfId="14279" xr:uid="{00000000-0005-0000-0000-000065350000}"/>
    <cellStyle name="Normal 160 4 2 2" xfId="14280" xr:uid="{00000000-0005-0000-0000-000066350000}"/>
    <cellStyle name="Normal 160 4 3" xfId="14281" xr:uid="{00000000-0005-0000-0000-000067350000}"/>
    <cellStyle name="Normal 160 5" xfId="14282" xr:uid="{00000000-0005-0000-0000-000068350000}"/>
    <cellStyle name="Normal 160 5 2" xfId="14283" xr:uid="{00000000-0005-0000-0000-000069350000}"/>
    <cellStyle name="Normal 160 5 2 2" xfId="14284" xr:uid="{00000000-0005-0000-0000-00006A350000}"/>
    <cellStyle name="Normal 160 5 3" xfId="14285" xr:uid="{00000000-0005-0000-0000-00006B350000}"/>
    <cellStyle name="Normal 160 6" xfId="14286" xr:uid="{00000000-0005-0000-0000-00006C350000}"/>
    <cellStyle name="Normal 160 6 2" xfId="14287" xr:uid="{00000000-0005-0000-0000-00006D350000}"/>
    <cellStyle name="Normal 160 6 2 2" xfId="14288" xr:uid="{00000000-0005-0000-0000-00006E350000}"/>
    <cellStyle name="Normal 160 6 3" xfId="14289" xr:uid="{00000000-0005-0000-0000-00006F350000}"/>
    <cellStyle name="Normal 160 7" xfId="14290" xr:uid="{00000000-0005-0000-0000-000070350000}"/>
    <cellStyle name="Normal 161" xfId="14291" xr:uid="{00000000-0005-0000-0000-000071350000}"/>
    <cellStyle name="Normal 161 2" xfId="14292" xr:uid="{00000000-0005-0000-0000-000072350000}"/>
    <cellStyle name="Normal 161 2 2" xfId="14293" xr:uid="{00000000-0005-0000-0000-000073350000}"/>
    <cellStyle name="Normal 161 2 2 2" xfId="14294" xr:uid="{00000000-0005-0000-0000-000074350000}"/>
    <cellStyle name="Normal 161 2 3" xfId="14295" xr:uid="{00000000-0005-0000-0000-000075350000}"/>
    <cellStyle name="Normal 161 2 3 2" xfId="14296" xr:uid="{00000000-0005-0000-0000-000076350000}"/>
    <cellStyle name="Normal 161 2 3 2 2" xfId="14297" xr:uid="{00000000-0005-0000-0000-000077350000}"/>
    <cellStyle name="Normal 161 2 3 3" xfId="14298" xr:uid="{00000000-0005-0000-0000-000078350000}"/>
    <cellStyle name="Normal 161 2 4" xfId="14299" xr:uid="{00000000-0005-0000-0000-000079350000}"/>
    <cellStyle name="Normal 161 2 4 2" xfId="14300" xr:uid="{00000000-0005-0000-0000-00007A350000}"/>
    <cellStyle name="Normal 161 2 4 2 2" xfId="14301" xr:uid="{00000000-0005-0000-0000-00007B350000}"/>
    <cellStyle name="Normal 161 2 4 3" xfId="14302" xr:uid="{00000000-0005-0000-0000-00007C350000}"/>
    <cellStyle name="Normal 161 2 5" xfId="14303" xr:uid="{00000000-0005-0000-0000-00007D350000}"/>
    <cellStyle name="Normal 161 3" xfId="14304" xr:uid="{00000000-0005-0000-0000-00007E350000}"/>
    <cellStyle name="Normal 161 3 2" xfId="14305" xr:uid="{00000000-0005-0000-0000-00007F350000}"/>
    <cellStyle name="Normal 161 3 2 2" xfId="14306" xr:uid="{00000000-0005-0000-0000-000080350000}"/>
    <cellStyle name="Normal 161 3 2 2 2" xfId="14307" xr:uid="{00000000-0005-0000-0000-000081350000}"/>
    <cellStyle name="Normal 161 3 2 3" xfId="14308" xr:uid="{00000000-0005-0000-0000-000082350000}"/>
    <cellStyle name="Normal 161 3 2 3 2" xfId="14309" xr:uid="{00000000-0005-0000-0000-000083350000}"/>
    <cellStyle name="Normal 161 3 2 3 2 2" xfId="14310" xr:uid="{00000000-0005-0000-0000-000084350000}"/>
    <cellStyle name="Normal 161 3 2 3 3" xfId="14311" xr:uid="{00000000-0005-0000-0000-000085350000}"/>
    <cellStyle name="Normal 161 3 2 4" xfId="14312" xr:uid="{00000000-0005-0000-0000-000086350000}"/>
    <cellStyle name="Normal 161 3 3" xfId="14313" xr:uid="{00000000-0005-0000-0000-000087350000}"/>
    <cellStyle name="Normal 161 3 3 2" xfId="14314" xr:uid="{00000000-0005-0000-0000-000088350000}"/>
    <cellStyle name="Normal 161 3 3 2 2" xfId="14315" xr:uid="{00000000-0005-0000-0000-000089350000}"/>
    <cellStyle name="Normal 161 3 3 3" xfId="14316" xr:uid="{00000000-0005-0000-0000-00008A350000}"/>
    <cellStyle name="Normal 161 3 4" xfId="14317" xr:uid="{00000000-0005-0000-0000-00008B350000}"/>
    <cellStyle name="Normal 161 3 4 2" xfId="14318" xr:uid="{00000000-0005-0000-0000-00008C350000}"/>
    <cellStyle name="Normal 161 3 4 2 2" xfId="14319" xr:uid="{00000000-0005-0000-0000-00008D350000}"/>
    <cellStyle name="Normal 161 3 4 3" xfId="14320" xr:uid="{00000000-0005-0000-0000-00008E350000}"/>
    <cellStyle name="Normal 161 3 5" xfId="14321" xr:uid="{00000000-0005-0000-0000-00008F350000}"/>
    <cellStyle name="Normal 161 3 5 2" xfId="14322" xr:uid="{00000000-0005-0000-0000-000090350000}"/>
    <cellStyle name="Normal 161 3 5 2 2" xfId="14323" xr:uid="{00000000-0005-0000-0000-000091350000}"/>
    <cellStyle name="Normal 161 3 5 3" xfId="14324" xr:uid="{00000000-0005-0000-0000-000092350000}"/>
    <cellStyle name="Normal 161 3 6" xfId="14325" xr:uid="{00000000-0005-0000-0000-000093350000}"/>
    <cellStyle name="Normal 161 4" xfId="14326" xr:uid="{00000000-0005-0000-0000-000094350000}"/>
    <cellStyle name="Normal 161 4 2" xfId="14327" xr:uid="{00000000-0005-0000-0000-000095350000}"/>
    <cellStyle name="Normal 161 4 2 2" xfId="14328" xr:uid="{00000000-0005-0000-0000-000096350000}"/>
    <cellStyle name="Normal 161 4 3" xfId="14329" xr:uid="{00000000-0005-0000-0000-000097350000}"/>
    <cellStyle name="Normal 161 5" xfId="14330" xr:uid="{00000000-0005-0000-0000-000098350000}"/>
    <cellStyle name="Normal 161 5 2" xfId="14331" xr:uid="{00000000-0005-0000-0000-000099350000}"/>
    <cellStyle name="Normal 161 5 2 2" xfId="14332" xr:uid="{00000000-0005-0000-0000-00009A350000}"/>
    <cellStyle name="Normal 161 5 3" xfId="14333" xr:uid="{00000000-0005-0000-0000-00009B350000}"/>
    <cellStyle name="Normal 161 6" xfId="14334" xr:uid="{00000000-0005-0000-0000-00009C350000}"/>
    <cellStyle name="Normal 161 6 2" xfId="14335" xr:uid="{00000000-0005-0000-0000-00009D350000}"/>
    <cellStyle name="Normal 161 6 2 2" xfId="14336" xr:uid="{00000000-0005-0000-0000-00009E350000}"/>
    <cellStyle name="Normal 161 6 3" xfId="14337" xr:uid="{00000000-0005-0000-0000-00009F350000}"/>
    <cellStyle name="Normal 161 7" xfId="14338" xr:uid="{00000000-0005-0000-0000-0000A0350000}"/>
    <cellStyle name="Normal 162" xfId="14339" xr:uid="{00000000-0005-0000-0000-0000A1350000}"/>
    <cellStyle name="Normal 162 2" xfId="14340" xr:uid="{00000000-0005-0000-0000-0000A2350000}"/>
    <cellStyle name="Normal 162 2 2" xfId="14341" xr:uid="{00000000-0005-0000-0000-0000A3350000}"/>
    <cellStyle name="Normal 162 2 2 2" xfId="14342" xr:uid="{00000000-0005-0000-0000-0000A4350000}"/>
    <cellStyle name="Normal 162 2 3" xfId="14343" xr:uid="{00000000-0005-0000-0000-0000A5350000}"/>
    <cellStyle name="Normal 162 2 3 2" xfId="14344" xr:uid="{00000000-0005-0000-0000-0000A6350000}"/>
    <cellStyle name="Normal 162 2 3 2 2" xfId="14345" xr:uid="{00000000-0005-0000-0000-0000A7350000}"/>
    <cellStyle name="Normal 162 2 3 3" xfId="14346" xr:uid="{00000000-0005-0000-0000-0000A8350000}"/>
    <cellStyle name="Normal 162 2 4" xfId="14347" xr:uid="{00000000-0005-0000-0000-0000A9350000}"/>
    <cellStyle name="Normal 162 2 4 2" xfId="14348" xr:uid="{00000000-0005-0000-0000-0000AA350000}"/>
    <cellStyle name="Normal 162 2 4 2 2" xfId="14349" xr:uid="{00000000-0005-0000-0000-0000AB350000}"/>
    <cellStyle name="Normal 162 2 4 3" xfId="14350" xr:uid="{00000000-0005-0000-0000-0000AC350000}"/>
    <cellStyle name="Normal 162 2 5" xfId="14351" xr:uid="{00000000-0005-0000-0000-0000AD350000}"/>
    <cellStyle name="Normal 162 3" xfId="14352" xr:uid="{00000000-0005-0000-0000-0000AE350000}"/>
    <cellStyle name="Normal 162 3 2" xfId="14353" xr:uid="{00000000-0005-0000-0000-0000AF350000}"/>
    <cellStyle name="Normal 162 3 2 2" xfId="14354" xr:uid="{00000000-0005-0000-0000-0000B0350000}"/>
    <cellStyle name="Normal 162 3 2 2 2" xfId="14355" xr:uid="{00000000-0005-0000-0000-0000B1350000}"/>
    <cellStyle name="Normal 162 3 2 3" xfId="14356" xr:uid="{00000000-0005-0000-0000-0000B2350000}"/>
    <cellStyle name="Normal 162 3 2 3 2" xfId="14357" xr:uid="{00000000-0005-0000-0000-0000B3350000}"/>
    <cellStyle name="Normal 162 3 2 3 2 2" xfId="14358" xr:uid="{00000000-0005-0000-0000-0000B4350000}"/>
    <cellStyle name="Normal 162 3 2 3 3" xfId="14359" xr:uid="{00000000-0005-0000-0000-0000B5350000}"/>
    <cellStyle name="Normal 162 3 2 4" xfId="14360" xr:uid="{00000000-0005-0000-0000-0000B6350000}"/>
    <cellStyle name="Normal 162 3 3" xfId="14361" xr:uid="{00000000-0005-0000-0000-0000B7350000}"/>
    <cellStyle name="Normal 162 3 3 2" xfId="14362" xr:uid="{00000000-0005-0000-0000-0000B8350000}"/>
    <cellStyle name="Normal 162 3 3 2 2" xfId="14363" xr:uid="{00000000-0005-0000-0000-0000B9350000}"/>
    <cellStyle name="Normal 162 3 3 3" xfId="14364" xr:uid="{00000000-0005-0000-0000-0000BA350000}"/>
    <cellStyle name="Normal 162 3 4" xfId="14365" xr:uid="{00000000-0005-0000-0000-0000BB350000}"/>
    <cellStyle name="Normal 162 3 4 2" xfId="14366" xr:uid="{00000000-0005-0000-0000-0000BC350000}"/>
    <cellStyle name="Normal 162 3 4 2 2" xfId="14367" xr:uid="{00000000-0005-0000-0000-0000BD350000}"/>
    <cellStyle name="Normal 162 3 4 3" xfId="14368" xr:uid="{00000000-0005-0000-0000-0000BE350000}"/>
    <cellStyle name="Normal 162 3 5" xfId="14369" xr:uid="{00000000-0005-0000-0000-0000BF350000}"/>
    <cellStyle name="Normal 162 3 5 2" xfId="14370" xr:uid="{00000000-0005-0000-0000-0000C0350000}"/>
    <cellStyle name="Normal 162 3 5 2 2" xfId="14371" xr:uid="{00000000-0005-0000-0000-0000C1350000}"/>
    <cellStyle name="Normal 162 3 5 3" xfId="14372" xr:uid="{00000000-0005-0000-0000-0000C2350000}"/>
    <cellStyle name="Normal 162 3 6" xfId="14373" xr:uid="{00000000-0005-0000-0000-0000C3350000}"/>
    <cellStyle name="Normal 162 4" xfId="14374" xr:uid="{00000000-0005-0000-0000-0000C4350000}"/>
    <cellStyle name="Normal 162 4 2" xfId="14375" xr:uid="{00000000-0005-0000-0000-0000C5350000}"/>
    <cellStyle name="Normal 162 4 2 2" xfId="14376" xr:uid="{00000000-0005-0000-0000-0000C6350000}"/>
    <cellStyle name="Normal 162 4 3" xfId="14377" xr:uid="{00000000-0005-0000-0000-0000C7350000}"/>
    <cellStyle name="Normal 162 5" xfId="14378" xr:uid="{00000000-0005-0000-0000-0000C8350000}"/>
    <cellStyle name="Normal 162 5 2" xfId="14379" xr:uid="{00000000-0005-0000-0000-0000C9350000}"/>
    <cellStyle name="Normal 162 5 2 2" xfId="14380" xr:uid="{00000000-0005-0000-0000-0000CA350000}"/>
    <cellStyle name="Normal 162 5 3" xfId="14381" xr:uid="{00000000-0005-0000-0000-0000CB350000}"/>
    <cellStyle name="Normal 162 6" xfId="14382" xr:uid="{00000000-0005-0000-0000-0000CC350000}"/>
    <cellStyle name="Normal 162 6 2" xfId="14383" xr:uid="{00000000-0005-0000-0000-0000CD350000}"/>
    <cellStyle name="Normal 162 6 2 2" xfId="14384" xr:uid="{00000000-0005-0000-0000-0000CE350000}"/>
    <cellStyle name="Normal 162 6 3" xfId="14385" xr:uid="{00000000-0005-0000-0000-0000CF350000}"/>
    <cellStyle name="Normal 162 7" xfId="14386" xr:uid="{00000000-0005-0000-0000-0000D0350000}"/>
    <cellStyle name="Normal 163" xfId="14387" xr:uid="{00000000-0005-0000-0000-0000D1350000}"/>
    <cellStyle name="Normal 163 2" xfId="14388" xr:uid="{00000000-0005-0000-0000-0000D2350000}"/>
    <cellStyle name="Normal 163 2 2" xfId="14389" xr:uid="{00000000-0005-0000-0000-0000D3350000}"/>
    <cellStyle name="Normal 163 2 2 2" xfId="14390" xr:uid="{00000000-0005-0000-0000-0000D4350000}"/>
    <cellStyle name="Normal 163 2 3" xfId="14391" xr:uid="{00000000-0005-0000-0000-0000D5350000}"/>
    <cellStyle name="Normal 163 2 3 2" xfId="14392" xr:uid="{00000000-0005-0000-0000-0000D6350000}"/>
    <cellStyle name="Normal 163 2 3 2 2" xfId="14393" xr:uid="{00000000-0005-0000-0000-0000D7350000}"/>
    <cellStyle name="Normal 163 2 3 3" xfId="14394" xr:uid="{00000000-0005-0000-0000-0000D8350000}"/>
    <cellStyle name="Normal 163 2 4" xfId="14395" xr:uid="{00000000-0005-0000-0000-0000D9350000}"/>
    <cellStyle name="Normal 163 2 4 2" xfId="14396" xr:uid="{00000000-0005-0000-0000-0000DA350000}"/>
    <cellStyle name="Normal 163 2 4 2 2" xfId="14397" xr:uid="{00000000-0005-0000-0000-0000DB350000}"/>
    <cellStyle name="Normal 163 2 4 3" xfId="14398" xr:uid="{00000000-0005-0000-0000-0000DC350000}"/>
    <cellStyle name="Normal 163 2 5" xfId="14399" xr:uid="{00000000-0005-0000-0000-0000DD350000}"/>
    <cellStyle name="Normal 163 3" xfId="14400" xr:uid="{00000000-0005-0000-0000-0000DE350000}"/>
    <cellStyle name="Normal 163 3 2" xfId="14401" xr:uid="{00000000-0005-0000-0000-0000DF350000}"/>
    <cellStyle name="Normal 163 3 2 2" xfId="14402" xr:uid="{00000000-0005-0000-0000-0000E0350000}"/>
    <cellStyle name="Normal 163 3 2 2 2" xfId="14403" xr:uid="{00000000-0005-0000-0000-0000E1350000}"/>
    <cellStyle name="Normal 163 3 2 3" xfId="14404" xr:uid="{00000000-0005-0000-0000-0000E2350000}"/>
    <cellStyle name="Normal 163 3 2 3 2" xfId="14405" xr:uid="{00000000-0005-0000-0000-0000E3350000}"/>
    <cellStyle name="Normal 163 3 2 3 2 2" xfId="14406" xr:uid="{00000000-0005-0000-0000-0000E4350000}"/>
    <cellStyle name="Normal 163 3 2 3 3" xfId="14407" xr:uid="{00000000-0005-0000-0000-0000E5350000}"/>
    <cellStyle name="Normal 163 3 2 4" xfId="14408" xr:uid="{00000000-0005-0000-0000-0000E6350000}"/>
    <cellStyle name="Normal 163 3 3" xfId="14409" xr:uid="{00000000-0005-0000-0000-0000E7350000}"/>
    <cellStyle name="Normal 163 3 3 2" xfId="14410" xr:uid="{00000000-0005-0000-0000-0000E8350000}"/>
    <cellStyle name="Normal 163 3 3 2 2" xfId="14411" xr:uid="{00000000-0005-0000-0000-0000E9350000}"/>
    <cellStyle name="Normal 163 3 3 3" xfId="14412" xr:uid="{00000000-0005-0000-0000-0000EA350000}"/>
    <cellStyle name="Normal 163 3 4" xfId="14413" xr:uid="{00000000-0005-0000-0000-0000EB350000}"/>
    <cellStyle name="Normal 163 3 4 2" xfId="14414" xr:uid="{00000000-0005-0000-0000-0000EC350000}"/>
    <cellStyle name="Normal 163 3 4 2 2" xfId="14415" xr:uid="{00000000-0005-0000-0000-0000ED350000}"/>
    <cellStyle name="Normal 163 3 4 3" xfId="14416" xr:uid="{00000000-0005-0000-0000-0000EE350000}"/>
    <cellStyle name="Normal 163 3 5" xfId="14417" xr:uid="{00000000-0005-0000-0000-0000EF350000}"/>
    <cellStyle name="Normal 163 3 5 2" xfId="14418" xr:uid="{00000000-0005-0000-0000-0000F0350000}"/>
    <cellStyle name="Normal 163 3 5 2 2" xfId="14419" xr:uid="{00000000-0005-0000-0000-0000F1350000}"/>
    <cellStyle name="Normal 163 3 5 3" xfId="14420" xr:uid="{00000000-0005-0000-0000-0000F2350000}"/>
    <cellStyle name="Normal 163 3 6" xfId="14421" xr:uid="{00000000-0005-0000-0000-0000F3350000}"/>
    <cellStyle name="Normal 163 4" xfId="14422" xr:uid="{00000000-0005-0000-0000-0000F4350000}"/>
    <cellStyle name="Normal 163 4 2" xfId="14423" xr:uid="{00000000-0005-0000-0000-0000F5350000}"/>
    <cellStyle name="Normal 163 4 2 2" xfId="14424" xr:uid="{00000000-0005-0000-0000-0000F6350000}"/>
    <cellStyle name="Normal 163 4 3" xfId="14425" xr:uid="{00000000-0005-0000-0000-0000F7350000}"/>
    <cellStyle name="Normal 163 5" xfId="14426" xr:uid="{00000000-0005-0000-0000-0000F8350000}"/>
    <cellStyle name="Normal 163 5 2" xfId="14427" xr:uid="{00000000-0005-0000-0000-0000F9350000}"/>
    <cellStyle name="Normal 163 5 2 2" xfId="14428" xr:uid="{00000000-0005-0000-0000-0000FA350000}"/>
    <cellStyle name="Normal 163 5 3" xfId="14429" xr:uid="{00000000-0005-0000-0000-0000FB350000}"/>
    <cellStyle name="Normal 163 6" xfId="14430" xr:uid="{00000000-0005-0000-0000-0000FC350000}"/>
    <cellStyle name="Normal 163 6 2" xfId="14431" xr:uid="{00000000-0005-0000-0000-0000FD350000}"/>
    <cellStyle name="Normal 163 6 2 2" xfId="14432" xr:uid="{00000000-0005-0000-0000-0000FE350000}"/>
    <cellStyle name="Normal 163 6 3" xfId="14433" xr:uid="{00000000-0005-0000-0000-0000FF350000}"/>
    <cellStyle name="Normal 163 7" xfId="14434" xr:uid="{00000000-0005-0000-0000-000000360000}"/>
    <cellStyle name="Normal 164" xfId="14435" xr:uid="{00000000-0005-0000-0000-000001360000}"/>
    <cellStyle name="Normal 164 2" xfId="14436" xr:uid="{00000000-0005-0000-0000-000002360000}"/>
    <cellStyle name="Normal 164 2 2" xfId="14437" xr:uid="{00000000-0005-0000-0000-000003360000}"/>
    <cellStyle name="Normal 164 2 2 2" xfId="14438" xr:uid="{00000000-0005-0000-0000-000004360000}"/>
    <cellStyle name="Normal 164 2 3" xfId="14439" xr:uid="{00000000-0005-0000-0000-000005360000}"/>
    <cellStyle name="Normal 164 2 3 2" xfId="14440" xr:uid="{00000000-0005-0000-0000-000006360000}"/>
    <cellStyle name="Normal 164 2 3 2 2" xfId="14441" xr:uid="{00000000-0005-0000-0000-000007360000}"/>
    <cellStyle name="Normal 164 2 3 3" xfId="14442" xr:uid="{00000000-0005-0000-0000-000008360000}"/>
    <cellStyle name="Normal 164 2 4" xfId="14443" xr:uid="{00000000-0005-0000-0000-000009360000}"/>
    <cellStyle name="Normal 164 2 4 2" xfId="14444" xr:uid="{00000000-0005-0000-0000-00000A360000}"/>
    <cellStyle name="Normal 164 2 4 2 2" xfId="14445" xr:uid="{00000000-0005-0000-0000-00000B360000}"/>
    <cellStyle name="Normal 164 2 4 3" xfId="14446" xr:uid="{00000000-0005-0000-0000-00000C360000}"/>
    <cellStyle name="Normal 164 2 5" xfId="14447" xr:uid="{00000000-0005-0000-0000-00000D360000}"/>
    <cellStyle name="Normal 164 3" xfId="14448" xr:uid="{00000000-0005-0000-0000-00000E360000}"/>
    <cellStyle name="Normal 164 3 2" xfId="14449" xr:uid="{00000000-0005-0000-0000-00000F360000}"/>
    <cellStyle name="Normal 164 3 2 2" xfId="14450" xr:uid="{00000000-0005-0000-0000-000010360000}"/>
    <cellStyle name="Normal 164 3 2 2 2" xfId="14451" xr:uid="{00000000-0005-0000-0000-000011360000}"/>
    <cellStyle name="Normal 164 3 2 3" xfId="14452" xr:uid="{00000000-0005-0000-0000-000012360000}"/>
    <cellStyle name="Normal 164 3 2 3 2" xfId="14453" xr:uid="{00000000-0005-0000-0000-000013360000}"/>
    <cellStyle name="Normal 164 3 2 3 2 2" xfId="14454" xr:uid="{00000000-0005-0000-0000-000014360000}"/>
    <cellStyle name="Normal 164 3 2 3 3" xfId="14455" xr:uid="{00000000-0005-0000-0000-000015360000}"/>
    <cellStyle name="Normal 164 3 2 4" xfId="14456" xr:uid="{00000000-0005-0000-0000-000016360000}"/>
    <cellStyle name="Normal 164 3 3" xfId="14457" xr:uid="{00000000-0005-0000-0000-000017360000}"/>
    <cellStyle name="Normal 164 3 3 2" xfId="14458" xr:uid="{00000000-0005-0000-0000-000018360000}"/>
    <cellStyle name="Normal 164 3 3 2 2" xfId="14459" xr:uid="{00000000-0005-0000-0000-000019360000}"/>
    <cellStyle name="Normal 164 3 3 3" xfId="14460" xr:uid="{00000000-0005-0000-0000-00001A360000}"/>
    <cellStyle name="Normal 164 3 4" xfId="14461" xr:uid="{00000000-0005-0000-0000-00001B360000}"/>
    <cellStyle name="Normal 164 3 4 2" xfId="14462" xr:uid="{00000000-0005-0000-0000-00001C360000}"/>
    <cellStyle name="Normal 164 3 4 2 2" xfId="14463" xr:uid="{00000000-0005-0000-0000-00001D360000}"/>
    <cellStyle name="Normal 164 3 4 3" xfId="14464" xr:uid="{00000000-0005-0000-0000-00001E360000}"/>
    <cellStyle name="Normal 164 3 5" xfId="14465" xr:uid="{00000000-0005-0000-0000-00001F360000}"/>
    <cellStyle name="Normal 164 3 5 2" xfId="14466" xr:uid="{00000000-0005-0000-0000-000020360000}"/>
    <cellStyle name="Normal 164 3 5 2 2" xfId="14467" xr:uid="{00000000-0005-0000-0000-000021360000}"/>
    <cellStyle name="Normal 164 3 5 3" xfId="14468" xr:uid="{00000000-0005-0000-0000-000022360000}"/>
    <cellStyle name="Normal 164 3 6" xfId="14469" xr:uid="{00000000-0005-0000-0000-000023360000}"/>
    <cellStyle name="Normal 164 4" xfId="14470" xr:uid="{00000000-0005-0000-0000-000024360000}"/>
    <cellStyle name="Normal 164 4 2" xfId="14471" xr:uid="{00000000-0005-0000-0000-000025360000}"/>
    <cellStyle name="Normal 164 4 2 2" xfId="14472" xr:uid="{00000000-0005-0000-0000-000026360000}"/>
    <cellStyle name="Normal 164 4 3" xfId="14473" xr:uid="{00000000-0005-0000-0000-000027360000}"/>
    <cellStyle name="Normal 164 5" xfId="14474" xr:uid="{00000000-0005-0000-0000-000028360000}"/>
    <cellStyle name="Normal 164 5 2" xfId="14475" xr:uid="{00000000-0005-0000-0000-000029360000}"/>
    <cellStyle name="Normal 164 5 2 2" xfId="14476" xr:uid="{00000000-0005-0000-0000-00002A360000}"/>
    <cellStyle name="Normal 164 5 3" xfId="14477" xr:uid="{00000000-0005-0000-0000-00002B360000}"/>
    <cellStyle name="Normal 164 6" xfId="14478" xr:uid="{00000000-0005-0000-0000-00002C360000}"/>
    <cellStyle name="Normal 164 6 2" xfId="14479" xr:uid="{00000000-0005-0000-0000-00002D360000}"/>
    <cellStyle name="Normal 164 6 2 2" xfId="14480" xr:uid="{00000000-0005-0000-0000-00002E360000}"/>
    <cellStyle name="Normal 164 6 3" xfId="14481" xr:uid="{00000000-0005-0000-0000-00002F360000}"/>
    <cellStyle name="Normal 164 7" xfId="14482" xr:uid="{00000000-0005-0000-0000-000030360000}"/>
    <cellStyle name="Normal 165" xfId="14483" xr:uid="{00000000-0005-0000-0000-000031360000}"/>
    <cellStyle name="Normal 165 2" xfId="14484" xr:uid="{00000000-0005-0000-0000-000032360000}"/>
    <cellStyle name="Normal 165 2 2" xfId="14485" xr:uid="{00000000-0005-0000-0000-000033360000}"/>
    <cellStyle name="Normal 165 2 2 2" xfId="14486" xr:uid="{00000000-0005-0000-0000-000034360000}"/>
    <cellStyle name="Normal 165 2 3" xfId="14487" xr:uid="{00000000-0005-0000-0000-000035360000}"/>
    <cellStyle name="Normal 165 2 3 2" xfId="14488" xr:uid="{00000000-0005-0000-0000-000036360000}"/>
    <cellStyle name="Normal 165 2 3 2 2" xfId="14489" xr:uid="{00000000-0005-0000-0000-000037360000}"/>
    <cellStyle name="Normal 165 2 3 3" xfId="14490" xr:uid="{00000000-0005-0000-0000-000038360000}"/>
    <cellStyle name="Normal 165 2 4" xfId="14491" xr:uid="{00000000-0005-0000-0000-000039360000}"/>
    <cellStyle name="Normal 165 2 4 2" xfId="14492" xr:uid="{00000000-0005-0000-0000-00003A360000}"/>
    <cellStyle name="Normal 165 2 4 2 2" xfId="14493" xr:uid="{00000000-0005-0000-0000-00003B360000}"/>
    <cellStyle name="Normal 165 2 4 3" xfId="14494" xr:uid="{00000000-0005-0000-0000-00003C360000}"/>
    <cellStyle name="Normal 165 2 5" xfId="14495" xr:uid="{00000000-0005-0000-0000-00003D360000}"/>
    <cellStyle name="Normal 165 3" xfId="14496" xr:uid="{00000000-0005-0000-0000-00003E360000}"/>
    <cellStyle name="Normal 165 3 2" xfId="14497" xr:uid="{00000000-0005-0000-0000-00003F360000}"/>
    <cellStyle name="Normal 165 3 2 2" xfId="14498" xr:uid="{00000000-0005-0000-0000-000040360000}"/>
    <cellStyle name="Normal 165 3 2 2 2" xfId="14499" xr:uid="{00000000-0005-0000-0000-000041360000}"/>
    <cellStyle name="Normal 165 3 2 3" xfId="14500" xr:uid="{00000000-0005-0000-0000-000042360000}"/>
    <cellStyle name="Normal 165 3 2 3 2" xfId="14501" xr:uid="{00000000-0005-0000-0000-000043360000}"/>
    <cellStyle name="Normal 165 3 2 3 2 2" xfId="14502" xr:uid="{00000000-0005-0000-0000-000044360000}"/>
    <cellStyle name="Normal 165 3 2 3 3" xfId="14503" xr:uid="{00000000-0005-0000-0000-000045360000}"/>
    <cellStyle name="Normal 165 3 2 4" xfId="14504" xr:uid="{00000000-0005-0000-0000-000046360000}"/>
    <cellStyle name="Normal 165 3 3" xfId="14505" xr:uid="{00000000-0005-0000-0000-000047360000}"/>
    <cellStyle name="Normal 165 3 3 2" xfId="14506" xr:uid="{00000000-0005-0000-0000-000048360000}"/>
    <cellStyle name="Normal 165 3 3 2 2" xfId="14507" xr:uid="{00000000-0005-0000-0000-000049360000}"/>
    <cellStyle name="Normal 165 3 3 3" xfId="14508" xr:uid="{00000000-0005-0000-0000-00004A360000}"/>
    <cellStyle name="Normal 165 3 4" xfId="14509" xr:uid="{00000000-0005-0000-0000-00004B360000}"/>
    <cellStyle name="Normal 165 3 4 2" xfId="14510" xr:uid="{00000000-0005-0000-0000-00004C360000}"/>
    <cellStyle name="Normal 165 3 4 2 2" xfId="14511" xr:uid="{00000000-0005-0000-0000-00004D360000}"/>
    <cellStyle name="Normal 165 3 4 3" xfId="14512" xr:uid="{00000000-0005-0000-0000-00004E360000}"/>
    <cellStyle name="Normal 165 3 5" xfId="14513" xr:uid="{00000000-0005-0000-0000-00004F360000}"/>
    <cellStyle name="Normal 165 3 5 2" xfId="14514" xr:uid="{00000000-0005-0000-0000-000050360000}"/>
    <cellStyle name="Normal 165 3 5 2 2" xfId="14515" xr:uid="{00000000-0005-0000-0000-000051360000}"/>
    <cellStyle name="Normal 165 3 5 3" xfId="14516" xr:uid="{00000000-0005-0000-0000-000052360000}"/>
    <cellStyle name="Normal 165 3 6" xfId="14517" xr:uid="{00000000-0005-0000-0000-000053360000}"/>
    <cellStyle name="Normal 165 4" xfId="14518" xr:uid="{00000000-0005-0000-0000-000054360000}"/>
    <cellStyle name="Normal 165 4 2" xfId="14519" xr:uid="{00000000-0005-0000-0000-000055360000}"/>
    <cellStyle name="Normal 165 4 2 2" xfId="14520" xr:uid="{00000000-0005-0000-0000-000056360000}"/>
    <cellStyle name="Normal 165 4 3" xfId="14521" xr:uid="{00000000-0005-0000-0000-000057360000}"/>
    <cellStyle name="Normal 165 5" xfId="14522" xr:uid="{00000000-0005-0000-0000-000058360000}"/>
    <cellStyle name="Normal 165 5 2" xfId="14523" xr:uid="{00000000-0005-0000-0000-000059360000}"/>
    <cellStyle name="Normal 165 5 2 2" xfId="14524" xr:uid="{00000000-0005-0000-0000-00005A360000}"/>
    <cellStyle name="Normal 165 5 3" xfId="14525" xr:uid="{00000000-0005-0000-0000-00005B360000}"/>
    <cellStyle name="Normal 165 6" xfId="14526" xr:uid="{00000000-0005-0000-0000-00005C360000}"/>
    <cellStyle name="Normal 165 6 2" xfId="14527" xr:uid="{00000000-0005-0000-0000-00005D360000}"/>
    <cellStyle name="Normal 165 6 2 2" xfId="14528" xr:uid="{00000000-0005-0000-0000-00005E360000}"/>
    <cellStyle name="Normal 165 6 3" xfId="14529" xr:uid="{00000000-0005-0000-0000-00005F360000}"/>
    <cellStyle name="Normal 165 7" xfId="14530" xr:uid="{00000000-0005-0000-0000-000060360000}"/>
    <cellStyle name="Normal 166" xfId="14531" xr:uid="{00000000-0005-0000-0000-000061360000}"/>
    <cellStyle name="Normal 166 2" xfId="14532" xr:uid="{00000000-0005-0000-0000-000062360000}"/>
    <cellStyle name="Normal 166 2 2" xfId="14533" xr:uid="{00000000-0005-0000-0000-000063360000}"/>
    <cellStyle name="Normal 166 2 2 2" xfId="14534" xr:uid="{00000000-0005-0000-0000-000064360000}"/>
    <cellStyle name="Normal 166 2 3" xfId="14535" xr:uid="{00000000-0005-0000-0000-000065360000}"/>
    <cellStyle name="Normal 166 2 3 2" xfId="14536" xr:uid="{00000000-0005-0000-0000-000066360000}"/>
    <cellStyle name="Normal 166 2 3 2 2" xfId="14537" xr:uid="{00000000-0005-0000-0000-000067360000}"/>
    <cellStyle name="Normal 166 2 3 3" xfId="14538" xr:uid="{00000000-0005-0000-0000-000068360000}"/>
    <cellStyle name="Normal 166 2 4" xfId="14539" xr:uid="{00000000-0005-0000-0000-000069360000}"/>
    <cellStyle name="Normal 166 2 4 2" xfId="14540" xr:uid="{00000000-0005-0000-0000-00006A360000}"/>
    <cellStyle name="Normal 166 2 4 2 2" xfId="14541" xr:uid="{00000000-0005-0000-0000-00006B360000}"/>
    <cellStyle name="Normal 166 2 4 3" xfId="14542" xr:uid="{00000000-0005-0000-0000-00006C360000}"/>
    <cellStyle name="Normal 166 2 5" xfId="14543" xr:uid="{00000000-0005-0000-0000-00006D360000}"/>
    <cellStyle name="Normal 166 3" xfId="14544" xr:uid="{00000000-0005-0000-0000-00006E360000}"/>
    <cellStyle name="Normal 166 3 2" xfId="14545" xr:uid="{00000000-0005-0000-0000-00006F360000}"/>
    <cellStyle name="Normal 166 3 2 2" xfId="14546" xr:uid="{00000000-0005-0000-0000-000070360000}"/>
    <cellStyle name="Normal 166 3 2 2 2" xfId="14547" xr:uid="{00000000-0005-0000-0000-000071360000}"/>
    <cellStyle name="Normal 166 3 2 3" xfId="14548" xr:uid="{00000000-0005-0000-0000-000072360000}"/>
    <cellStyle name="Normal 166 3 2 3 2" xfId="14549" xr:uid="{00000000-0005-0000-0000-000073360000}"/>
    <cellStyle name="Normal 166 3 2 3 2 2" xfId="14550" xr:uid="{00000000-0005-0000-0000-000074360000}"/>
    <cellStyle name="Normal 166 3 2 3 3" xfId="14551" xr:uid="{00000000-0005-0000-0000-000075360000}"/>
    <cellStyle name="Normal 166 3 2 4" xfId="14552" xr:uid="{00000000-0005-0000-0000-000076360000}"/>
    <cellStyle name="Normal 166 3 3" xfId="14553" xr:uid="{00000000-0005-0000-0000-000077360000}"/>
    <cellStyle name="Normal 166 3 3 2" xfId="14554" xr:uid="{00000000-0005-0000-0000-000078360000}"/>
    <cellStyle name="Normal 166 3 3 2 2" xfId="14555" xr:uid="{00000000-0005-0000-0000-000079360000}"/>
    <cellStyle name="Normal 166 3 3 3" xfId="14556" xr:uid="{00000000-0005-0000-0000-00007A360000}"/>
    <cellStyle name="Normal 166 3 4" xfId="14557" xr:uid="{00000000-0005-0000-0000-00007B360000}"/>
    <cellStyle name="Normal 166 3 4 2" xfId="14558" xr:uid="{00000000-0005-0000-0000-00007C360000}"/>
    <cellStyle name="Normal 166 3 4 2 2" xfId="14559" xr:uid="{00000000-0005-0000-0000-00007D360000}"/>
    <cellStyle name="Normal 166 3 4 3" xfId="14560" xr:uid="{00000000-0005-0000-0000-00007E360000}"/>
    <cellStyle name="Normal 166 3 5" xfId="14561" xr:uid="{00000000-0005-0000-0000-00007F360000}"/>
    <cellStyle name="Normal 166 3 5 2" xfId="14562" xr:uid="{00000000-0005-0000-0000-000080360000}"/>
    <cellStyle name="Normal 166 3 5 2 2" xfId="14563" xr:uid="{00000000-0005-0000-0000-000081360000}"/>
    <cellStyle name="Normal 166 3 5 3" xfId="14564" xr:uid="{00000000-0005-0000-0000-000082360000}"/>
    <cellStyle name="Normal 166 3 6" xfId="14565" xr:uid="{00000000-0005-0000-0000-000083360000}"/>
    <cellStyle name="Normal 166 4" xfId="14566" xr:uid="{00000000-0005-0000-0000-000084360000}"/>
    <cellStyle name="Normal 166 4 2" xfId="14567" xr:uid="{00000000-0005-0000-0000-000085360000}"/>
    <cellStyle name="Normal 166 4 2 2" xfId="14568" xr:uid="{00000000-0005-0000-0000-000086360000}"/>
    <cellStyle name="Normal 166 4 3" xfId="14569" xr:uid="{00000000-0005-0000-0000-000087360000}"/>
    <cellStyle name="Normal 166 5" xfId="14570" xr:uid="{00000000-0005-0000-0000-000088360000}"/>
    <cellStyle name="Normal 166 5 2" xfId="14571" xr:uid="{00000000-0005-0000-0000-000089360000}"/>
    <cellStyle name="Normal 166 5 2 2" xfId="14572" xr:uid="{00000000-0005-0000-0000-00008A360000}"/>
    <cellStyle name="Normal 166 5 3" xfId="14573" xr:uid="{00000000-0005-0000-0000-00008B360000}"/>
    <cellStyle name="Normal 166 6" xfId="14574" xr:uid="{00000000-0005-0000-0000-00008C360000}"/>
    <cellStyle name="Normal 166 6 2" xfId="14575" xr:uid="{00000000-0005-0000-0000-00008D360000}"/>
    <cellStyle name="Normal 166 6 2 2" xfId="14576" xr:uid="{00000000-0005-0000-0000-00008E360000}"/>
    <cellStyle name="Normal 166 6 3" xfId="14577" xr:uid="{00000000-0005-0000-0000-00008F360000}"/>
    <cellStyle name="Normal 166 7" xfId="14578" xr:uid="{00000000-0005-0000-0000-000090360000}"/>
    <cellStyle name="Normal 167" xfId="14579" xr:uid="{00000000-0005-0000-0000-000091360000}"/>
    <cellStyle name="Normal 167 2" xfId="14580" xr:uid="{00000000-0005-0000-0000-000092360000}"/>
    <cellStyle name="Normal 167 2 2" xfId="14581" xr:uid="{00000000-0005-0000-0000-000093360000}"/>
    <cellStyle name="Normal 167 2 2 2" xfId="14582" xr:uid="{00000000-0005-0000-0000-000094360000}"/>
    <cellStyle name="Normal 167 2 3" xfId="14583" xr:uid="{00000000-0005-0000-0000-000095360000}"/>
    <cellStyle name="Normal 167 2 3 2" xfId="14584" xr:uid="{00000000-0005-0000-0000-000096360000}"/>
    <cellStyle name="Normal 167 2 3 2 2" xfId="14585" xr:uid="{00000000-0005-0000-0000-000097360000}"/>
    <cellStyle name="Normal 167 2 3 3" xfId="14586" xr:uid="{00000000-0005-0000-0000-000098360000}"/>
    <cellStyle name="Normal 167 2 4" xfId="14587" xr:uid="{00000000-0005-0000-0000-000099360000}"/>
    <cellStyle name="Normal 167 2 4 2" xfId="14588" xr:uid="{00000000-0005-0000-0000-00009A360000}"/>
    <cellStyle name="Normal 167 2 4 2 2" xfId="14589" xr:uid="{00000000-0005-0000-0000-00009B360000}"/>
    <cellStyle name="Normal 167 2 4 3" xfId="14590" xr:uid="{00000000-0005-0000-0000-00009C360000}"/>
    <cellStyle name="Normal 167 2 5" xfId="14591" xr:uid="{00000000-0005-0000-0000-00009D360000}"/>
    <cellStyle name="Normal 167 3" xfId="14592" xr:uid="{00000000-0005-0000-0000-00009E360000}"/>
    <cellStyle name="Normal 167 3 2" xfId="14593" xr:uid="{00000000-0005-0000-0000-00009F360000}"/>
    <cellStyle name="Normal 167 3 2 2" xfId="14594" xr:uid="{00000000-0005-0000-0000-0000A0360000}"/>
    <cellStyle name="Normal 167 3 2 2 2" xfId="14595" xr:uid="{00000000-0005-0000-0000-0000A1360000}"/>
    <cellStyle name="Normal 167 3 2 3" xfId="14596" xr:uid="{00000000-0005-0000-0000-0000A2360000}"/>
    <cellStyle name="Normal 167 3 2 3 2" xfId="14597" xr:uid="{00000000-0005-0000-0000-0000A3360000}"/>
    <cellStyle name="Normal 167 3 2 3 2 2" xfId="14598" xr:uid="{00000000-0005-0000-0000-0000A4360000}"/>
    <cellStyle name="Normal 167 3 2 3 3" xfId="14599" xr:uid="{00000000-0005-0000-0000-0000A5360000}"/>
    <cellStyle name="Normal 167 3 2 4" xfId="14600" xr:uid="{00000000-0005-0000-0000-0000A6360000}"/>
    <cellStyle name="Normal 167 3 3" xfId="14601" xr:uid="{00000000-0005-0000-0000-0000A7360000}"/>
    <cellStyle name="Normal 167 3 3 2" xfId="14602" xr:uid="{00000000-0005-0000-0000-0000A8360000}"/>
    <cellStyle name="Normal 167 3 3 2 2" xfId="14603" xr:uid="{00000000-0005-0000-0000-0000A9360000}"/>
    <cellStyle name="Normal 167 3 3 3" xfId="14604" xr:uid="{00000000-0005-0000-0000-0000AA360000}"/>
    <cellStyle name="Normal 167 3 4" xfId="14605" xr:uid="{00000000-0005-0000-0000-0000AB360000}"/>
    <cellStyle name="Normal 167 3 4 2" xfId="14606" xr:uid="{00000000-0005-0000-0000-0000AC360000}"/>
    <cellStyle name="Normal 167 3 4 2 2" xfId="14607" xr:uid="{00000000-0005-0000-0000-0000AD360000}"/>
    <cellStyle name="Normal 167 3 4 3" xfId="14608" xr:uid="{00000000-0005-0000-0000-0000AE360000}"/>
    <cellStyle name="Normal 167 3 5" xfId="14609" xr:uid="{00000000-0005-0000-0000-0000AF360000}"/>
    <cellStyle name="Normal 167 3 5 2" xfId="14610" xr:uid="{00000000-0005-0000-0000-0000B0360000}"/>
    <cellStyle name="Normal 167 3 5 2 2" xfId="14611" xr:uid="{00000000-0005-0000-0000-0000B1360000}"/>
    <cellStyle name="Normal 167 3 5 3" xfId="14612" xr:uid="{00000000-0005-0000-0000-0000B2360000}"/>
    <cellStyle name="Normal 167 3 6" xfId="14613" xr:uid="{00000000-0005-0000-0000-0000B3360000}"/>
    <cellStyle name="Normal 167 4" xfId="14614" xr:uid="{00000000-0005-0000-0000-0000B4360000}"/>
    <cellStyle name="Normal 167 4 2" xfId="14615" xr:uid="{00000000-0005-0000-0000-0000B5360000}"/>
    <cellStyle name="Normal 167 4 2 2" xfId="14616" xr:uid="{00000000-0005-0000-0000-0000B6360000}"/>
    <cellStyle name="Normal 167 4 3" xfId="14617" xr:uid="{00000000-0005-0000-0000-0000B7360000}"/>
    <cellStyle name="Normal 167 5" xfId="14618" xr:uid="{00000000-0005-0000-0000-0000B8360000}"/>
    <cellStyle name="Normal 167 5 2" xfId="14619" xr:uid="{00000000-0005-0000-0000-0000B9360000}"/>
    <cellStyle name="Normal 167 5 2 2" xfId="14620" xr:uid="{00000000-0005-0000-0000-0000BA360000}"/>
    <cellStyle name="Normal 167 5 3" xfId="14621" xr:uid="{00000000-0005-0000-0000-0000BB360000}"/>
    <cellStyle name="Normal 167 6" xfId="14622" xr:uid="{00000000-0005-0000-0000-0000BC360000}"/>
    <cellStyle name="Normal 167 6 2" xfId="14623" xr:uid="{00000000-0005-0000-0000-0000BD360000}"/>
    <cellStyle name="Normal 167 6 2 2" xfId="14624" xr:uid="{00000000-0005-0000-0000-0000BE360000}"/>
    <cellStyle name="Normal 167 6 3" xfId="14625" xr:uid="{00000000-0005-0000-0000-0000BF360000}"/>
    <cellStyle name="Normal 167 7" xfId="14626" xr:uid="{00000000-0005-0000-0000-0000C0360000}"/>
    <cellStyle name="Normal 168" xfId="14627" xr:uid="{00000000-0005-0000-0000-0000C1360000}"/>
    <cellStyle name="Normal 168 2" xfId="14628" xr:uid="{00000000-0005-0000-0000-0000C2360000}"/>
    <cellStyle name="Normal 168 2 2" xfId="14629" xr:uid="{00000000-0005-0000-0000-0000C3360000}"/>
    <cellStyle name="Normal 168 2 2 2" xfId="14630" xr:uid="{00000000-0005-0000-0000-0000C4360000}"/>
    <cellStyle name="Normal 168 2 3" xfId="14631" xr:uid="{00000000-0005-0000-0000-0000C5360000}"/>
    <cellStyle name="Normal 168 2 3 2" xfId="14632" xr:uid="{00000000-0005-0000-0000-0000C6360000}"/>
    <cellStyle name="Normal 168 2 3 2 2" xfId="14633" xr:uid="{00000000-0005-0000-0000-0000C7360000}"/>
    <cellStyle name="Normal 168 2 3 3" xfId="14634" xr:uid="{00000000-0005-0000-0000-0000C8360000}"/>
    <cellStyle name="Normal 168 2 4" xfId="14635" xr:uid="{00000000-0005-0000-0000-0000C9360000}"/>
    <cellStyle name="Normal 168 2 4 2" xfId="14636" xr:uid="{00000000-0005-0000-0000-0000CA360000}"/>
    <cellStyle name="Normal 168 2 4 2 2" xfId="14637" xr:uid="{00000000-0005-0000-0000-0000CB360000}"/>
    <cellStyle name="Normal 168 2 4 3" xfId="14638" xr:uid="{00000000-0005-0000-0000-0000CC360000}"/>
    <cellStyle name="Normal 168 2 5" xfId="14639" xr:uid="{00000000-0005-0000-0000-0000CD360000}"/>
    <cellStyle name="Normal 168 3" xfId="14640" xr:uid="{00000000-0005-0000-0000-0000CE360000}"/>
    <cellStyle name="Normal 168 3 2" xfId="14641" xr:uid="{00000000-0005-0000-0000-0000CF360000}"/>
    <cellStyle name="Normal 168 3 2 2" xfId="14642" xr:uid="{00000000-0005-0000-0000-0000D0360000}"/>
    <cellStyle name="Normal 168 3 2 2 2" xfId="14643" xr:uid="{00000000-0005-0000-0000-0000D1360000}"/>
    <cellStyle name="Normal 168 3 2 3" xfId="14644" xr:uid="{00000000-0005-0000-0000-0000D2360000}"/>
    <cellStyle name="Normal 168 3 2 3 2" xfId="14645" xr:uid="{00000000-0005-0000-0000-0000D3360000}"/>
    <cellStyle name="Normal 168 3 2 3 2 2" xfId="14646" xr:uid="{00000000-0005-0000-0000-0000D4360000}"/>
    <cellStyle name="Normal 168 3 2 3 3" xfId="14647" xr:uid="{00000000-0005-0000-0000-0000D5360000}"/>
    <cellStyle name="Normal 168 3 2 4" xfId="14648" xr:uid="{00000000-0005-0000-0000-0000D6360000}"/>
    <cellStyle name="Normal 168 3 3" xfId="14649" xr:uid="{00000000-0005-0000-0000-0000D7360000}"/>
    <cellStyle name="Normal 168 3 3 2" xfId="14650" xr:uid="{00000000-0005-0000-0000-0000D8360000}"/>
    <cellStyle name="Normal 168 3 3 2 2" xfId="14651" xr:uid="{00000000-0005-0000-0000-0000D9360000}"/>
    <cellStyle name="Normal 168 3 3 3" xfId="14652" xr:uid="{00000000-0005-0000-0000-0000DA360000}"/>
    <cellStyle name="Normal 168 3 4" xfId="14653" xr:uid="{00000000-0005-0000-0000-0000DB360000}"/>
    <cellStyle name="Normal 168 3 4 2" xfId="14654" xr:uid="{00000000-0005-0000-0000-0000DC360000}"/>
    <cellStyle name="Normal 168 3 4 2 2" xfId="14655" xr:uid="{00000000-0005-0000-0000-0000DD360000}"/>
    <cellStyle name="Normal 168 3 4 3" xfId="14656" xr:uid="{00000000-0005-0000-0000-0000DE360000}"/>
    <cellStyle name="Normal 168 3 5" xfId="14657" xr:uid="{00000000-0005-0000-0000-0000DF360000}"/>
    <cellStyle name="Normal 168 3 5 2" xfId="14658" xr:uid="{00000000-0005-0000-0000-0000E0360000}"/>
    <cellStyle name="Normal 168 3 5 2 2" xfId="14659" xr:uid="{00000000-0005-0000-0000-0000E1360000}"/>
    <cellStyle name="Normal 168 3 5 3" xfId="14660" xr:uid="{00000000-0005-0000-0000-0000E2360000}"/>
    <cellStyle name="Normal 168 3 6" xfId="14661" xr:uid="{00000000-0005-0000-0000-0000E3360000}"/>
    <cellStyle name="Normal 168 4" xfId="14662" xr:uid="{00000000-0005-0000-0000-0000E4360000}"/>
    <cellStyle name="Normal 168 4 2" xfId="14663" xr:uid="{00000000-0005-0000-0000-0000E5360000}"/>
    <cellStyle name="Normal 168 4 2 2" xfId="14664" xr:uid="{00000000-0005-0000-0000-0000E6360000}"/>
    <cellStyle name="Normal 168 4 3" xfId="14665" xr:uid="{00000000-0005-0000-0000-0000E7360000}"/>
    <cellStyle name="Normal 168 5" xfId="14666" xr:uid="{00000000-0005-0000-0000-0000E8360000}"/>
    <cellStyle name="Normal 168 5 2" xfId="14667" xr:uid="{00000000-0005-0000-0000-0000E9360000}"/>
    <cellStyle name="Normal 168 5 2 2" xfId="14668" xr:uid="{00000000-0005-0000-0000-0000EA360000}"/>
    <cellStyle name="Normal 168 5 3" xfId="14669" xr:uid="{00000000-0005-0000-0000-0000EB360000}"/>
    <cellStyle name="Normal 168 6" xfId="14670" xr:uid="{00000000-0005-0000-0000-0000EC360000}"/>
    <cellStyle name="Normal 168 6 2" xfId="14671" xr:uid="{00000000-0005-0000-0000-0000ED360000}"/>
    <cellStyle name="Normal 168 6 2 2" xfId="14672" xr:uid="{00000000-0005-0000-0000-0000EE360000}"/>
    <cellStyle name="Normal 168 6 3" xfId="14673" xr:uid="{00000000-0005-0000-0000-0000EF360000}"/>
    <cellStyle name="Normal 168 7" xfId="14674" xr:uid="{00000000-0005-0000-0000-0000F0360000}"/>
    <cellStyle name="Normal 169" xfId="14675" xr:uid="{00000000-0005-0000-0000-0000F1360000}"/>
    <cellStyle name="Normal 169 2" xfId="14676" xr:uid="{00000000-0005-0000-0000-0000F2360000}"/>
    <cellStyle name="Normal 169 2 2" xfId="14677" xr:uid="{00000000-0005-0000-0000-0000F3360000}"/>
    <cellStyle name="Normal 169 2 2 2" xfId="14678" xr:uid="{00000000-0005-0000-0000-0000F4360000}"/>
    <cellStyle name="Normal 169 2 3" xfId="14679" xr:uid="{00000000-0005-0000-0000-0000F5360000}"/>
    <cellStyle name="Normal 169 2 3 2" xfId="14680" xr:uid="{00000000-0005-0000-0000-0000F6360000}"/>
    <cellStyle name="Normal 169 2 3 2 2" xfId="14681" xr:uid="{00000000-0005-0000-0000-0000F7360000}"/>
    <cellStyle name="Normal 169 2 3 3" xfId="14682" xr:uid="{00000000-0005-0000-0000-0000F8360000}"/>
    <cellStyle name="Normal 169 2 4" xfId="14683" xr:uid="{00000000-0005-0000-0000-0000F9360000}"/>
    <cellStyle name="Normal 169 2 4 2" xfId="14684" xr:uid="{00000000-0005-0000-0000-0000FA360000}"/>
    <cellStyle name="Normal 169 2 4 2 2" xfId="14685" xr:uid="{00000000-0005-0000-0000-0000FB360000}"/>
    <cellStyle name="Normal 169 2 4 3" xfId="14686" xr:uid="{00000000-0005-0000-0000-0000FC360000}"/>
    <cellStyle name="Normal 169 2 5" xfId="14687" xr:uid="{00000000-0005-0000-0000-0000FD360000}"/>
    <cellStyle name="Normal 169 3" xfId="14688" xr:uid="{00000000-0005-0000-0000-0000FE360000}"/>
    <cellStyle name="Normal 169 3 2" xfId="14689" xr:uid="{00000000-0005-0000-0000-0000FF360000}"/>
    <cellStyle name="Normal 169 3 2 2" xfId="14690" xr:uid="{00000000-0005-0000-0000-000000370000}"/>
    <cellStyle name="Normal 169 3 2 2 2" xfId="14691" xr:uid="{00000000-0005-0000-0000-000001370000}"/>
    <cellStyle name="Normal 169 3 2 3" xfId="14692" xr:uid="{00000000-0005-0000-0000-000002370000}"/>
    <cellStyle name="Normal 169 3 2 3 2" xfId="14693" xr:uid="{00000000-0005-0000-0000-000003370000}"/>
    <cellStyle name="Normal 169 3 2 3 2 2" xfId="14694" xr:uid="{00000000-0005-0000-0000-000004370000}"/>
    <cellStyle name="Normal 169 3 2 3 3" xfId="14695" xr:uid="{00000000-0005-0000-0000-000005370000}"/>
    <cellStyle name="Normal 169 3 2 4" xfId="14696" xr:uid="{00000000-0005-0000-0000-000006370000}"/>
    <cellStyle name="Normal 169 3 3" xfId="14697" xr:uid="{00000000-0005-0000-0000-000007370000}"/>
    <cellStyle name="Normal 169 3 3 2" xfId="14698" xr:uid="{00000000-0005-0000-0000-000008370000}"/>
    <cellStyle name="Normal 169 3 3 2 2" xfId="14699" xr:uid="{00000000-0005-0000-0000-000009370000}"/>
    <cellStyle name="Normal 169 3 3 3" xfId="14700" xr:uid="{00000000-0005-0000-0000-00000A370000}"/>
    <cellStyle name="Normal 169 3 4" xfId="14701" xr:uid="{00000000-0005-0000-0000-00000B370000}"/>
    <cellStyle name="Normal 169 3 4 2" xfId="14702" xr:uid="{00000000-0005-0000-0000-00000C370000}"/>
    <cellStyle name="Normal 169 3 4 2 2" xfId="14703" xr:uid="{00000000-0005-0000-0000-00000D370000}"/>
    <cellStyle name="Normal 169 3 4 3" xfId="14704" xr:uid="{00000000-0005-0000-0000-00000E370000}"/>
    <cellStyle name="Normal 169 3 5" xfId="14705" xr:uid="{00000000-0005-0000-0000-00000F370000}"/>
    <cellStyle name="Normal 169 3 5 2" xfId="14706" xr:uid="{00000000-0005-0000-0000-000010370000}"/>
    <cellStyle name="Normal 169 3 5 2 2" xfId="14707" xr:uid="{00000000-0005-0000-0000-000011370000}"/>
    <cellStyle name="Normal 169 3 5 3" xfId="14708" xr:uid="{00000000-0005-0000-0000-000012370000}"/>
    <cellStyle name="Normal 169 3 6" xfId="14709" xr:uid="{00000000-0005-0000-0000-000013370000}"/>
    <cellStyle name="Normal 169 4" xfId="14710" xr:uid="{00000000-0005-0000-0000-000014370000}"/>
    <cellStyle name="Normal 169 4 2" xfId="14711" xr:uid="{00000000-0005-0000-0000-000015370000}"/>
    <cellStyle name="Normal 169 4 2 2" xfId="14712" xr:uid="{00000000-0005-0000-0000-000016370000}"/>
    <cellStyle name="Normal 169 4 3" xfId="14713" xr:uid="{00000000-0005-0000-0000-000017370000}"/>
    <cellStyle name="Normal 169 5" xfId="14714" xr:uid="{00000000-0005-0000-0000-000018370000}"/>
    <cellStyle name="Normal 169 5 2" xfId="14715" xr:uid="{00000000-0005-0000-0000-000019370000}"/>
    <cellStyle name="Normal 169 5 2 2" xfId="14716" xr:uid="{00000000-0005-0000-0000-00001A370000}"/>
    <cellStyle name="Normal 169 5 3" xfId="14717" xr:uid="{00000000-0005-0000-0000-00001B370000}"/>
    <cellStyle name="Normal 169 6" xfId="14718" xr:uid="{00000000-0005-0000-0000-00001C370000}"/>
    <cellStyle name="Normal 169 6 2" xfId="14719" xr:uid="{00000000-0005-0000-0000-00001D370000}"/>
    <cellStyle name="Normal 169 6 2 2" xfId="14720" xr:uid="{00000000-0005-0000-0000-00001E370000}"/>
    <cellStyle name="Normal 169 6 3" xfId="14721" xr:uid="{00000000-0005-0000-0000-00001F370000}"/>
    <cellStyle name="Normal 169 7" xfId="14722" xr:uid="{00000000-0005-0000-0000-000020370000}"/>
    <cellStyle name="Normal 17" xfId="247" xr:uid="{00000000-0005-0000-0000-000021370000}"/>
    <cellStyle name="Normal 17 2" xfId="14724" xr:uid="{00000000-0005-0000-0000-000022370000}"/>
    <cellStyle name="Normal 17 2 2" xfId="14725" xr:uid="{00000000-0005-0000-0000-000023370000}"/>
    <cellStyle name="Normal 17 2 2 2" xfId="14726" xr:uid="{00000000-0005-0000-0000-000024370000}"/>
    <cellStyle name="Normal 17 2 2 2 2" xfId="14727" xr:uid="{00000000-0005-0000-0000-000025370000}"/>
    <cellStyle name="Normal 17 2 2 3" xfId="14728" xr:uid="{00000000-0005-0000-0000-000026370000}"/>
    <cellStyle name="Normal 17 2 2 3 2" xfId="14729" xr:uid="{00000000-0005-0000-0000-000027370000}"/>
    <cellStyle name="Normal 17 2 2 3 2 2" xfId="14730" xr:uid="{00000000-0005-0000-0000-000028370000}"/>
    <cellStyle name="Normal 17 2 2 3 3" xfId="14731" xr:uid="{00000000-0005-0000-0000-000029370000}"/>
    <cellStyle name="Normal 17 2 2 4" xfId="14732" xr:uid="{00000000-0005-0000-0000-00002A370000}"/>
    <cellStyle name="Normal 17 2 2 4 2" xfId="14733" xr:uid="{00000000-0005-0000-0000-00002B370000}"/>
    <cellStyle name="Normal 17 2 2 4 2 2" xfId="14734" xr:uid="{00000000-0005-0000-0000-00002C370000}"/>
    <cellStyle name="Normal 17 2 2 4 3" xfId="14735" xr:uid="{00000000-0005-0000-0000-00002D370000}"/>
    <cellStyle name="Normal 17 2 2 5" xfId="14736" xr:uid="{00000000-0005-0000-0000-00002E370000}"/>
    <cellStyle name="Normal 17 2 3" xfId="14737" xr:uid="{00000000-0005-0000-0000-00002F370000}"/>
    <cellStyle name="Normal 17 2 3 2" xfId="14738" xr:uid="{00000000-0005-0000-0000-000030370000}"/>
    <cellStyle name="Normal 17 2 3 2 2" xfId="14739" xr:uid="{00000000-0005-0000-0000-000031370000}"/>
    <cellStyle name="Normal 17 2 3 2 2 2" xfId="14740" xr:uid="{00000000-0005-0000-0000-000032370000}"/>
    <cellStyle name="Normal 17 2 3 2 3" xfId="14741" xr:uid="{00000000-0005-0000-0000-000033370000}"/>
    <cellStyle name="Normal 17 2 3 2 3 2" xfId="14742" xr:uid="{00000000-0005-0000-0000-000034370000}"/>
    <cellStyle name="Normal 17 2 3 2 3 2 2" xfId="14743" xr:uid="{00000000-0005-0000-0000-000035370000}"/>
    <cellStyle name="Normal 17 2 3 2 3 3" xfId="14744" xr:uid="{00000000-0005-0000-0000-000036370000}"/>
    <cellStyle name="Normal 17 2 3 2 4" xfId="14745" xr:uid="{00000000-0005-0000-0000-000037370000}"/>
    <cellStyle name="Normal 17 2 3 3" xfId="14746" xr:uid="{00000000-0005-0000-0000-000038370000}"/>
    <cellStyle name="Normal 17 2 3 3 2" xfId="14747" xr:uid="{00000000-0005-0000-0000-000039370000}"/>
    <cellStyle name="Normal 17 2 3 3 2 2" xfId="14748" xr:uid="{00000000-0005-0000-0000-00003A370000}"/>
    <cellStyle name="Normal 17 2 3 3 3" xfId="14749" xr:uid="{00000000-0005-0000-0000-00003B370000}"/>
    <cellStyle name="Normal 17 2 3 4" xfId="14750" xr:uid="{00000000-0005-0000-0000-00003C370000}"/>
    <cellStyle name="Normal 17 2 3 4 2" xfId="14751" xr:uid="{00000000-0005-0000-0000-00003D370000}"/>
    <cellStyle name="Normal 17 2 3 4 2 2" xfId="14752" xr:uid="{00000000-0005-0000-0000-00003E370000}"/>
    <cellStyle name="Normal 17 2 3 4 3" xfId="14753" xr:uid="{00000000-0005-0000-0000-00003F370000}"/>
    <cellStyle name="Normal 17 2 3 5" xfId="14754" xr:uid="{00000000-0005-0000-0000-000040370000}"/>
    <cellStyle name="Normal 17 2 3 5 2" xfId="14755" xr:uid="{00000000-0005-0000-0000-000041370000}"/>
    <cellStyle name="Normal 17 2 3 5 2 2" xfId="14756" xr:uid="{00000000-0005-0000-0000-000042370000}"/>
    <cellStyle name="Normal 17 2 3 5 3" xfId="14757" xr:uid="{00000000-0005-0000-0000-000043370000}"/>
    <cellStyle name="Normal 17 2 3 6" xfId="14758" xr:uid="{00000000-0005-0000-0000-000044370000}"/>
    <cellStyle name="Normal 17 2 4" xfId="14759" xr:uid="{00000000-0005-0000-0000-000045370000}"/>
    <cellStyle name="Normal 17 3" xfId="14760" xr:uid="{00000000-0005-0000-0000-000046370000}"/>
    <cellStyle name="Normal 17 3 2" xfId="14761" xr:uid="{00000000-0005-0000-0000-000047370000}"/>
    <cellStyle name="Normal 17 3 2 2" xfId="14762" xr:uid="{00000000-0005-0000-0000-000048370000}"/>
    <cellStyle name="Normal 17 3 2 2 2" xfId="14763" xr:uid="{00000000-0005-0000-0000-000049370000}"/>
    <cellStyle name="Normal 17 3 2 3" xfId="14764" xr:uid="{00000000-0005-0000-0000-00004A370000}"/>
    <cellStyle name="Normal 17 3 2 3 2" xfId="14765" xr:uid="{00000000-0005-0000-0000-00004B370000}"/>
    <cellStyle name="Normal 17 3 2 3 2 2" xfId="14766" xr:uid="{00000000-0005-0000-0000-00004C370000}"/>
    <cellStyle name="Normal 17 3 2 3 3" xfId="14767" xr:uid="{00000000-0005-0000-0000-00004D370000}"/>
    <cellStyle name="Normal 17 3 2 4" xfId="14768" xr:uid="{00000000-0005-0000-0000-00004E370000}"/>
    <cellStyle name="Normal 17 3 2 4 2" xfId="14769" xr:uid="{00000000-0005-0000-0000-00004F370000}"/>
    <cellStyle name="Normal 17 3 2 4 2 2" xfId="14770" xr:uid="{00000000-0005-0000-0000-000050370000}"/>
    <cellStyle name="Normal 17 3 2 4 3" xfId="14771" xr:uid="{00000000-0005-0000-0000-000051370000}"/>
    <cellStyle name="Normal 17 3 2 5" xfId="14772" xr:uid="{00000000-0005-0000-0000-000052370000}"/>
    <cellStyle name="Normal 17 3 3" xfId="14773" xr:uid="{00000000-0005-0000-0000-000053370000}"/>
    <cellStyle name="Normal 17 3 3 2" xfId="14774" xr:uid="{00000000-0005-0000-0000-000054370000}"/>
    <cellStyle name="Normal 17 3 3 2 2" xfId="14775" xr:uid="{00000000-0005-0000-0000-000055370000}"/>
    <cellStyle name="Normal 17 3 3 3" xfId="14776" xr:uid="{00000000-0005-0000-0000-000056370000}"/>
    <cellStyle name="Normal 17 3 3 4" xfId="53895" xr:uid="{FEB0F29F-0CE9-424A-A6B5-2E8D48A04B44}"/>
    <cellStyle name="Normal 17 3 4" xfId="14777" xr:uid="{00000000-0005-0000-0000-000057370000}"/>
    <cellStyle name="Normal 17 3 4 2" xfId="14778" xr:uid="{00000000-0005-0000-0000-000058370000}"/>
    <cellStyle name="Normal 17 3 4 2 2" xfId="14779" xr:uid="{00000000-0005-0000-0000-000059370000}"/>
    <cellStyle name="Normal 17 3 4 3" xfId="14780" xr:uid="{00000000-0005-0000-0000-00005A370000}"/>
    <cellStyle name="Normal 17 3 5" xfId="14781" xr:uid="{00000000-0005-0000-0000-00005B370000}"/>
    <cellStyle name="Normal 17 3 5 2" xfId="14782" xr:uid="{00000000-0005-0000-0000-00005C370000}"/>
    <cellStyle name="Normal 17 3 5 2 2" xfId="14783" xr:uid="{00000000-0005-0000-0000-00005D370000}"/>
    <cellStyle name="Normal 17 3 5 3" xfId="14784" xr:uid="{00000000-0005-0000-0000-00005E370000}"/>
    <cellStyle name="Normal 17 3 6" xfId="14785" xr:uid="{00000000-0005-0000-0000-00005F370000}"/>
    <cellStyle name="Normal 17 4" xfId="14786" xr:uid="{00000000-0005-0000-0000-000060370000}"/>
    <cellStyle name="Normal 17 4 2" xfId="14787" xr:uid="{00000000-0005-0000-0000-000061370000}"/>
    <cellStyle name="Normal 17 4 2 2" xfId="14788" xr:uid="{00000000-0005-0000-0000-000062370000}"/>
    <cellStyle name="Normal 17 4 3" xfId="14789" xr:uid="{00000000-0005-0000-0000-000063370000}"/>
    <cellStyle name="Normal 17 4 3 2" xfId="14790" xr:uid="{00000000-0005-0000-0000-000064370000}"/>
    <cellStyle name="Normal 17 4 3 2 2" xfId="14791" xr:uid="{00000000-0005-0000-0000-000065370000}"/>
    <cellStyle name="Normal 17 4 3 3" xfId="14792" xr:uid="{00000000-0005-0000-0000-000066370000}"/>
    <cellStyle name="Normal 17 4 4" xfId="14793" xr:uid="{00000000-0005-0000-0000-000067370000}"/>
    <cellStyle name="Normal 17 4 4 2" xfId="14794" xr:uid="{00000000-0005-0000-0000-000068370000}"/>
    <cellStyle name="Normal 17 4 4 2 2" xfId="14795" xr:uid="{00000000-0005-0000-0000-000069370000}"/>
    <cellStyle name="Normal 17 4 4 3" xfId="14796" xr:uid="{00000000-0005-0000-0000-00006A370000}"/>
    <cellStyle name="Normal 17 4 5" xfId="14797" xr:uid="{00000000-0005-0000-0000-00006B370000}"/>
    <cellStyle name="Normal 17 5" xfId="14798" xr:uid="{00000000-0005-0000-0000-00006C370000}"/>
    <cellStyle name="Normal 17 5 2" xfId="14799" xr:uid="{00000000-0005-0000-0000-00006D370000}"/>
    <cellStyle name="Normal 17 5 2 2" xfId="14800" xr:uid="{00000000-0005-0000-0000-00006E370000}"/>
    <cellStyle name="Normal 17 5 2 2 2" xfId="14801" xr:uid="{00000000-0005-0000-0000-00006F370000}"/>
    <cellStyle name="Normal 17 5 2 3" xfId="14802" xr:uid="{00000000-0005-0000-0000-000070370000}"/>
    <cellStyle name="Normal 17 5 2 3 2" xfId="14803" xr:uid="{00000000-0005-0000-0000-000071370000}"/>
    <cellStyle name="Normal 17 5 2 3 2 2" xfId="14804" xr:uid="{00000000-0005-0000-0000-000072370000}"/>
    <cellStyle name="Normal 17 5 2 3 3" xfId="14805" xr:uid="{00000000-0005-0000-0000-000073370000}"/>
    <cellStyle name="Normal 17 5 2 4" xfId="14806" xr:uid="{00000000-0005-0000-0000-000074370000}"/>
    <cellStyle name="Normal 17 5 3" xfId="14807" xr:uid="{00000000-0005-0000-0000-000075370000}"/>
    <cellStyle name="Normal 17 5 3 2" xfId="14808" xr:uid="{00000000-0005-0000-0000-000076370000}"/>
    <cellStyle name="Normal 17 5 3 2 2" xfId="14809" xr:uid="{00000000-0005-0000-0000-000077370000}"/>
    <cellStyle name="Normal 17 5 3 3" xfId="14810" xr:uid="{00000000-0005-0000-0000-000078370000}"/>
    <cellStyle name="Normal 17 5 4" xfId="14811" xr:uid="{00000000-0005-0000-0000-000079370000}"/>
    <cellStyle name="Normal 17 5 4 2" xfId="14812" xr:uid="{00000000-0005-0000-0000-00007A370000}"/>
    <cellStyle name="Normal 17 5 4 2 2" xfId="14813" xr:uid="{00000000-0005-0000-0000-00007B370000}"/>
    <cellStyle name="Normal 17 5 4 3" xfId="14814" xr:uid="{00000000-0005-0000-0000-00007C370000}"/>
    <cellStyle name="Normal 17 5 5" xfId="14815" xr:uid="{00000000-0005-0000-0000-00007D370000}"/>
    <cellStyle name="Normal 17 5 5 2" xfId="14816" xr:uid="{00000000-0005-0000-0000-00007E370000}"/>
    <cellStyle name="Normal 17 5 5 2 2" xfId="14817" xr:uid="{00000000-0005-0000-0000-00007F370000}"/>
    <cellStyle name="Normal 17 5 5 3" xfId="14818" xr:uid="{00000000-0005-0000-0000-000080370000}"/>
    <cellStyle name="Normal 17 5 6" xfId="14819" xr:uid="{00000000-0005-0000-0000-000081370000}"/>
    <cellStyle name="Normal 17 6" xfId="14820" xr:uid="{00000000-0005-0000-0000-000082370000}"/>
    <cellStyle name="Normal 17 7" xfId="14723" xr:uid="{00000000-0005-0000-0000-000083370000}"/>
    <cellStyle name="Normal 170" xfId="14821" xr:uid="{00000000-0005-0000-0000-000084370000}"/>
    <cellStyle name="Normal 170 2" xfId="14822" xr:uid="{00000000-0005-0000-0000-000085370000}"/>
    <cellStyle name="Normal 170 2 2" xfId="14823" xr:uid="{00000000-0005-0000-0000-000086370000}"/>
    <cellStyle name="Normal 170 2 2 2" xfId="14824" xr:uid="{00000000-0005-0000-0000-000087370000}"/>
    <cellStyle name="Normal 170 2 3" xfId="14825" xr:uid="{00000000-0005-0000-0000-000088370000}"/>
    <cellStyle name="Normal 170 2 3 2" xfId="14826" xr:uid="{00000000-0005-0000-0000-000089370000}"/>
    <cellStyle name="Normal 170 2 3 2 2" xfId="14827" xr:uid="{00000000-0005-0000-0000-00008A370000}"/>
    <cellStyle name="Normal 170 2 3 3" xfId="14828" xr:uid="{00000000-0005-0000-0000-00008B370000}"/>
    <cellStyle name="Normal 170 2 4" xfId="14829" xr:uid="{00000000-0005-0000-0000-00008C370000}"/>
    <cellStyle name="Normal 170 2 4 2" xfId="14830" xr:uid="{00000000-0005-0000-0000-00008D370000}"/>
    <cellStyle name="Normal 170 2 4 2 2" xfId="14831" xr:uid="{00000000-0005-0000-0000-00008E370000}"/>
    <cellStyle name="Normal 170 2 4 3" xfId="14832" xr:uid="{00000000-0005-0000-0000-00008F370000}"/>
    <cellStyle name="Normal 170 2 5" xfId="14833" xr:uid="{00000000-0005-0000-0000-000090370000}"/>
    <cellStyle name="Normal 170 3" xfId="14834" xr:uid="{00000000-0005-0000-0000-000091370000}"/>
    <cellStyle name="Normal 170 3 2" xfId="14835" xr:uid="{00000000-0005-0000-0000-000092370000}"/>
    <cellStyle name="Normal 170 3 2 2" xfId="14836" xr:uid="{00000000-0005-0000-0000-000093370000}"/>
    <cellStyle name="Normal 170 3 2 2 2" xfId="14837" xr:uid="{00000000-0005-0000-0000-000094370000}"/>
    <cellStyle name="Normal 170 3 2 3" xfId="14838" xr:uid="{00000000-0005-0000-0000-000095370000}"/>
    <cellStyle name="Normal 170 3 2 3 2" xfId="14839" xr:uid="{00000000-0005-0000-0000-000096370000}"/>
    <cellStyle name="Normal 170 3 2 3 2 2" xfId="14840" xr:uid="{00000000-0005-0000-0000-000097370000}"/>
    <cellStyle name="Normal 170 3 2 3 3" xfId="14841" xr:uid="{00000000-0005-0000-0000-000098370000}"/>
    <cellStyle name="Normal 170 3 2 4" xfId="14842" xr:uid="{00000000-0005-0000-0000-000099370000}"/>
    <cellStyle name="Normal 170 3 3" xfId="14843" xr:uid="{00000000-0005-0000-0000-00009A370000}"/>
    <cellStyle name="Normal 170 3 3 2" xfId="14844" xr:uid="{00000000-0005-0000-0000-00009B370000}"/>
    <cellStyle name="Normal 170 3 3 2 2" xfId="14845" xr:uid="{00000000-0005-0000-0000-00009C370000}"/>
    <cellStyle name="Normal 170 3 3 3" xfId="14846" xr:uid="{00000000-0005-0000-0000-00009D370000}"/>
    <cellStyle name="Normal 170 3 4" xfId="14847" xr:uid="{00000000-0005-0000-0000-00009E370000}"/>
    <cellStyle name="Normal 170 3 4 2" xfId="14848" xr:uid="{00000000-0005-0000-0000-00009F370000}"/>
    <cellStyle name="Normal 170 3 4 2 2" xfId="14849" xr:uid="{00000000-0005-0000-0000-0000A0370000}"/>
    <cellStyle name="Normal 170 3 4 3" xfId="14850" xr:uid="{00000000-0005-0000-0000-0000A1370000}"/>
    <cellStyle name="Normal 170 3 5" xfId="14851" xr:uid="{00000000-0005-0000-0000-0000A2370000}"/>
    <cellStyle name="Normal 170 3 5 2" xfId="14852" xr:uid="{00000000-0005-0000-0000-0000A3370000}"/>
    <cellStyle name="Normal 170 3 5 2 2" xfId="14853" xr:uid="{00000000-0005-0000-0000-0000A4370000}"/>
    <cellStyle name="Normal 170 3 5 3" xfId="14854" xr:uid="{00000000-0005-0000-0000-0000A5370000}"/>
    <cellStyle name="Normal 170 3 6" xfId="14855" xr:uid="{00000000-0005-0000-0000-0000A6370000}"/>
    <cellStyle name="Normal 170 4" xfId="14856" xr:uid="{00000000-0005-0000-0000-0000A7370000}"/>
    <cellStyle name="Normal 170 4 2" xfId="14857" xr:uid="{00000000-0005-0000-0000-0000A8370000}"/>
    <cellStyle name="Normal 170 4 2 2" xfId="14858" xr:uid="{00000000-0005-0000-0000-0000A9370000}"/>
    <cellStyle name="Normal 170 4 3" xfId="14859" xr:uid="{00000000-0005-0000-0000-0000AA370000}"/>
    <cellStyle name="Normal 170 5" xfId="14860" xr:uid="{00000000-0005-0000-0000-0000AB370000}"/>
    <cellStyle name="Normal 170 5 2" xfId="14861" xr:uid="{00000000-0005-0000-0000-0000AC370000}"/>
    <cellStyle name="Normal 170 5 2 2" xfId="14862" xr:uid="{00000000-0005-0000-0000-0000AD370000}"/>
    <cellStyle name="Normal 170 5 3" xfId="14863" xr:uid="{00000000-0005-0000-0000-0000AE370000}"/>
    <cellStyle name="Normal 170 6" xfId="14864" xr:uid="{00000000-0005-0000-0000-0000AF370000}"/>
    <cellStyle name="Normal 170 6 2" xfId="14865" xr:uid="{00000000-0005-0000-0000-0000B0370000}"/>
    <cellStyle name="Normal 170 6 2 2" xfId="14866" xr:uid="{00000000-0005-0000-0000-0000B1370000}"/>
    <cellStyle name="Normal 170 6 3" xfId="14867" xr:uid="{00000000-0005-0000-0000-0000B2370000}"/>
    <cellStyle name="Normal 170 7" xfId="14868" xr:uid="{00000000-0005-0000-0000-0000B3370000}"/>
    <cellStyle name="Normal 171" xfId="14869" xr:uid="{00000000-0005-0000-0000-0000B4370000}"/>
    <cellStyle name="Normal 171 2" xfId="14870" xr:uid="{00000000-0005-0000-0000-0000B5370000}"/>
    <cellStyle name="Normal 171 2 2" xfId="14871" xr:uid="{00000000-0005-0000-0000-0000B6370000}"/>
    <cellStyle name="Normal 171 2 2 2" xfId="14872" xr:uid="{00000000-0005-0000-0000-0000B7370000}"/>
    <cellStyle name="Normal 171 2 3" xfId="14873" xr:uid="{00000000-0005-0000-0000-0000B8370000}"/>
    <cellStyle name="Normal 171 2 3 2" xfId="14874" xr:uid="{00000000-0005-0000-0000-0000B9370000}"/>
    <cellStyle name="Normal 171 2 3 2 2" xfId="14875" xr:uid="{00000000-0005-0000-0000-0000BA370000}"/>
    <cellStyle name="Normal 171 2 3 3" xfId="14876" xr:uid="{00000000-0005-0000-0000-0000BB370000}"/>
    <cellStyle name="Normal 171 2 4" xfId="14877" xr:uid="{00000000-0005-0000-0000-0000BC370000}"/>
    <cellStyle name="Normal 171 2 4 2" xfId="14878" xr:uid="{00000000-0005-0000-0000-0000BD370000}"/>
    <cellStyle name="Normal 171 2 4 2 2" xfId="14879" xr:uid="{00000000-0005-0000-0000-0000BE370000}"/>
    <cellStyle name="Normal 171 2 4 3" xfId="14880" xr:uid="{00000000-0005-0000-0000-0000BF370000}"/>
    <cellStyle name="Normal 171 2 5" xfId="14881" xr:uid="{00000000-0005-0000-0000-0000C0370000}"/>
    <cellStyle name="Normal 171 3" xfId="14882" xr:uid="{00000000-0005-0000-0000-0000C1370000}"/>
    <cellStyle name="Normal 171 3 2" xfId="14883" xr:uid="{00000000-0005-0000-0000-0000C2370000}"/>
    <cellStyle name="Normal 171 3 2 2" xfId="14884" xr:uid="{00000000-0005-0000-0000-0000C3370000}"/>
    <cellStyle name="Normal 171 3 2 2 2" xfId="14885" xr:uid="{00000000-0005-0000-0000-0000C4370000}"/>
    <cellStyle name="Normal 171 3 2 3" xfId="14886" xr:uid="{00000000-0005-0000-0000-0000C5370000}"/>
    <cellStyle name="Normal 171 3 2 3 2" xfId="14887" xr:uid="{00000000-0005-0000-0000-0000C6370000}"/>
    <cellStyle name="Normal 171 3 2 3 2 2" xfId="14888" xr:uid="{00000000-0005-0000-0000-0000C7370000}"/>
    <cellStyle name="Normal 171 3 2 3 3" xfId="14889" xr:uid="{00000000-0005-0000-0000-0000C8370000}"/>
    <cellStyle name="Normal 171 3 2 4" xfId="14890" xr:uid="{00000000-0005-0000-0000-0000C9370000}"/>
    <cellStyle name="Normal 171 3 3" xfId="14891" xr:uid="{00000000-0005-0000-0000-0000CA370000}"/>
    <cellStyle name="Normal 171 3 3 2" xfId="14892" xr:uid="{00000000-0005-0000-0000-0000CB370000}"/>
    <cellStyle name="Normal 171 3 3 2 2" xfId="14893" xr:uid="{00000000-0005-0000-0000-0000CC370000}"/>
    <cellStyle name="Normal 171 3 3 3" xfId="14894" xr:uid="{00000000-0005-0000-0000-0000CD370000}"/>
    <cellStyle name="Normal 171 3 4" xfId="14895" xr:uid="{00000000-0005-0000-0000-0000CE370000}"/>
    <cellStyle name="Normal 171 3 4 2" xfId="14896" xr:uid="{00000000-0005-0000-0000-0000CF370000}"/>
    <cellStyle name="Normal 171 3 4 2 2" xfId="14897" xr:uid="{00000000-0005-0000-0000-0000D0370000}"/>
    <cellStyle name="Normal 171 3 4 3" xfId="14898" xr:uid="{00000000-0005-0000-0000-0000D1370000}"/>
    <cellStyle name="Normal 171 3 5" xfId="14899" xr:uid="{00000000-0005-0000-0000-0000D2370000}"/>
    <cellStyle name="Normal 171 3 5 2" xfId="14900" xr:uid="{00000000-0005-0000-0000-0000D3370000}"/>
    <cellStyle name="Normal 171 3 5 2 2" xfId="14901" xr:uid="{00000000-0005-0000-0000-0000D4370000}"/>
    <cellStyle name="Normal 171 3 5 3" xfId="14902" xr:uid="{00000000-0005-0000-0000-0000D5370000}"/>
    <cellStyle name="Normal 171 3 6" xfId="14903" xr:uid="{00000000-0005-0000-0000-0000D6370000}"/>
    <cellStyle name="Normal 171 4" xfId="14904" xr:uid="{00000000-0005-0000-0000-0000D7370000}"/>
    <cellStyle name="Normal 171 4 2" xfId="14905" xr:uid="{00000000-0005-0000-0000-0000D8370000}"/>
    <cellStyle name="Normal 171 4 2 2" xfId="14906" xr:uid="{00000000-0005-0000-0000-0000D9370000}"/>
    <cellStyle name="Normal 171 4 3" xfId="14907" xr:uid="{00000000-0005-0000-0000-0000DA370000}"/>
    <cellStyle name="Normal 171 5" xfId="14908" xr:uid="{00000000-0005-0000-0000-0000DB370000}"/>
    <cellStyle name="Normal 171 5 2" xfId="14909" xr:uid="{00000000-0005-0000-0000-0000DC370000}"/>
    <cellStyle name="Normal 171 5 2 2" xfId="14910" xr:uid="{00000000-0005-0000-0000-0000DD370000}"/>
    <cellStyle name="Normal 171 5 3" xfId="14911" xr:uid="{00000000-0005-0000-0000-0000DE370000}"/>
    <cellStyle name="Normal 171 6" xfId="14912" xr:uid="{00000000-0005-0000-0000-0000DF370000}"/>
    <cellStyle name="Normal 171 6 2" xfId="14913" xr:uid="{00000000-0005-0000-0000-0000E0370000}"/>
    <cellStyle name="Normal 171 6 2 2" xfId="14914" xr:uid="{00000000-0005-0000-0000-0000E1370000}"/>
    <cellStyle name="Normal 171 6 3" xfId="14915" xr:uid="{00000000-0005-0000-0000-0000E2370000}"/>
    <cellStyle name="Normal 171 7" xfId="14916" xr:uid="{00000000-0005-0000-0000-0000E3370000}"/>
    <cellStyle name="Normal 172" xfId="14917" xr:uid="{00000000-0005-0000-0000-0000E4370000}"/>
    <cellStyle name="Normal 172 2" xfId="14918" xr:uid="{00000000-0005-0000-0000-0000E5370000}"/>
    <cellStyle name="Normal 172 2 2" xfId="14919" xr:uid="{00000000-0005-0000-0000-0000E6370000}"/>
    <cellStyle name="Normal 172 2 2 2" xfId="14920" xr:uid="{00000000-0005-0000-0000-0000E7370000}"/>
    <cellStyle name="Normal 172 2 3" xfId="14921" xr:uid="{00000000-0005-0000-0000-0000E8370000}"/>
    <cellStyle name="Normal 172 2 3 2" xfId="14922" xr:uid="{00000000-0005-0000-0000-0000E9370000}"/>
    <cellStyle name="Normal 172 2 3 2 2" xfId="14923" xr:uid="{00000000-0005-0000-0000-0000EA370000}"/>
    <cellStyle name="Normal 172 2 3 3" xfId="14924" xr:uid="{00000000-0005-0000-0000-0000EB370000}"/>
    <cellStyle name="Normal 172 2 4" xfId="14925" xr:uid="{00000000-0005-0000-0000-0000EC370000}"/>
    <cellStyle name="Normal 172 2 4 2" xfId="14926" xr:uid="{00000000-0005-0000-0000-0000ED370000}"/>
    <cellStyle name="Normal 172 2 4 2 2" xfId="14927" xr:uid="{00000000-0005-0000-0000-0000EE370000}"/>
    <cellStyle name="Normal 172 2 4 3" xfId="14928" xr:uid="{00000000-0005-0000-0000-0000EF370000}"/>
    <cellStyle name="Normal 172 2 5" xfId="14929" xr:uid="{00000000-0005-0000-0000-0000F0370000}"/>
    <cellStyle name="Normal 172 3" xfId="14930" xr:uid="{00000000-0005-0000-0000-0000F1370000}"/>
    <cellStyle name="Normal 172 3 2" xfId="14931" xr:uid="{00000000-0005-0000-0000-0000F2370000}"/>
    <cellStyle name="Normal 172 3 2 2" xfId="14932" xr:uid="{00000000-0005-0000-0000-0000F3370000}"/>
    <cellStyle name="Normal 172 3 2 2 2" xfId="14933" xr:uid="{00000000-0005-0000-0000-0000F4370000}"/>
    <cellStyle name="Normal 172 3 2 3" xfId="14934" xr:uid="{00000000-0005-0000-0000-0000F5370000}"/>
    <cellStyle name="Normal 172 3 2 3 2" xfId="14935" xr:uid="{00000000-0005-0000-0000-0000F6370000}"/>
    <cellStyle name="Normal 172 3 2 3 2 2" xfId="14936" xr:uid="{00000000-0005-0000-0000-0000F7370000}"/>
    <cellStyle name="Normal 172 3 2 3 3" xfId="14937" xr:uid="{00000000-0005-0000-0000-0000F8370000}"/>
    <cellStyle name="Normal 172 3 2 4" xfId="14938" xr:uid="{00000000-0005-0000-0000-0000F9370000}"/>
    <cellStyle name="Normal 172 3 3" xfId="14939" xr:uid="{00000000-0005-0000-0000-0000FA370000}"/>
    <cellStyle name="Normal 172 3 3 2" xfId="14940" xr:uid="{00000000-0005-0000-0000-0000FB370000}"/>
    <cellStyle name="Normal 172 3 3 2 2" xfId="14941" xr:uid="{00000000-0005-0000-0000-0000FC370000}"/>
    <cellStyle name="Normal 172 3 3 3" xfId="14942" xr:uid="{00000000-0005-0000-0000-0000FD370000}"/>
    <cellStyle name="Normal 172 3 4" xfId="14943" xr:uid="{00000000-0005-0000-0000-0000FE370000}"/>
    <cellStyle name="Normal 172 3 4 2" xfId="14944" xr:uid="{00000000-0005-0000-0000-0000FF370000}"/>
    <cellStyle name="Normal 172 3 4 2 2" xfId="14945" xr:uid="{00000000-0005-0000-0000-000000380000}"/>
    <cellStyle name="Normal 172 3 4 3" xfId="14946" xr:uid="{00000000-0005-0000-0000-000001380000}"/>
    <cellStyle name="Normal 172 3 5" xfId="14947" xr:uid="{00000000-0005-0000-0000-000002380000}"/>
    <cellStyle name="Normal 172 3 5 2" xfId="14948" xr:uid="{00000000-0005-0000-0000-000003380000}"/>
    <cellStyle name="Normal 172 3 5 2 2" xfId="14949" xr:uid="{00000000-0005-0000-0000-000004380000}"/>
    <cellStyle name="Normal 172 3 5 3" xfId="14950" xr:uid="{00000000-0005-0000-0000-000005380000}"/>
    <cellStyle name="Normal 172 3 6" xfId="14951" xr:uid="{00000000-0005-0000-0000-000006380000}"/>
    <cellStyle name="Normal 172 4" xfId="14952" xr:uid="{00000000-0005-0000-0000-000007380000}"/>
    <cellStyle name="Normal 172 4 2" xfId="14953" xr:uid="{00000000-0005-0000-0000-000008380000}"/>
    <cellStyle name="Normal 172 4 2 2" xfId="14954" xr:uid="{00000000-0005-0000-0000-000009380000}"/>
    <cellStyle name="Normal 172 4 3" xfId="14955" xr:uid="{00000000-0005-0000-0000-00000A380000}"/>
    <cellStyle name="Normal 172 5" xfId="14956" xr:uid="{00000000-0005-0000-0000-00000B380000}"/>
    <cellStyle name="Normal 172 5 2" xfId="14957" xr:uid="{00000000-0005-0000-0000-00000C380000}"/>
    <cellStyle name="Normal 172 5 2 2" xfId="14958" xr:uid="{00000000-0005-0000-0000-00000D380000}"/>
    <cellStyle name="Normal 172 5 3" xfId="14959" xr:uid="{00000000-0005-0000-0000-00000E380000}"/>
    <cellStyle name="Normal 172 6" xfId="14960" xr:uid="{00000000-0005-0000-0000-00000F380000}"/>
    <cellStyle name="Normal 172 6 2" xfId="14961" xr:uid="{00000000-0005-0000-0000-000010380000}"/>
    <cellStyle name="Normal 172 6 2 2" xfId="14962" xr:uid="{00000000-0005-0000-0000-000011380000}"/>
    <cellStyle name="Normal 172 6 3" xfId="14963" xr:uid="{00000000-0005-0000-0000-000012380000}"/>
    <cellStyle name="Normal 172 7" xfId="14964" xr:uid="{00000000-0005-0000-0000-000013380000}"/>
    <cellStyle name="Normal 173" xfId="14965" xr:uid="{00000000-0005-0000-0000-000014380000}"/>
    <cellStyle name="Normal 173 2" xfId="14966" xr:uid="{00000000-0005-0000-0000-000015380000}"/>
    <cellStyle name="Normal 173 2 2" xfId="14967" xr:uid="{00000000-0005-0000-0000-000016380000}"/>
    <cellStyle name="Normal 173 2 2 2" xfId="14968" xr:uid="{00000000-0005-0000-0000-000017380000}"/>
    <cellStyle name="Normal 173 2 3" xfId="14969" xr:uid="{00000000-0005-0000-0000-000018380000}"/>
    <cellStyle name="Normal 173 2 3 2" xfId="14970" xr:uid="{00000000-0005-0000-0000-000019380000}"/>
    <cellStyle name="Normal 173 2 3 2 2" xfId="14971" xr:uid="{00000000-0005-0000-0000-00001A380000}"/>
    <cellStyle name="Normal 173 2 3 3" xfId="14972" xr:uid="{00000000-0005-0000-0000-00001B380000}"/>
    <cellStyle name="Normal 173 2 4" xfId="14973" xr:uid="{00000000-0005-0000-0000-00001C380000}"/>
    <cellStyle name="Normal 173 2 4 2" xfId="14974" xr:uid="{00000000-0005-0000-0000-00001D380000}"/>
    <cellStyle name="Normal 173 2 4 2 2" xfId="14975" xr:uid="{00000000-0005-0000-0000-00001E380000}"/>
    <cellStyle name="Normal 173 2 4 3" xfId="14976" xr:uid="{00000000-0005-0000-0000-00001F380000}"/>
    <cellStyle name="Normal 173 2 5" xfId="14977" xr:uid="{00000000-0005-0000-0000-000020380000}"/>
    <cellStyle name="Normal 173 3" xfId="14978" xr:uid="{00000000-0005-0000-0000-000021380000}"/>
    <cellStyle name="Normal 173 3 2" xfId="14979" xr:uid="{00000000-0005-0000-0000-000022380000}"/>
    <cellStyle name="Normal 173 3 2 2" xfId="14980" xr:uid="{00000000-0005-0000-0000-000023380000}"/>
    <cellStyle name="Normal 173 3 2 2 2" xfId="14981" xr:uid="{00000000-0005-0000-0000-000024380000}"/>
    <cellStyle name="Normal 173 3 2 3" xfId="14982" xr:uid="{00000000-0005-0000-0000-000025380000}"/>
    <cellStyle name="Normal 173 3 2 3 2" xfId="14983" xr:uid="{00000000-0005-0000-0000-000026380000}"/>
    <cellStyle name="Normal 173 3 2 3 2 2" xfId="14984" xr:uid="{00000000-0005-0000-0000-000027380000}"/>
    <cellStyle name="Normal 173 3 2 3 3" xfId="14985" xr:uid="{00000000-0005-0000-0000-000028380000}"/>
    <cellStyle name="Normal 173 3 2 4" xfId="14986" xr:uid="{00000000-0005-0000-0000-000029380000}"/>
    <cellStyle name="Normal 173 3 3" xfId="14987" xr:uid="{00000000-0005-0000-0000-00002A380000}"/>
    <cellStyle name="Normal 173 3 3 2" xfId="14988" xr:uid="{00000000-0005-0000-0000-00002B380000}"/>
    <cellStyle name="Normal 173 3 3 2 2" xfId="14989" xr:uid="{00000000-0005-0000-0000-00002C380000}"/>
    <cellStyle name="Normal 173 3 3 3" xfId="14990" xr:uid="{00000000-0005-0000-0000-00002D380000}"/>
    <cellStyle name="Normal 173 3 4" xfId="14991" xr:uid="{00000000-0005-0000-0000-00002E380000}"/>
    <cellStyle name="Normal 173 3 4 2" xfId="14992" xr:uid="{00000000-0005-0000-0000-00002F380000}"/>
    <cellStyle name="Normal 173 3 4 2 2" xfId="14993" xr:uid="{00000000-0005-0000-0000-000030380000}"/>
    <cellStyle name="Normal 173 3 4 3" xfId="14994" xr:uid="{00000000-0005-0000-0000-000031380000}"/>
    <cellStyle name="Normal 173 3 5" xfId="14995" xr:uid="{00000000-0005-0000-0000-000032380000}"/>
    <cellStyle name="Normal 173 3 5 2" xfId="14996" xr:uid="{00000000-0005-0000-0000-000033380000}"/>
    <cellStyle name="Normal 173 3 5 2 2" xfId="14997" xr:uid="{00000000-0005-0000-0000-000034380000}"/>
    <cellStyle name="Normal 173 3 5 3" xfId="14998" xr:uid="{00000000-0005-0000-0000-000035380000}"/>
    <cellStyle name="Normal 173 3 6" xfId="14999" xr:uid="{00000000-0005-0000-0000-000036380000}"/>
    <cellStyle name="Normal 173 4" xfId="15000" xr:uid="{00000000-0005-0000-0000-000037380000}"/>
    <cellStyle name="Normal 173 4 2" xfId="15001" xr:uid="{00000000-0005-0000-0000-000038380000}"/>
    <cellStyle name="Normal 173 4 2 2" xfId="15002" xr:uid="{00000000-0005-0000-0000-000039380000}"/>
    <cellStyle name="Normal 173 4 3" xfId="15003" xr:uid="{00000000-0005-0000-0000-00003A380000}"/>
    <cellStyle name="Normal 173 5" xfId="15004" xr:uid="{00000000-0005-0000-0000-00003B380000}"/>
    <cellStyle name="Normal 173 5 2" xfId="15005" xr:uid="{00000000-0005-0000-0000-00003C380000}"/>
    <cellStyle name="Normal 173 5 2 2" xfId="15006" xr:uid="{00000000-0005-0000-0000-00003D380000}"/>
    <cellStyle name="Normal 173 5 3" xfId="15007" xr:uid="{00000000-0005-0000-0000-00003E380000}"/>
    <cellStyle name="Normal 173 6" xfId="15008" xr:uid="{00000000-0005-0000-0000-00003F380000}"/>
    <cellStyle name="Normal 173 6 2" xfId="15009" xr:uid="{00000000-0005-0000-0000-000040380000}"/>
    <cellStyle name="Normal 173 6 2 2" xfId="15010" xr:uid="{00000000-0005-0000-0000-000041380000}"/>
    <cellStyle name="Normal 173 6 3" xfId="15011" xr:uid="{00000000-0005-0000-0000-000042380000}"/>
    <cellStyle name="Normal 173 7" xfId="15012" xr:uid="{00000000-0005-0000-0000-000043380000}"/>
    <cellStyle name="Normal 174" xfId="15013" xr:uid="{00000000-0005-0000-0000-000044380000}"/>
    <cellStyle name="Normal 174 2" xfId="15014" xr:uid="{00000000-0005-0000-0000-000045380000}"/>
    <cellStyle name="Normal 174 2 2" xfId="15015" xr:uid="{00000000-0005-0000-0000-000046380000}"/>
    <cellStyle name="Normal 174 2 2 2" xfId="15016" xr:uid="{00000000-0005-0000-0000-000047380000}"/>
    <cellStyle name="Normal 174 2 3" xfId="15017" xr:uid="{00000000-0005-0000-0000-000048380000}"/>
    <cellStyle name="Normal 174 2 3 2" xfId="15018" xr:uid="{00000000-0005-0000-0000-000049380000}"/>
    <cellStyle name="Normal 174 2 3 2 2" xfId="15019" xr:uid="{00000000-0005-0000-0000-00004A380000}"/>
    <cellStyle name="Normal 174 2 3 3" xfId="15020" xr:uid="{00000000-0005-0000-0000-00004B380000}"/>
    <cellStyle name="Normal 174 2 4" xfId="15021" xr:uid="{00000000-0005-0000-0000-00004C380000}"/>
    <cellStyle name="Normal 174 2 4 2" xfId="15022" xr:uid="{00000000-0005-0000-0000-00004D380000}"/>
    <cellStyle name="Normal 174 2 4 2 2" xfId="15023" xr:uid="{00000000-0005-0000-0000-00004E380000}"/>
    <cellStyle name="Normal 174 2 4 3" xfId="15024" xr:uid="{00000000-0005-0000-0000-00004F380000}"/>
    <cellStyle name="Normal 174 2 5" xfId="15025" xr:uid="{00000000-0005-0000-0000-000050380000}"/>
    <cellStyle name="Normal 174 3" xfId="15026" xr:uid="{00000000-0005-0000-0000-000051380000}"/>
    <cellStyle name="Normal 174 3 2" xfId="15027" xr:uid="{00000000-0005-0000-0000-000052380000}"/>
    <cellStyle name="Normal 174 3 2 2" xfId="15028" xr:uid="{00000000-0005-0000-0000-000053380000}"/>
    <cellStyle name="Normal 174 3 2 2 2" xfId="15029" xr:uid="{00000000-0005-0000-0000-000054380000}"/>
    <cellStyle name="Normal 174 3 2 3" xfId="15030" xr:uid="{00000000-0005-0000-0000-000055380000}"/>
    <cellStyle name="Normal 174 3 2 3 2" xfId="15031" xr:uid="{00000000-0005-0000-0000-000056380000}"/>
    <cellStyle name="Normal 174 3 2 3 2 2" xfId="15032" xr:uid="{00000000-0005-0000-0000-000057380000}"/>
    <cellStyle name="Normal 174 3 2 3 3" xfId="15033" xr:uid="{00000000-0005-0000-0000-000058380000}"/>
    <cellStyle name="Normal 174 3 2 4" xfId="15034" xr:uid="{00000000-0005-0000-0000-000059380000}"/>
    <cellStyle name="Normal 174 3 3" xfId="15035" xr:uid="{00000000-0005-0000-0000-00005A380000}"/>
    <cellStyle name="Normal 174 3 3 2" xfId="15036" xr:uid="{00000000-0005-0000-0000-00005B380000}"/>
    <cellStyle name="Normal 174 3 3 2 2" xfId="15037" xr:uid="{00000000-0005-0000-0000-00005C380000}"/>
    <cellStyle name="Normal 174 3 3 3" xfId="15038" xr:uid="{00000000-0005-0000-0000-00005D380000}"/>
    <cellStyle name="Normal 174 3 4" xfId="15039" xr:uid="{00000000-0005-0000-0000-00005E380000}"/>
    <cellStyle name="Normal 174 3 4 2" xfId="15040" xr:uid="{00000000-0005-0000-0000-00005F380000}"/>
    <cellStyle name="Normal 174 3 4 2 2" xfId="15041" xr:uid="{00000000-0005-0000-0000-000060380000}"/>
    <cellStyle name="Normal 174 3 4 3" xfId="15042" xr:uid="{00000000-0005-0000-0000-000061380000}"/>
    <cellStyle name="Normal 174 3 5" xfId="15043" xr:uid="{00000000-0005-0000-0000-000062380000}"/>
    <cellStyle name="Normal 174 3 5 2" xfId="15044" xr:uid="{00000000-0005-0000-0000-000063380000}"/>
    <cellStyle name="Normal 174 3 5 2 2" xfId="15045" xr:uid="{00000000-0005-0000-0000-000064380000}"/>
    <cellStyle name="Normal 174 3 5 3" xfId="15046" xr:uid="{00000000-0005-0000-0000-000065380000}"/>
    <cellStyle name="Normal 174 3 6" xfId="15047" xr:uid="{00000000-0005-0000-0000-000066380000}"/>
    <cellStyle name="Normal 174 4" xfId="15048" xr:uid="{00000000-0005-0000-0000-000067380000}"/>
    <cellStyle name="Normal 174 4 2" xfId="15049" xr:uid="{00000000-0005-0000-0000-000068380000}"/>
    <cellStyle name="Normal 174 4 2 2" xfId="15050" xr:uid="{00000000-0005-0000-0000-000069380000}"/>
    <cellStyle name="Normal 174 4 3" xfId="15051" xr:uid="{00000000-0005-0000-0000-00006A380000}"/>
    <cellStyle name="Normal 174 5" xfId="15052" xr:uid="{00000000-0005-0000-0000-00006B380000}"/>
    <cellStyle name="Normal 174 5 2" xfId="15053" xr:uid="{00000000-0005-0000-0000-00006C380000}"/>
    <cellStyle name="Normal 174 5 2 2" xfId="15054" xr:uid="{00000000-0005-0000-0000-00006D380000}"/>
    <cellStyle name="Normal 174 5 3" xfId="15055" xr:uid="{00000000-0005-0000-0000-00006E380000}"/>
    <cellStyle name="Normal 174 6" xfId="15056" xr:uid="{00000000-0005-0000-0000-00006F380000}"/>
    <cellStyle name="Normal 174 6 2" xfId="15057" xr:uid="{00000000-0005-0000-0000-000070380000}"/>
    <cellStyle name="Normal 174 6 2 2" xfId="15058" xr:uid="{00000000-0005-0000-0000-000071380000}"/>
    <cellStyle name="Normal 174 6 3" xfId="15059" xr:uid="{00000000-0005-0000-0000-000072380000}"/>
    <cellStyle name="Normal 174 7" xfId="15060" xr:uid="{00000000-0005-0000-0000-000073380000}"/>
    <cellStyle name="Normal 175" xfId="15061" xr:uid="{00000000-0005-0000-0000-000074380000}"/>
    <cellStyle name="Normal 175 2" xfId="15062" xr:uid="{00000000-0005-0000-0000-000075380000}"/>
    <cellStyle name="Normal 175 2 2" xfId="15063" xr:uid="{00000000-0005-0000-0000-000076380000}"/>
    <cellStyle name="Normal 175 2 2 2" xfId="15064" xr:uid="{00000000-0005-0000-0000-000077380000}"/>
    <cellStyle name="Normal 175 2 3" xfId="15065" xr:uid="{00000000-0005-0000-0000-000078380000}"/>
    <cellStyle name="Normal 175 2 3 2" xfId="15066" xr:uid="{00000000-0005-0000-0000-000079380000}"/>
    <cellStyle name="Normal 175 2 3 2 2" xfId="15067" xr:uid="{00000000-0005-0000-0000-00007A380000}"/>
    <cellStyle name="Normal 175 2 3 3" xfId="15068" xr:uid="{00000000-0005-0000-0000-00007B380000}"/>
    <cellStyle name="Normal 175 2 4" xfId="15069" xr:uid="{00000000-0005-0000-0000-00007C380000}"/>
    <cellStyle name="Normal 175 2 4 2" xfId="15070" xr:uid="{00000000-0005-0000-0000-00007D380000}"/>
    <cellStyle name="Normal 175 2 4 2 2" xfId="15071" xr:uid="{00000000-0005-0000-0000-00007E380000}"/>
    <cellStyle name="Normal 175 2 4 3" xfId="15072" xr:uid="{00000000-0005-0000-0000-00007F380000}"/>
    <cellStyle name="Normal 175 2 5" xfId="15073" xr:uid="{00000000-0005-0000-0000-000080380000}"/>
    <cellStyle name="Normal 175 3" xfId="15074" xr:uid="{00000000-0005-0000-0000-000081380000}"/>
    <cellStyle name="Normal 175 3 2" xfId="15075" xr:uid="{00000000-0005-0000-0000-000082380000}"/>
    <cellStyle name="Normal 175 3 2 2" xfId="15076" xr:uid="{00000000-0005-0000-0000-000083380000}"/>
    <cellStyle name="Normal 175 3 2 2 2" xfId="15077" xr:uid="{00000000-0005-0000-0000-000084380000}"/>
    <cellStyle name="Normal 175 3 2 3" xfId="15078" xr:uid="{00000000-0005-0000-0000-000085380000}"/>
    <cellStyle name="Normal 175 3 2 3 2" xfId="15079" xr:uid="{00000000-0005-0000-0000-000086380000}"/>
    <cellStyle name="Normal 175 3 2 3 2 2" xfId="15080" xr:uid="{00000000-0005-0000-0000-000087380000}"/>
    <cellStyle name="Normal 175 3 2 3 3" xfId="15081" xr:uid="{00000000-0005-0000-0000-000088380000}"/>
    <cellStyle name="Normal 175 3 2 4" xfId="15082" xr:uid="{00000000-0005-0000-0000-000089380000}"/>
    <cellStyle name="Normal 175 3 3" xfId="15083" xr:uid="{00000000-0005-0000-0000-00008A380000}"/>
    <cellStyle name="Normal 175 3 3 2" xfId="15084" xr:uid="{00000000-0005-0000-0000-00008B380000}"/>
    <cellStyle name="Normal 175 3 3 2 2" xfId="15085" xr:uid="{00000000-0005-0000-0000-00008C380000}"/>
    <cellStyle name="Normal 175 3 3 3" xfId="15086" xr:uid="{00000000-0005-0000-0000-00008D380000}"/>
    <cellStyle name="Normal 175 3 4" xfId="15087" xr:uid="{00000000-0005-0000-0000-00008E380000}"/>
    <cellStyle name="Normal 175 3 4 2" xfId="15088" xr:uid="{00000000-0005-0000-0000-00008F380000}"/>
    <cellStyle name="Normal 175 3 4 2 2" xfId="15089" xr:uid="{00000000-0005-0000-0000-000090380000}"/>
    <cellStyle name="Normal 175 3 4 3" xfId="15090" xr:uid="{00000000-0005-0000-0000-000091380000}"/>
    <cellStyle name="Normal 175 3 5" xfId="15091" xr:uid="{00000000-0005-0000-0000-000092380000}"/>
    <cellStyle name="Normal 175 3 5 2" xfId="15092" xr:uid="{00000000-0005-0000-0000-000093380000}"/>
    <cellStyle name="Normal 175 3 5 2 2" xfId="15093" xr:uid="{00000000-0005-0000-0000-000094380000}"/>
    <cellStyle name="Normal 175 3 5 3" xfId="15094" xr:uid="{00000000-0005-0000-0000-000095380000}"/>
    <cellStyle name="Normal 175 3 6" xfId="15095" xr:uid="{00000000-0005-0000-0000-000096380000}"/>
    <cellStyle name="Normal 175 4" xfId="15096" xr:uid="{00000000-0005-0000-0000-000097380000}"/>
    <cellStyle name="Normal 175 4 2" xfId="15097" xr:uid="{00000000-0005-0000-0000-000098380000}"/>
    <cellStyle name="Normal 175 4 2 2" xfId="15098" xr:uid="{00000000-0005-0000-0000-000099380000}"/>
    <cellStyle name="Normal 175 4 3" xfId="15099" xr:uid="{00000000-0005-0000-0000-00009A380000}"/>
    <cellStyle name="Normal 175 5" xfId="15100" xr:uid="{00000000-0005-0000-0000-00009B380000}"/>
    <cellStyle name="Normal 175 5 2" xfId="15101" xr:uid="{00000000-0005-0000-0000-00009C380000}"/>
    <cellStyle name="Normal 175 5 2 2" xfId="15102" xr:uid="{00000000-0005-0000-0000-00009D380000}"/>
    <cellStyle name="Normal 175 5 3" xfId="15103" xr:uid="{00000000-0005-0000-0000-00009E380000}"/>
    <cellStyle name="Normal 175 6" xfId="15104" xr:uid="{00000000-0005-0000-0000-00009F380000}"/>
    <cellStyle name="Normal 175 6 2" xfId="15105" xr:uid="{00000000-0005-0000-0000-0000A0380000}"/>
    <cellStyle name="Normal 175 6 2 2" xfId="15106" xr:uid="{00000000-0005-0000-0000-0000A1380000}"/>
    <cellStyle name="Normal 175 6 3" xfId="15107" xr:uid="{00000000-0005-0000-0000-0000A2380000}"/>
    <cellStyle name="Normal 175 7" xfId="15108" xr:uid="{00000000-0005-0000-0000-0000A3380000}"/>
    <cellStyle name="Normal 176" xfId="15109" xr:uid="{00000000-0005-0000-0000-0000A4380000}"/>
    <cellStyle name="Normal 176 2" xfId="15110" xr:uid="{00000000-0005-0000-0000-0000A5380000}"/>
    <cellStyle name="Normal 176 2 2" xfId="15111" xr:uid="{00000000-0005-0000-0000-0000A6380000}"/>
    <cellStyle name="Normal 176 2 2 2" xfId="15112" xr:uid="{00000000-0005-0000-0000-0000A7380000}"/>
    <cellStyle name="Normal 176 2 3" xfId="15113" xr:uid="{00000000-0005-0000-0000-0000A8380000}"/>
    <cellStyle name="Normal 176 2 3 2" xfId="15114" xr:uid="{00000000-0005-0000-0000-0000A9380000}"/>
    <cellStyle name="Normal 176 2 3 2 2" xfId="15115" xr:uid="{00000000-0005-0000-0000-0000AA380000}"/>
    <cellStyle name="Normal 176 2 3 3" xfId="15116" xr:uid="{00000000-0005-0000-0000-0000AB380000}"/>
    <cellStyle name="Normal 176 2 4" xfId="15117" xr:uid="{00000000-0005-0000-0000-0000AC380000}"/>
    <cellStyle name="Normal 176 2 4 2" xfId="15118" xr:uid="{00000000-0005-0000-0000-0000AD380000}"/>
    <cellStyle name="Normal 176 2 4 2 2" xfId="15119" xr:uid="{00000000-0005-0000-0000-0000AE380000}"/>
    <cellStyle name="Normal 176 2 4 3" xfId="15120" xr:uid="{00000000-0005-0000-0000-0000AF380000}"/>
    <cellStyle name="Normal 176 2 5" xfId="15121" xr:uid="{00000000-0005-0000-0000-0000B0380000}"/>
    <cellStyle name="Normal 176 3" xfId="15122" xr:uid="{00000000-0005-0000-0000-0000B1380000}"/>
    <cellStyle name="Normal 176 3 2" xfId="15123" xr:uid="{00000000-0005-0000-0000-0000B2380000}"/>
    <cellStyle name="Normal 176 3 2 2" xfId="15124" xr:uid="{00000000-0005-0000-0000-0000B3380000}"/>
    <cellStyle name="Normal 176 3 2 2 2" xfId="15125" xr:uid="{00000000-0005-0000-0000-0000B4380000}"/>
    <cellStyle name="Normal 176 3 2 3" xfId="15126" xr:uid="{00000000-0005-0000-0000-0000B5380000}"/>
    <cellStyle name="Normal 176 3 2 3 2" xfId="15127" xr:uid="{00000000-0005-0000-0000-0000B6380000}"/>
    <cellStyle name="Normal 176 3 2 3 2 2" xfId="15128" xr:uid="{00000000-0005-0000-0000-0000B7380000}"/>
    <cellStyle name="Normal 176 3 2 3 3" xfId="15129" xr:uid="{00000000-0005-0000-0000-0000B8380000}"/>
    <cellStyle name="Normal 176 3 2 4" xfId="15130" xr:uid="{00000000-0005-0000-0000-0000B9380000}"/>
    <cellStyle name="Normal 176 3 3" xfId="15131" xr:uid="{00000000-0005-0000-0000-0000BA380000}"/>
    <cellStyle name="Normal 176 3 3 2" xfId="15132" xr:uid="{00000000-0005-0000-0000-0000BB380000}"/>
    <cellStyle name="Normal 176 3 3 2 2" xfId="15133" xr:uid="{00000000-0005-0000-0000-0000BC380000}"/>
    <cellStyle name="Normal 176 3 3 3" xfId="15134" xr:uid="{00000000-0005-0000-0000-0000BD380000}"/>
    <cellStyle name="Normal 176 3 4" xfId="15135" xr:uid="{00000000-0005-0000-0000-0000BE380000}"/>
    <cellStyle name="Normal 176 3 4 2" xfId="15136" xr:uid="{00000000-0005-0000-0000-0000BF380000}"/>
    <cellStyle name="Normal 176 3 4 2 2" xfId="15137" xr:uid="{00000000-0005-0000-0000-0000C0380000}"/>
    <cellStyle name="Normal 176 3 4 3" xfId="15138" xr:uid="{00000000-0005-0000-0000-0000C1380000}"/>
    <cellStyle name="Normal 176 3 5" xfId="15139" xr:uid="{00000000-0005-0000-0000-0000C2380000}"/>
    <cellStyle name="Normal 176 3 5 2" xfId="15140" xr:uid="{00000000-0005-0000-0000-0000C3380000}"/>
    <cellStyle name="Normal 176 3 5 2 2" xfId="15141" xr:uid="{00000000-0005-0000-0000-0000C4380000}"/>
    <cellStyle name="Normal 176 3 5 3" xfId="15142" xr:uid="{00000000-0005-0000-0000-0000C5380000}"/>
    <cellStyle name="Normal 176 3 6" xfId="15143" xr:uid="{00000000-0005-0000-0000-0000C6380000}"/>
    <cellStyle name="Normal 176 4" xfId="15144" xr:uid="{00000000-0005-0000-0000-0000C7380000}"/>
    <cellStyle name="Normal 176 4 2" xfId="15145" xr:uid="{00000000-0005-0000-0000-0000C8380000}"/>
    <cellStyle name="Normal 176 4 2 2" xfId="15146" xr:uid="{00000000-0005-0000-0000-0000C9380000}"/>
    <cellStyle name="Normal 176 4 3" xfId="15147" xr:uid="{00000000-0005-0000-0000-0000CA380000}"/>
    <cellStyle name="Normal 176 5" xfId="15148" xr:uid="{00000000-0005-0000-0000-0000CB380000}"/>
    <cellStyle name="Normal 176 5 2" xfId="15149" xr:uid="{00000000-0005-0000-0000-0000CC380000}"/>
    <cellStyle name="Normal 176 5 2 2" xfId="15150" xr:uid="{00000000-0005-0000-0000-0000CD380000}"/>
    <cellStyle name="Normal 176 5 3" xfId="15151" xr:uid="{00000000-0005-0000-0000-0000CE380000}"/>
    <cellStyle name="Normal 176 6" xfId="15152" xr:uid="{00000000-0005-0000-0000-0000CF380000}"/>
    <cellStyle name="Normal 176 6 2" xfId="15153" xr:uid="{00000000-0005-0000-0000-0000D0380000}"/>
    <cellStyle name="Normal 176 6 2 2" xfId="15154" xr:uid="{00000000-0005-0000-0000-0000D1380000}"/>
    <cellStyle name="Normal 176 6 3" xfId="15155" xr:uid="{00000000-0005-0000-0000-0000D2380000}"/>
    <cellStyle name="Normal 176 7" xfId="15156" xr:uid="{00000000-0005-0000-0000-0000D3380000}"/>
    <cellStyle name="Normal 177" xfId="15157" xr:uid="{00000000-0005-0000-0000-0000D4380000}"/>
    <cellStyle name="Normal 177 2" xfId="15158" xr:uid="{00000000-0005-0000-0000-0000D5380000}"/>
    <cellStyle name="Normal 177 2 2" xfId="15159" xr:uid="{00000000-0005-0000-0000-0000D6380000}"/>
    <cellStyle name="Normal 177 2 2 2" xfId="15160" xr:uid="{00000000-0005-0000-0000-0000D7380000}"/>
    <cellStyle name="Normal 177 2 3" xfId="15161" xr:uid="{00000000-0005-0000-0000-0000D8380000}"/>
    <cellStyle name="Normal 177 2 3 2" xfId="15162" xr:uid="{00000000-0005-0000-0000-0000D9380000}"/>
    <cellStyle name="Normal 177 2 3 2 2" xfId="15163" xr:uid="{00000000-0005-0000-0000-0000DA380000}"/>
    <cellStyle name="Normal 177 2 3 3" xfId="15164" xr:uid="{00000000-0005-0000-0000-0000DB380000}"/>
    <cellStyle name="Normal 177 2 4" xfId="15165" xr:uid="{00000000-0005-0000-0000-0000DC380000}"/>
    <cellStyle name="Normal 177 2 4 2" xfId="15166" xr:uid="{00000000-0005-0000-0000-0000DD380000}"/>
    <cellStyle name="Normal 177 2 4 2 2" xfId="15167" xr:uid="{00000000-0005-0000-0000-0000DE380000}"/>
    <cellStyle name="Normal 177 2 4 3" xfId="15168" xr:uid="{00000000-0005-0000-0000-0000DF380000}"/>
    <cellStyle name="Normal 177 2 5" xfId="15169" xr:uid="{00000000-0005-0000-0000-0000E0380000}"/>
    <cellStyle name="Normal 177 3" xfId="15170" xr:uid="{00000000-0005-0000-0000-0000E1380000}"/>
    <cellStyle name="Normal 177 3 2" xfId="15171" xr:uid="{00000000-0005-0000-0000-0000E2380000}"/>
    <cellStyle name="Normal 177 3 2 2" xfId="15172" xr:uid="{00000000-0005-0000-0000-0000E3380000}"/>
    <cellStyle name="Normal 177 3 2 2 2" xfId="15173" xr:uid="{00000000-0005-0000-0000-0000E4380000}"/>
    <cellStyle name="Normal 177 3 2 3" xfId="15174" xr:uid="{00000000-0005-0000-0000-0000E5380000}"/>
    <cellStyle name="Normal 177 3 2 3 2" xfId="15175" xr:uid="{00000000-0005-0000-0000-0000E6380000}"/>
    <cellStyle name="Normal 177 3 2 3 2 2" xfId="15176" xr:uid="{00000000-0005-0000-0000-0000E7380000}"/>
    <cellStyle name="Normal 177 3 2 3 3" xfId="15177" xr:uid="{00000000-0005-0000-0000-0000E8380000}"/>
    <cellStyle name="Normal 177 3 2 4" xfId="15178" xr:uid="{00000000-0005-0000-0000-0000E9380000}"/>
    <cellStyle name="Normal 177 3 3" xfId="15179" xr:uid="{00000000-0005-0000-0000-0000EA380000}"/>
    <cellStyle name="Normal 177 3 3 2" xfId="15180" xr:uid="{00000000-0005-0000-0000-0000EB380000}"/>
    <cellStyle name="Normal 177 3 3 2 2" xfId="15181" xr:uid="{00000000-0005-0000-0000-0000EC380000}"/>
    <cellStyle name="Normal 177 3 3 3" xfId="15182" xr:uid="{00000000-0005-0000-0000-0000ED380000}"/>
    <cellStyle name="Normal 177 3 4" xfId="15183" xr:uid="{00000000-0005-0000-0000-0000EE380000}"/>
    <cellStyle name="Normal 177 3 4 2" xfId="15184" xr:uid="{00000000-0005-0000-0000-0000EF380000}"/>
    <cellStyle name="Normal 177 3 4 2 2" xfId="15185" xr:uid="{00000000-0005-0000-0000-0000F0380000}"/>
    <cellStyle name="Normal 177 3 4 3" xfId="15186" xr:uid="{00000000-0005-0000-0000-0000F1380000}"/>
    <cellStyle name="Normal 177 3 5" xfId="15187" xr:uid="{00000000-0005-0000-0000-0000F2380000}"/>
    <cellStyle name="Normal 177 3 5 2" xfId="15188" xr:uid="{00000000-0005-0000-0000-0000F3380000}"/>
    <cellStyle name="Normal 177 3 5 2 2" xfId="15189" xr:uid="{00000000-0005-0000-0000-0000F4380000}"/>
    <cellStyle name="Normal 177 3 5 3" xfId="15190" xr:uid="{00000000-0005-0000-0000-0000F5380000}"/>
    <cellStyle name="Normal 177 3 6" xfId="15191" xr:uid="{00000000-0005-0000-0000-0000F6380000}"/>
    <cellStyle name="Normal 177 4" xfId="15192" xr:uid="{00000000-0005-0000-0000-0000F7380000}"/>
    <cellStyle name="Normal 177 4 2" xfId="15193" xr:uid="{00000000-0005-0000-0000-0000F8380000}"/>
    <cellStyle name="Normal 177 4 2 2" xfId="15194" xr:uid="{00000000-0005-0000-0000-0000F9380000}"/>
    <cellStyle name="Normal 177 4 3" xfId="15195" xr:uid="{00000000-0005-0000-0000-0000FA380000}"/>
    <cellStyle name="Normal 177 5" xfId="15196" xr:uid="{00000000-0005-0000-0000-0000FB380000}"/>
    <cellStyle name="Normal 177 5 2" xfId="15197" xr:uid="{00000000-0005-0000-0000-0000FC380000}"/>
    <cellStyle name="Normal 177 5 2 2" xfId="15198" xr:uid="{00000000-0005-0000-0000-0000FD380000}"/>
    <cellStyle name="Normal 177 5 3" xfId="15199" xr:uid="{00000000-0005-0000-0000-0000FE380000}"/>
    <cellStyle name="Normal 177 6" xfId="15200" xr:uid="{00000000-0005-0000-0000-0000FF380000}"/>
    <cellStyle name="Normal 177 6 2" xfId="15201" xr:uid="{00000000-0005-0000-0000-000000390000}"/>
    <cellStyle name="Normal 177 6 2 2" xfId="15202" xr:uid="{00000000-0005-0000-0000-000001390000}"/>
    <cellStyle name="Normal 177 6 3" xfId="15203" xr:uid="{00000000-0005-0000-0000-000002390000}"/>
    <cellStyle name="Normal 177 7" xfId="15204" xr:uid="{00000000-0005-0000-0000-000003390000}"/>
    <cellStyle name="Normal 178" xfId="15205" xr:uid="{00000000-0005-0000-0000-000004390000}"/>
    <cellStyle name="Normal 178 2" xfId="15206" xr:uid="{00000000-0005-0000-0000-000005390000}"/>
    <cellStyle name="Normal 178 2 2" xfId="15207" xr:uid="{00000000-0005-0000-0000-000006390000}"/>
    <cellStyle name="Normal 178 2 2 2" xfId="15208" xr:uid="{00000000-0005-0000-0000-000007390000}"/>
    <cellStyle name="Normal 178 2 3" xfId="15209" xr:uid="{00000000-0005-0000-0000-000008390000}"/>
    <cellStyle name="Normal 178 2 3 2" xfId="15210" xr:uid="{00000000-0005-0000-0000-000009390000}"/>
    <cellStyle name="Normal 178 2 3 2 2" xfId="15211" xr:uid="{00000000-0005-0000-0000-00000A390000}"/>
    <cellStyle name="Normal 178 2 3 3" xfId="15212" xr:uid="{00000000-0005-0000-0000-00000B390000}"/>
    <cellStyle name="Normal 178 2 4" xfId="15213" xr:uid="{00000000-0005-0000-0000-00000C390000}"/>
    <cellStyle name="Normal 178 2 4 2" xfId="15214" xr:uid="{00000000-0005-0000-0000-00000D390000}"/>
    <cellStyle name="Normal 178 2 4 2 2" xfId="15215" xr:uid="{00000000-0005-0000-0000-00000E390000}"/>
    <cellStyle name="Normal 178 2 4 3" xfId="15216" xr:uid="{00000000-0005-0000-0000-00000F390000}"/>
    <cellStyle name="Normal 178 2 5" xfId="15217" xr:uid="{00000000-0005-0000-0000-000010390000}"/>
    <cellStyle name="Normal 178 3" xfId="15218" xr:uid="{00000000-0005-0000-0000-000011390000}"/>
    <cellStyle name="Normal 178 3 2" xfId="15219" xr:uid="{00000000-0005-0000-0000-000012390000}"/>
    <cellStyle name="Normal 178 3 2 2" xfId="15220" xr:uid="{00000000-0005-0000-0000-000013390000}"/>
    <cellStyle name="Normal 178 3 2 2 2" xfId="15221" xr:uid="{00000000-0005-0000-0000-000014390000}"/>
    <cellStyle name="Normal 178 3 2 3" xfId="15222" xr:uid="{00000000-0005-0000-0000-000015390000}"/>
    <cellStyle name="Normal 178 3 2 3 2" xfId="15223" xr:uid="{00000000-0005-0000-0000-000016390000}"/>
    <cellStyle name="Normal 178 3 2 3 2 2" xfId="15224" xr:uid="{00000000-0005-0000-0000-000017390000}"/>
    <cellStyle name="Normal 178 3 2 3 3" xfId="15225" xr:uid="{00000000-0005-0000-0000-000018390000}"/>
    <cellStyle name="Normal 178 3 2 4" xfId="15226" xr:uid="{00000000-0005-0000-0000-000019390000}"/>
    <cellStyle name="Normal 178 3 3" xfId="15227" xr:uid="{00000000-0005-0000-0000-00001A390000}"/>
    <cellStyle name="Normal 178 3 3 2" xfId="15228" xr:uid="{00000000-0005-0000-0000-00001B390000}"/>
    <cellStyle name="Normal 178 3 3 2 2" xfId="15229" xr:uid="{00000000-0005-0000-0000-00001C390000}"/>
    <cellStyle name="Normal 178 3 3 3" xfId="15230" xr:uid="{00000000-0005-0000-0000-00001D390000}"/>
    <cellStyle name="Normal 178 3 4" xfId="15231" xr:uid="{00000000-0005-0000-0000-00001E390000}"/>
    <cellStyle name="Normal 178 3 4 2" xfId="15232" xr:uid="{00000000-0005-0000-0000-00001F390000}"/>
    <cellStyle name="Normal 178 3 4 2 2" xfId="15233" xr:uid="{00000000-0005-0000-0000-000020390000}"/>
    <cellStyle name="Normal 178 3 4 3" xfId="15234" xr:uid="{00000000-0005-0000-0000-000021390000}"/>
    <cellStyle name="Normal 178 3 5" xfId="15235" xr:uid="{00000000-0005-0000-0000-000022390000}"/>
    <cellStyle name="Normal 178 3 5 2" xfId="15236" xr:uid="{00000000-0005-0000-0000-000023390000}"/>
    <cellStyle name="Normal 178 3 5 2 2" xfId="15237" xr:uid="{00000000-0005-0000-0000-000024390000}"/>
    <cellStyle name="Normal 178 3 5 3" xfId="15238" xr:uid="{00000000-0005-0000-0000-000025390000}"/>
    <cellStyle name="Normal 178 3 6" xfId="15239" xr:uid="{00000000-0005-0000-0000-000026390000}"/>
    <cellStyle name="Normal 178 4" xfId="15240" xr:uid="{00000000-0005-0000-0000-000027390000}"/>
    <cellStyle name="Normal 178 4 2" xfId="15241" xr:uid="{00000000-0005-0000-0000-000028390000}"/>
    <cellStyle name="Normal 178 4 2 2" xfId="15242" xr:uid="{00000000-0005-0000-0000-000029390000}"/>
    <cellStyle name="Normal 178 4 3" xfId="15243" xr:uid="{00000000-0005-0000-0000-00002A390000}"/>
    <cellStyle name="Normal 178 5" xfId="15244" xr:uid="{00000000-0005-0000-0000-00002B390000}"/>
    <cellStyle name="Normal 178 5 2" xfId="15245" xr:uid="{00000000-0005-0000-0000-00002C390000}"/>
    <cellStyle name="Normal 178 5 2 2" xfId="15246" xr:uid="{00000000-0005-0000-0000-00002D390000}"/>
    <cellStyle name="Normal 178 5 3" xfId="15247" xr:uid="{00000000-0005-0000-0000-00002E390000}"/>
    <cellStyle name="Normal 178 6" xfId="15248" xr:uid="{00000000-0005-0000-0000-00002F390000}"/>
    <cellStyle name="Normal 178 6 2" xfId="15249" xr:uid="{00000000-0005-0000-0000-000030390000}"/>
    <cellStyle name="Normal 178 6 2 2" xfId="15250" xr:uid="{00000000-0005-0000-0000-000031390000}"/>
    <cellStyle name="Normal 178 6 3" xfId="15251" xr:uid="{00000000-0005-0000-0000-000032390000}"/>
    <cellStyle name="Normal 178 7" xfId="15252" xr:uid="{00000000-0005-0000-0000-000033390000}"/>
    <cellStyle name="Normal 179" xfId="15253" xr:uid="{00000000-0005-0000-0000-000034390000}"/>
    <cellStyle name="Normal 179 2" xfId="15254" xr:uid="{00000000-0005-0000-0000-000035390000}"/>
    <cellStyle name="Normal 179 2 2" xfId="15255" xr:uid="{00000000-0005-0000-0000-000036390000}"/>
    <cellStyle name="Normal 179 2 2 2" xfId="15256" xr:uid="{00000000-0005-0000-0000-000037390000}"/>
    <cellStyle name="Normal 179 2 3" xfId="15257" xr:uid="{00000000-0005-0000-0000-000038390000}"/>
    <cellStyle name="Normal 179 2 3 2" xfId="15258" xr:uid="{00000000-0005-0000-0000-000039390000}"/>
    <cellStyle name="Normal 179 2 3 2 2" xfId="15259" xr:uid="{00000000-0005-0000-0000-00003A390000}"/>
    <cellStyle name="Normal 179 2 3 3" xfId="15260" xr:uid="{00000000-0005-0000-0000-00003B390000}"/>
    <cellStyle name="Normal 179 2 4" xfId="15261" xr:uid="{00000000-0005-0000-0000-00003C390000}"/>
    <cellStyle name="Normal 179 2 4 2" xfId="15262" xr:uid="{00000000-0005-0000-0000-00003D390000}"/>
    <cellStyle name="Normal 179 2 4 2 2" xfId="15263" xr:uid="{00000000-0005-0000-0000-00003E390000}"/>
    <cellStyle name="Normal 179 2 4 3" xfId="15264" xr:uid="{00000000-0005-0000-0000-00003F390000}"/>
    <cellStyle name="Normal 179 2 5" xfId="15265" xr:uid="{00000000-0005-0000-0000-000040390000}"/>
    <cellStyle name="Normal 179 3" xfId="15266" xr:uid="{00000000-0005-0000-0000-000041390000}"/>
    <cellStyle name="Normal 179 3 2" xfId="15267" xr:uid="{00000000-0005-0000-0000-000042390000}"/>
    <cellStyle name="Normal 179 3 2 2" xfId="15268" xr:uid="{00000000-0005-0000-0000-000043390000}"/>
    <cellStyle name="Normal 179 3 2 2 2" xfId="15269" xr:uid="{00000000-0005-0000-0000-000044390000}"/>
    <cellStyle name="Normal 179 3 2 3" xfId="15270" xr:uid="{00000000-0005-0000-0000-000045390000}"/>
    <cellStyle name="Normal 179 3 2 3 2" xfId="15271" xr:uid="{00000000-0005-0000-0000-000046390000}"/>
    <cellStyle name="Normal 179 3 2 3 2 2" xfId="15272" xr:uid="{00000000-0005-0000-0000-000047390000}"/>
    <cellStyle name="Normal 179 3 2 3 3" xfId="15273" xr:uid="{00000000-0005-0000-0000-000048390000}"/>
    <cellStyle name="Normal 179 3 2 4" xfId="15274" xr:uid="{00000000-0005-0000-0000-000049390000}"/>
    <cellStyle name="Normal 179 3 3" xfId="15275" xr:uid="{00000000-0005-0000-0000-00004A390000}"/>
    <cellStyle name="Normal 179 3 3 2" xfId="15276" xr:uid="{00000000-0005-0000-0000-00004B390000}"/>
    <cellStyle name="Normal 179 3 3 2 2" xfId="15277" xr:uid="{00000000-0005-0000-0000-00004C390000}"/>
    <cellStyle name="Normal 179 3 3 3" xfId="15278" xr:uid="{00000000-0005-0000-0000-00004D390000}"/>
    <cellStyle name="Normal 179 3 4" xfId="15279" xr:uid="{00000000-0005-0000-0000-00004E390000}"/>
    <cellStyle name="Normal 179 3 4 2" xfId="15280" xr:uid="{00000000-0005-0000-0000-00004F390000}"/>
    <cellStyle name="Normal 179 3 4 2 2" xfId="15281" xr:uid="{00000000-0005-0000-0000-000050390000}"/>
    <cellStyle name="Normal 179 3 4 3" xfId="15282" xr:uid="{00000000-0005-0000-0000-000051390000}"/>
    <cellStyle name="Normal 179 3 5" xfId="15283" xr:uid="{00000000-0005-0000-0000-000052390000}"/>
    <cellStyle name="Normal 179 3 5 2" xfId="15284" xr:uid="{00000000-0005-0000-0000-000053390000}"/>
    <cellStyle name="Normal 179 3 5 2 2" xfId="15285" xr:uid="{00000000-0005-0000-0000-000054390000}"/>
    <cellStyle name="Normal 179 3 5 3" xfId="15286" xr:uid="{00000000-0005-0000-0000-000055390000}"/>
    <cellStyle name="Normal 179 3 6" xfId="15287" xr:uid="{00000000-0005-0000-0000-000056390000}"/>
    <cellStyle name="Normal 179 4" xfId="15288" xr:uid="{00000000-0005-0000-0000-000057390000}"/>
    <cellStyle name="Normal 179 4 2" xfId="15289" xr:uid="{00000000-0005-0000-0000-000058390000}"/>
    <cellStyle name="Normal 179 4 2 2" xfId="15290" xr:uid="{00000000-0005-0000-0000-000059390000}"/>
    <cellStyle name="Normal 179 4 3" xfId="15291" xr:uid="{00000000-0005-0000-0000-00005A390000}"/>
    <cellStyle name="Normal 179 5" xfId="15292" xr:uid="{00000000-0005-0000-0000-00005B390000}"/>
    <cellStyle name="Normal 179 5 2" xfId="15293" xr:uid="{00000000-0005-0000-0000-00005C390000}"/>
    <cellStyle name="Normal 179 5 2 2" xfId="15294" xr:uid="{00000000-0005-0000-0000-00005D390000}"/>
    <cellStyle name="Normal 179 5 3" xfId="15295" xr:uid="{00000000-0005-0000-0000-00005E390000}"/>
    <cellStyle name="Normal 179 6" xfId="15296" xr:uid="{00000000-0005-0000-0000-00005F390000}"/>
    <cellStyle name="Normal 179 6 2" xfId="15297" xr:uid="{00000000-0005-0000-0000-000060390000}"/>
    <cellStyle name="Normal 179 6 2 2" xfId="15298" xr:uid="{00000000-0005-0000-0000-000061390000}"/>
    <cellStyle name="Normal 179 6 3" xfId="15299" xr:uid="{00000000-0005-0000-0000-000062390000}"/>
    <cellStyle name="Normal 179 7" xfId="15300" xr:uid="{00000000-0005-0000-0000-000063390000}"/>
    <cellStyle name="Normal 18" xfId="252" xr:uid="{00000000-0005-0000-0000-000064390000}"/>
    <cellStyle name="Normal 18 2" xfId="15302" xr:uid="{00000000-0005-0000-0000-000065390000}"/>
    <cellStyle name="Normal 18 2 2" xfId="15303" xr:uid="{00000000-0005-0000-0000-000066390000}"/>
    <cellStyle name="Normal 18 2 2 2" xfId="15304" xr:uid="{00000000-0005-0000-0000-000067390000}"/>
    <cellStyle name="Normal 18 2 2 2 2" xfId="15305" xr:uid="{00000000-0005-0000-0000-000068390000}"/>
    <cellStyle name="Normal 18 2 2 3" xfId="15306" xr:uid="{00000000-0005-0000-0000-000069390000}"/>
    <cellStyle name="Normal 18 2 2 3 2" xfId="15307" xr:uid="{00000000-0005-0000-0000-00006A390000}"/>
    <cellStyle name="Normal 18 2 2 3 2 2" xfId="15308" xr:uid="{00000000-0005-0000-0000-00006B390000}"/>
    <cellStyle name="Normal 18 2 2 3 3" xfId="15309" xr:uid="{00000000-0005-0000-0000-00006C390000}"/>
    <cellStyle name="Normal 18 2 2 4" xfId="15310" xr:uid="{00000000-0005-0000-0000-00006D390000}"/>
    <cellStyle name="Normal 18 2 2 4 2" xfId="15311" xr:uid="{00000000-0005-0000-0000-00006E390000}"/>
    <cellStyle name="Normal 18 2 2 4 2 2" xfId="15312" xr:uid="{00000000-0005-0000-0000-00006F390000}"/>
    <cellStyle name="Normal 18 2 2 4 3" xfId="15313" xr:uid="{00000000-0005-0000-0000-000070390000}"/>
    <cellStyle name="Normal 18 2 2 5" xfId="15314" xr:uid="{00000000-0005-0000-0000-000071390000}"/>
    <cellStyle name="Normal 18 2 3" xfId="15315" xr:uid="{00000000-0005-0000-0000-000072390000}"/>
    <cellStyle name="Normal 18 2 3 2" xfId="15316" xr:uid="{00000000-0005-0000-0000-000073390000}"/>
    <cellStyle name="Normal 18 2 3 2 2" xfId="15317" xr:uid="{00000000-0005-0000-0000-000074390000}"/>
    <cellStyle name="Normal 18 2 3 2 2 2" xfId="15318" xr:uid="{00000000-0005-0000-0000-000075390000}"/>
    <cellStyle name="Normal 18 2 3 2 3" xfId="15319" xr:uid="{00000000-0005-0000-0000-000076390000}"/>
    <cellStyle name="Normal 18 2 3 2 3 2" xfId="15320" xr:uid="{00000000-0005-0000-0000-000077390000}"/>
    <cellStyle name="Normal 18 2 3 2 3 2 2" xfId="15321" xr:uid="{00000000-0005-0000-0000-000078390000}"/>
    <cellStyle name="Normal 18 2 3 2 3 3" xfId="15322" xr:uid="{00000000-0005-0000-0000-000079390000}"/>
    <cellStyle name="Normal 18 2 3 2 4" xfId="15323" xr:uid="{00000000-0005-0000-0000-00007A390000}"/>
    <cellStyle name="Normal 18 2 3 3" xfId="15324" xr:uid="{00000000-0005-0000-0000-00007B390000}"/>
    <cellStyle name="Normal 18 2 3 3 2" xfId="15325" xr:uid="{00000000-0005-0000-0000-00007C390000}"/>
    <cellStyle name="Normal 18 2 3 3 2 2" xfId="15326" xr:uid="{00000000-0005-0000-0000-00007D390000}"/>
    <cellStyle name="Normal 18 2 3 3 3" xfId="15327" xr:uid="{00000000-0005-0000-0000-00007E390000}"/>
    <cellStyle name="Normal 18 2 3 4" xfId="15328" xr:uid="{00000000-0005-0000-0000-00007F390000}"/>
    <cellStyle name="Normal 18 2 3 4 2" xfId="15329" xr:uid="{00000000-0005-0000-0000-000080390000}"/>
    <cellStyle name="Normal 18 2 3 4 2 2" xfId="15330" xr:uid="{00000000-0005-0000-0000-000081390000}"/>
    <cellStyle name="Normal 18 2 3 4 3" xfId="15331" xr:uid="{00000000-0005-0000-0000-000082390000}"/>
    <cellStyle name="Normal 18 2 3 5" xfId="15332" xr:uid="{00000000-0005-0000-0000-000083390000}"/>
    <cellStyle name="Normal 18 2 3 5 2" xfId="15333" xr:uid="{00000000-0005-0000-0000-000084390000}"/>
    <cellStyle name="Normal 18 2 3 5 2 2" xfId="15334" xr:uid="{00000000-0005-0000-0000-000085390000}"/>
    <cellStyle name="Normal 18 2 3 5 3" xfId="15335" xr:uid="{00000000-0005-0000-0000-000086390000}"/>
    <cellStyle name="Normal 18 2 3 6" xfId="15336" xr:uid="{00000000-0005-0000-0000-000087390000}"/>
    <cellStyle name="Normal 18 2 4" xfId="15337" xr:uid="{00000000-0005-0000-0000-000088390000}"/>
    <cellStyle name="Normal 18 2 4 2" xfId="15338" xr:uid="{00000000-0005-0000-0000-000089390000}"/>
    <cellStyle name="Normal 18 2 4 2 2" xfId="15339" xr:uid="{00000000-0005-0000-0000-00008A390000}"/>
    <cellStyle name="Normal 18 2 4 3" xfId="15340" xr:uid="{00000000-0005-0000-0000-00008B390000}"/>
    <cellStyle name="Normal 18 2 5" xfId="15341" xr:uid="{00000000-0005-0000-0000-00008C390000}"/>
    <cellStyle name="Normal 18 2 5 2" xfId="15342" xr:uid="{00000000-0005-0000-0000-00008D390000}"/>
    <cellStyle name="Normal 18 2 5 2 2" xfId="15343" xr:uid="{00000000-0005-0000-0000-00008E390000}"/>
    <cellStyle name="Normal 18 2 5 3" xfId="15344" xr:uid="{00000000-0005-0000-0000-00008F390000}"/>
    <cellStyle name="Normal 18 2 6" xfId="15345" xr:uid="{00000000-0005-0000-0000-000090390000}"/>
    <cellStyle name="Normal 18 2 6 2" xfId="15346" xr:uid="{00000000-0005-0000-0000-000091390000}"/>
    <cellStyle name="Normal 18 2 6 2 2" xfId="15347" xr:uid="{00000000-0005-0000-0000-000092390000}"/>
    <cellStyle name="Normal 18 2 6 3" xfId="15348" xr:uid="{00000000-0005-0000-0000-000093390000}"/>
    <cellStyle name="Normal 18 2 7" xfId="15349" xr:uid="{00000000-0005-0000-0000-000094390000}"/>
    <cellStyle name="Normal 18 3" xfId="15350" xr:uid="{00000000-0005-0000-0000-000095390000}"/>
    <cellStyle name="Normal 18 3 2" xfId="15351" xr:uid="{00000000-0005-0000-0000-000096390000}"/>
    <cellStyle name="Normal 18 3 2 2" xfId="15352" xr:uid="{00000000-0005-0000-0000-000097390000}"/>
    <cellStyle name="Normal 18 3 2 2 2" xfId="15353" xr:uid="{00000000-0005-0000-0000-000098390000}"/>
    <cellStyle name="Normal 18 3 2 3" xfId="15354" xr:uid="{00000000-0005-0000-0000-000099390000}"/>
    <cellStyle name="Normal 18 3 2 3 2" xfId="15355" xr:uid="{00000000-0005-0000-0000-00009A390000}"/>
    <cellStyle name="Normal 18 3 2 3 2 2" xfId="15356" xr:uid="{00000000-0005-0000-0000-00009B390000}"/>
    <cellStyle name="Normal 18 3 2 3 3" xfId="15357" xr:uid="{00000000-0005-0000-0000-00009C390000}"/>
    <cellStyle name="Normal 18 3 2 4" xfId="15358" xr:uid="{00000000-0005-0000-0000-00009D390000}"/>
    <cellStyle name="Normal 18 3 2 4 2" xfId="15359" xr:uid="{00000000-0005-0000-0000-00009E390000}"/>
    <cellStyle name="Normal 18 3 2 4 2 2" xfId="15360" xr:uid="{00000000-0005-0000-0000-00009F390000}"/>
    <cellStyle name="Normal 18 3 2 4 3" xfId="15361" xr:uid="{00000000-0005-0000-0000-0000A0390000}"/>
    <cellStyle name="Normal 18 3 2 5" xfId="15362" xr:uid="{00000000-0005-0000-0000-0000A1390000}"/>
    <cellStyle name="Normal 18 3 3" xfId="15363" xr:uid="{00000000-0005-0000-0000-0000A2390000}"/>
    <cellStyle name="Normal 18 3 3 2" xfId="15364" xr:uid="{00000000-0005-0000-0000-0000A3390000}"/>
    <cellStyle name="Normal 18 3 3 2 2" xfId="15365" xr:uid="{00000000-0005-0000-0000-0000A4390000}"/>
    <cellStyle name="Normal 18 3 3 3" xfId="15366" xr:uid="{00000000-0005-0000-0000-0000A5390000}"/>
    <cellStyle name="Normal 18 3 4" xfId="15367" xr:uid="{00000000-0005-0000-0000-0000A6390000}"/>
    <cellStyle name="Normal 18 3 4 2" xfId="15368" xr:uid="{00000000-0005-0000-0000-0000A7390000}"/>
    <cellStyle name="Normal 18 3 4 2 2" xfId="15369" xr:uid="{00000000-0005-0000-0000-0000A8390000}"/>
    <cellStyle name="Normal 18 3 4 3" xfId="15370" xr:uid="{00000000-0005-0000-0000-0000A9390000}"/>
    <cellStyle name="Normal 18 3 5" xfId="15371" xr:uid="{00000000-0005-0000-0000-0000AA390000}"/>
    <cellStyle name="Normal 18 3 5 2" xfId="15372" xr:uid="{00000000-0005-0000-0000-0000AB390000}"/>
    <cellStyle name="Normal 18 3 5 2 2" xfId="15373" xr:uid="{00000000-0005-0000-0000-0000AC390000}"/>
    <cellStyle name="Normal 18 3 5 3" xfId="15374" xr:uid="{00000000-0005-0000-0000-0000AD390000}"/>
    <cellStyle name="Normal 18 3 6" xfId="15375" xr:uid="{00000000-0005-0000-0000-0000AE390000}"/>
    <cellStyle name="Normal 18 4" xfId="15376" xr:uid="{00000000-0005-0000-0000-0000AF390000}"/>
    <cellStyle name="Normal 18 4 2" xfId="15377" xr:uid="{00000000-0005-0000-0000-0000B0390000}"/>
    <cellStyle name="Normal 18 4 2 2" xfId="15378" xr:uid="{00000000-0005-0000-0000-0000B1390000}"/>
    <cellStyle name="Normal 18 4 3" xfId="15379" xr:uid="{00000000-0005-0000-0000-0000B2390000}"/>
    <cellStyle name="Normal 18 4 3 2" xfId="15380" xr:uid="{00000000-0005-0000-0000-0000B3390000}"/>
    <cellStyle name="Normal 18 4 3 2 2" xfId="15381" xr:uid="{00000000-0005-0000-0000-0000B4390000}"/>
    <cellStyle name="Normal 18 4 3 3" xfId="15382" xr:uid="{00000000-0005-0000-0000-0000B5390000}"/>
    <cellStyle name="Normal 18 4 4" xfId="15383" xr:uid="{00000000-0005-0000-0000-0000B6390000}"/>
    <cellStyle name="Normal 18 4 4 2" xfId="15384" xr:uid="{00000000-0005-0000-0000-0000B7390000}"/>
    <cellStyle name="Normal 18 4 4 2 2" xfId="15385" xr:uid="{00000000-0005-0000-0000-0000B8390000}"/>
    <cellStyle name="Normal 18 4 4 3" xfId="15386" xr:uid="{00000000-0005-0000-0000-0000B9390000}"/>
    <cellStyle name="Normal 18 4 5" xfId="15387" xr:uid="{00000000-0005-0000-0000-0000BA390000}"/>
    <cellStyle name="Normal 18 5" xfId="15388" xr:uid="{00000000-0005-0000-0000-0000BB390000}"/>
    <cellStyle name="Normal 18 5 2" xfId="15389" xr:uid="{00000000-0005-0000-0000-0000BC390000}"/>
    <cellStyle name="Normal 18 5 2 2" xfId="15390" xr:uid="{00000000-0005-0000-0000-0000BD390000}"/>
    <cellStyle name="Normal 18 5 2 2 2" xfId="15391" xr:uid="{00000000-0005-0000-0000-0000BE390000}"/>
    <cellStyle name="Normal 18 5 2 3" xfId="15392" xr:uid="{00000000-0005-0000-0000-0000BF390000}"/>
    <cellStyle name="Normal 18 5 2 3 2" xfId="15393" xr:uid="{00000000-0005-0000-0000-0000C0390000}"/>
    <cellStyle name="Normal 18 5 2 3 2 2" xfId="15394" xr:uid="{00000000-0005-0000-0000-0000C1390000}"/>
    <cellStyle name="Normal 18 5 2 3 3" xfId="15395" xr:uid="{00000000-0005-0000-0000-0000C2390000}"/>
    <cellStyle name="Normal 18 5 2 4" xfId="15396" xr:uid="{00000000-0005-0000-0000-0000C3390000}"/>
    <cellStyle name="Normal 18 5 3" xfId="15397" xr:uid="{00000000-0005-0000-0000-0000C4390000}"/>
    <cellStyle name="Normal 18 5 3 2" xfId="15398" xr:uid="{00000000-0005-0000-0000-0000C5390000}"/>
    <cellStyle name="Normal 18 5 3 2 2" xfId="15399" xr:uid="{00000000-0005-0000-0000-0000C6390000}"/>
    <cellStyle name="Normal 18 5 3 3" xfId="15400" xr:uid="{00000000-0005-0000-0000-0000C7390000}"/>
    <cellStyle name="Normal 18 5 4" xfId="15401" xr:uid="{00000000-0005-0000-0000-0000C8390000}"/>
    <cellStyle name="Normal 18 5 4 2" xfId="15402" xr:uid="{00000000-0005-0000-0000-0000C9390000}"/>
    <cellStyle name="Normal 18 5 4 2 2" xfId="15403" xr:uid="{00000000-0005-0000-0000-0000CA390000}"/>
    <cellStyle name="Normal 18 5 4 3" xfId="15404" xr:uid="{00000000-0005-0000-0000-0000CB390000}"/>
    <cellStyle name="Normal 18 5 5" xfId="15405" xr:uid="{00000000-0005-0000-0000-0000CC390000}"/>
    <cellStyle name="Normal 18 5 5 2" xfId="15406" xr:uid="{00000000-0005-0000-0000-0000CD390000}"/>
    <cellStyle name="Normal 18 5 5 2 2" xfId="15407" xr:uid="{00000000-0005-0000-0000-0000CE390000}"/>
    <cellStyle name="Normal 18 5 5 3" xfId="15408" xr:uid="{00000000-0005-0000-0000-0000CF390000}"/>
    <cellStyle name="Normal 18 5 6" xfId="15409" xr:uid="{00000000-0005-0000-0000-0000D0390000}"/>
    <cellStyle name="Normal 18 6" xfId="15410" xr:uid="{00000000-0005-0000-0000-0000D1390000}"/>
    <cellStyle name="Normal 18 7" xfId="15301" xr:uid="{00000000-0005-0000-0000-0000D2390000}"/>
    <cellStyle name="Normal 180" xfId="15411" xr:uid="{00000000-0005-0000-0000-0000D3390000}"/>
    <cellStyle name="Normal 180 2" xfId="15412" xr:uid="{00000000-0005-0000-0000-0000D4390000}"/>
    <cellStyle name="Normal 180 2 2" xfId="15413" xr:uid="{00000000-0005-0000-0000-0000D5390000}"/>
    <cellStyle name="Normal 180 2 2 2" xfId="15414" xr:uid="{00000000-0005-0000-0000-0000D6390000}"/>
    <cellStyle name="Normal 180 2 3" xfId="15415" xr:uid="{00000000-0005-0000-0000-0000D7390000}"/>
    <cellStyle name="Normal 180 2 3 2" xfId="15416" xr:uid="{00000000-0005-0000-0000-0000D8390000}"/>
    <cellStyle name="Normal 180 2 3 2 2" xfId="15417" xr:uid="{00000000-0005-0000-0000-0000D9390000}"/>
    <cellStyle name="Normal 180 2 3 3" xfId="15418" xr:uid="{00000000-0005-0000-0000-0000DA390000}"/>
    <cellStyle name="Normal 180 2 4" xfId="15419" xr:uid="{00000000-0005-0000-0000-0000DB390000}"/>
    <cellStyle name="Normal 180 2 4 2" xfId="15420" xr:uid="{00000000-0005-0000-0000-0000DC390000}"/>
    <cellStyle name="Normal 180 2 4 2 2" xfId="15421" xr:uid="{00000000-0005-0000-0000-0000DD390000}"/>
    <cellStyle name="Normal 180 2 4 3" xfId="15422" xr:uid="{00000000-0005-0000-0000-0000DE390000}"/>
    <cellStyle name="Normal 180 2 5" xfId="15423" xr:uid="{00000000-0005-0000-0000-0000DF390000}"/>
    <cellStyle name="Normal 180 3" xfId="15424" xr:uid="{00000000-0005-0000-0000-0000E0390000}"/>
    <cellStyle name="Normal 180 3 2" xfId="15425" xr:uid="{00000000-0005-0000-0000-0000E1390000}"/>
    <cellStyle name="Normal 180 3 2 2" xfId="15426" xr:uid="{00000000-0005-0000-0000-0000E2390000}"/>
    <cellStyle name="Normal 180 3 2 2 2" xfId="15427" xr:uid="{00000000-0005-0000-0000-0000E3390000}"/>
    <cellStyle name="Normal 180 3 2 3" xfId="15428" xr:uid="{00000000-0005-0000-0000-0000E4390000}"/>
    <cellStyle name="Normal 180 3 2 3 2" xfId="15429" xr:uid="{00000000-0005-0000-0000-0000E5390000}"/>
    <cellStyle name="Normal 180 3 2 3 2 2" xfId="15430" xr:uid="{00000000-0005-0000-0000-0000E6390000}"/>
    <cellStyle name="Normal 180 3 2 3 3" xfId="15431" xr:uid="{00000000-0005-0000-0000-0000E7390000}"/>
    <cellStyle name="Normal 180 3 2 4" xfId="15432" xr:uid="{00000000-0005-0000-0000-0000E8390000}"/>
    <cellStyle name="Normal 180 3 3" xfId="15433" xr:uid="{00000000-0005-0000-0000-0000E9390000}"/>
    <cellStyle name="Normal 180 3 3 2" xfId="15434" xr:uid="{00000000-0005-0000-0000-0000EA390000}"/>
    <cellStyle name="Normal 180 3 3 2 2" xfId="15435" xr:uid="{00000000-0005-0000-0000-0000EB390000}"/>
    <cellStyle name="Normal 180 3 3 3" xfId="15436" xr:uid="{00000000-0005-0000-0000-0000EC390000}"/>
    <cellStyle name="Normal 180 3 4" xfId="15437" xr:uid="{00000000-0005-0000-0000-0000ED390000}"/>
    <cellStyle name="Normal 180 3 4 2" xfId="15438" xr:uid="{00000000-0005-0000-0000-0000EE390000}"/>
    <cellStyle name="Normal 180 3 4 2 2" xfId="15439" xr:uid="{00000000-0005-0000-0000-0000EF390000}"/>
    <cellStyle name="Normal 180 3 4 3" xfId="15440" xr:uid="{00000000-0005-0000-0000-0000F0390000}"/>
    <cellStyle name="Normal 180 3 5" xfId="15441" xr:uid="{00000000-0005-0000-0000-0000F1390000}"/>
    <cellStyle name="Normal 180 3 5 2" xfId="15442" xr:uid="{00000000-0005-0000-0000-0000F2390000}"/>
    <cellStyle name="Normal 180 3 5 2 2" xfId="15443" xr:uid="{00000000-0005-0000-0000-0000F3390000}"/>
    <cellStyle name="Normal 180 3 5 3" xfId="15444" xr:uid="{00000000-0005-0000-0000-0000F4390000}"/>
    <cellStyle name="Normal 180 3 6" xfId="15445" xr:uid="{00000000-0005-0000-0000-0000F5390000}"/>
    <cellStyle name="Normal 180 4" xfId="15446" xr:uid="{00000000-0005-0000-0000-0000F6390000}"/>
    <cellStyle name="Normal 180 4 2" xfId="15447" xr:uid="{00000000-0005-0000-0000-0000F7390000}"/>
    <cellStyle name="Normal 180 4 2 2" xfId="15448" xr:uid="{00000000-0005-0000-0000-0000F8390000}"/>
    <cellStyle name="Normal 180 4 3" xfId="15449" xr:uid="{00000000-0005-0000-0000-0000F9390000}"/>
    <cellStyle name="Normal 180 5" xfId="15450" xr:uid="{00000000-0005-0000-0000-0000FA390000}"/>
    <cellStyle name="Normal 180 5 2" xfId="15451" xr:uid="{00000000-0005-0000-0000-0000FB390000}"/>
    <cellStyle name="Normal 180 5 2 2" xfId="15452" xr:uid="{00000000-0005-0000-0000-0000FC390000}"/>
    <cellStyle name="Normal 180 5 3" xfId="15453" xr:uid="{00000000-0005-0000-0000-0000FD390000}"/>
    <cellStyle name="Normal 180 6" xfId="15454" xr:uid="{00000000-0005-0000-0000-0000FE390000}"/>
    <cellStyle name="Normal 180 6 2" xfId="15455" xr:uid="{00000000-0005-0000-0000-0000FF390000}"/>
    <cellStyle name="Normal 180 6 2 2" xfId="15456" xr:uid="{00000000-0005-0000-0000-0000003A0000}"/>
    <cellStyle name="Normal 180 6 3" xfId="15457" xr:uid="{00000000-0005-0000-0000-0000013A0000}"/>
    <cellStyle name="Normal 180 7" xfId="15458" xr:uid="{00000000-0005-0000-0000-0000023A0000}"/>
    <cellStyle name="Normal 181" xfId="15459" xr:uid="{00000000-0005-0000-0000-0000033A0000}"/>
    <cellStyle name="Normal 181 2" xfId="15460" xr:uid="{00000000-0005-0000-0000-0000043A0000}"/>
    <cellStyle name="Normal 181 2 2" xfId="15461" xr:uid="{00000000-0005-0000-0000-0000053A0000}"/>
    <cellStyle name="Normal 181 2 2 2" xfId="15462" xr:uid="{00000000-0005-0000-0000-0000063A0000}"/>
    <cellStyle name="Normal 181 2 3" xfId="15463" xr:uid="{00000000-0005-0000-0000-0000073A0000}"/>
    <cellStyle name="Normal 181 2 3 2" xfId="15464" xr:uid="{00000000-0005-0000-0000-0000083A0000}"/>
    <cellStyle name="Normal 181 2 3 2 2" xfId="15465" xr:uid="{00000000-0005-0000-0000-0000093A0000}"/>
    <cellStyle name="Normal 181 2 3 3" xfId="15466" xr:uid="{00000000-0005-0000-0000-00000A3A0000}"/>
    <cellStyle name="Normal 181 2 4" xfId="15467" xr:uid="{00000000-0005-0000-0000-00000B3A0000}"/>
    <cellStyle name="Normal 181 2 4 2" xfId="15468" xr:uid="{00000000-0005-0000-0000-00000C3A0000}"/>
    <cellStyle name="Normal 181 2 4 2 2" xfId="15469" xr:uid="{00000000-0005-0000-0000-00000D3A0000}"/>
    <cellStyle name="Normal 181 2 4 3" xfId="15470" xr:uid="{00000000-0005-0000-0000-00000E3A0000}"/>
    <cellStyle name="Normal 181 2 5" xfId="15471" xr:uid="{00000000-0005-0000-0000-00000F3A0000}"/>
    <cellStyle name="Normal 181 3" xfId="15472" xr:uid="{00000000-0005-0000-0000-0000103A0000}"/>
    <cellStyle name="Normal 181 3 2" xfId="15473" xr:uid="{00000000-0005-0000-0000-0000113A0000}"/>
    <cellStyle name="Normal 181 3 2 2" xfId="15474" xr:uid="{00000000-0005-0000-0000-0000123A0000}"/>
    <cellStyle name="Normal 181 3 2 2 2" xfId="15475" xr:uid="{00000000-0005-0000-0000-0000133A0000}"/>
    <cellStyle name="Normal 181 3 2 3" xfId="15476" xr:uid="{00000000-0005-0000-0000-0000143A0000}"/>
    <cellStyle name="Normal 181 3 2 3 2" xfId="15477" xr:uid="{00000000-0005-0000-0000-0000153A0000}"/>
    <cellStyle name="Normal 181 3 2 3 2 2" xfId="15478" xr:uid="{00000000-0005-0000-0000-0000163A0000}"/>
    <cellStyle name="Normal 181 3 2 3 3" xfId="15479" xr:uid="{00000000-0005-0000-0000-0000173A0000}"/>
    <cellStyle name="Normal 181 3 2 4" xfId="15480" xr:uid="{00000000-0005-0000-0000-0000183A0000}"/>
    <cellStyle name="Normal 181 3 3" xfId="15481" xr:uid="{00000000-0005-0000-0000-0000193A0000}"/>
    <cellStyle name="Normal 181 3 3 2" xfId="15482" xr:uid="{00000000-0005-0000-0000-00001A3A0000}"/>
    <cellStyle name="Normal 181 3 3 2 2" xfId="15483" xr:uid="{00000000-0005-0000-0000-00001B3A0000}"/>
    <cellStyle name="Normal 181 3 3 3" xfId="15484" xr:uid="{00000000-0005-0000-0000-00001C3A0000}"/>
    <cellStyle name="Normal 181 3 4" xfId="15485" xr:uid="{00000000-0005-0000-0000-00001D3A0000}"/>
    <cellStyle name="Normal 181 3 4 2" xfId="15486" xr:uid="{00000000-0005-0000-0000-00001E3A0000}"/>
    <cellStyle name="Normal 181 3 4 2 2" xfId="15487" xr:uid="{00000000-0005-0000-0000-00001F3A0000}"/>
    <cellStyle name="Normal 181 3 4 3" xfId="15488" xr:uid="{00000000-0005-0000-0000-0000203A0000}"/>
    <cellStyle name="Normal 181 3 5" xfId="15489" xr:uid="{00000000-0005-0000-0000-0000213A0000}"/>
    <cellStyle name="Normal 181 3 5 2" xfId="15490" xr:uid="{00000000-0005-0000-0000-0000223A0000}"/>
    <cellStyle name="Normal 181 3 5 2 2" xfId="15491" xr:uid="{00000000-0005-0000-0000-0000233A0000}"/>
    <cellStyle name="Normal 181 3 5 3" xfId="15492" xr:uid="{00000000-0005-0000-0000-0000243A0000}"/>
    <cellStyle name="Normal 181 3 6" xfId="15493" xr:uid="{00000000-0005-0000-0000-0000253A0000}"/>
    <cellStyle name="Normal 181 4" xfId="15494" xr:uid="{00000000-0005-0000-0000-0000263A0000}"/>
    <cellStyle name="Normal 181 4 2" xfId="15495" xr:uid="{00000000-0005-0000-0000-0000273A0000}"/>
    <cellStyle name="Normal 181 4 2 2" xfId="15496" xr:uid="{00000000-0005-0000-0000-0000283A0000}"/>
    <cellStyle name="Normal 181 4 3" xfId="15497" xr:uid="{00000000-0005-0000-0000-0000293A0000}"/>
    <cellStyle name="Normal 181 5" xfId="15498" xr:uid="{00000000-0005-0000-0000-00002A3A0000}"/>
    <cellStyle name="Normal 181 5 2" xfId="15499" xr:uid="{00000000-0005-0000-0000-00002B3A0000}"/>
    <cellStyle name="Normal 181 5 2 2" xfId="15500" xr:uid="{00000000-0005-0000-0000-00002C3A0000}"/>
    <cellStyle name="Normal 181 5 3" xfId="15501" xr:uid="{00000000-0005-0000-0000-00002D3A0000}"/>
    <cellStyle name="Normal 181 6" xfId="15502" xr:uid="{00000000-0005-0000-0000-00002E3A0000}"/>
    <cellStyle name="Normal 181 6 2" xfId="15503" xr:uid="{00000000-0005-0000-0000-00002F3A0000}"/>
    <cellStyle name="Normal 181 6 2 2" xfId="15504" xr:uid="{00000000-0005-0000-0000-0000303A0000}"/>
    <cellStyle name="Normal 181 6 3" xfId="15505" xr:uid="{00000000-0005-0000-0000-0000313A0000}"/>
    <cellStyle name="Normal 181 7" xfId="15506" xr:uid="{00000000-0005-0000-0000-0000323A0000}"/>
    <cellStyle name="Normal 182" xfId="15507" xr:uid="{00000000-0005-0000-0000-0000333A0000}"/>
    <cellStyle name="Normal 182 2" xfId="15508" xr:uid="{00000000-0005-0000-0000-0000343A0000}"/>
    <cellStyle name="Normal 182 2 2" xfId="15509" xr:uid="{00000000-0005-0000-0000-0000353A0000}"/>
    <cellStyle name="Normal 182 2 2 2" xfId="15510" xr:uid="{00000000-0005-0000-0000-0000363A0000}"/>
    <cellStyle name="Normal 182 2 3" xfId="15511" xr:uid="{00000000-0005-0000-0000-0000373A0000}"/>
    <cellStyle name="Normal 182 2 3 2" xfId="15512" xr:uid="{00000000-0005-0000-0000-0000383A0000}"/>
    <cellStyle name="Normal 182 2 3 2 2" xfId="15513" xr:uid="{00000000-0005-0000-0000-0000393A0000}"/>
    <cellStyle name="Normal 182 2 3 3" xfId="15514" xr:uid="{00000000-0005-0000-0000-00003A3A0000}"/>
    <cellStyle name="Normal 182 2 4" xfId="15515" xr:uid="{00000000-0005-0000-0000-00003B3A0000}"/>
    <cellStyle name="Normal 182 2 4 2" xfId="15516" xr:uid="{00000000-0005-0000-0000-00003C3A0000}"/>
    <cellStyle name="Normal 182 2 4 2 2" xfId="15517" xr:uid="{00000000-0005-0000-0000-00003D3A0000}"/>
    <cellStyle name="Normal 182 2 4 3" xfId="15518" xr:uid="{00000000-0005-0000-0000-00003E3A0000}"/>
    <cellStyle name="Normal 182 2 5" xfId="15519" xr:uid="{00000000-0005-0000-0000-00003F3A0000}"/>
    <cellStyle name="Normal 182 3" xfId="15520" xr:uid="{00000000-0005-0000-0000-0000403A0000}"/>
    <cellStyle name="Normal 182 3 2" xfId="15521" xr:uid="{00000000-0005-0000-0000-0000413A0000}"/>
    <cellStyle name="Normal 182 3 2 2" xfId="15522" xr:uid="{00000000-0005-0000-0000-0000423A0000}"/>
    <cellStyle name="Normal 182 3 2 2 2" xfId="15523" xr:uid="{00000000-0005-0000-0000-0000433A0000}"/>
    <cellStyle name="Normal 182 3 2 3" xfId="15524" xr:uid="{00000000-0005-0000-0000-0000443A0000}"/>
    <cellStyle name="Normal 182 3 2 3 2" xfId="15525" xr:uid="{00000000-0005-0000-0000-0000453A0000}"/>
    <cellStyle name="Normal 182 3 2 3 2 2" xfId="15526" xr:uid="{00000000-0005-0000-0000-0000463A0000}"/>
    <cellStyle name="Normal 182 3 2 3 3" xfId="15527" xr:uid="{00000000-0005-0000-0000-0000473A0000}"/>
    <cellStyle name="Normal 182 3 2 4" xfId="15528" xr:uid="{00000000-0005-0000-0000-0000483A0000}"/>
    <cellStyle name="Normal 182 3 3" xfId="15529" xr:uid="{00000000-0005-0000-0000-0000493A0000}"/>
    <cellStyle name="Normal 182 3 3 2" xfId="15530" xr:uid="{00000000-0005-0000-0000-00004A3A0000}"/>
    <cellStyle name="Normal 182 3 3 2 2" xfId="15531" xr:uid="{00000000-0005-0000-0000-00004B3A0000}"/>
    <cellStyle name="Normal 182 3 3 3" xfId="15532" xr:uid="{00000000-0005-0000-0000-00004C3A0000}"/>
    <cellStyle name="Normal 182 3 4" xfId="15533" xr:uid="{00000000-0005-0000-0000-00004D3A0000}"/>
    <cellStyle name="Normal 182 3 4 2" xfId="15534" xr:uid="{00000000-0005-0000-0000-00004E3A0000}"/>
    <cellStyle name="Normal 182 3 4 2 2" xfId="15535" xr:uid="{00000000-0005-0000-0000-00004F3A0000}"/>
    <cellStyle name="Normal 182 3 4 3" xfId="15536" xr:uid="{00000000-0005-0000-0000-0000503A0000}"/>
    <cellStyle name="Normal 182 3 5" xfId="15537" xr:uid="{00000000-0005-0000-0000-0000513A0000}"/>
    <cellStyle name="Normal 182 3 5 2" xfId="15538" xr:uid="{00000000-0005-0000-0000-0000523A0000}"/>
    <cellStyle name="Normal 182 3 5 2 2" xfId="15539" xr:uid="{00000000-0005-0000-0000-0000533A0000}"/>
    <cellStyle name="Normal 182 3 5 3" xfId="15540" xr:uid="{00000000-0005-0000-0000-0000543A0000}"/>
    <cellStyle name="Normal 182 3 6" xfId="15541" xr:uid="{00000000-0005-0000-0000-0000553A0000}"/>
    <cellStyle name="Normal 182 4" xfId="15542" xr:uid="{00000000-0005-0000-0000-0000563A0000}"/>
    <cellStyle name="Normal 182 4 2" xfId="15543" xr:uid="{00000000-0005-0000-0000-0000573A0000}"/>
    <cellStyle name="Normal 182 4 2 2" xfId="15544" xr:uid="{00000000-0005-0000-0000-0000583A0000}"/>
    <cellStyle name="Normal 182 4 3" xfId="15545" xr:uid="{00000000-0005-0000-0000-0000593A0000}"/>
    <cellStyle name="Normal 182 5" xfId="15546" xr:uid="{00000000-0005-0000-0000-00005A3A0000}"/>
    <cellStyle name="Normal 182 5 2" xfId="15547" xr:uid="{00000000-0005-0000-0000-00005B3A0000}"/>
    <cellStyle name="Normal 182 5 2 2" xfId="15548" xr:uid="{00000000-0005-0000-0000-00005C3A0000}"/>
    <cellStyle name="Normal 182 5 3" xfId="15549" xr:uid="{00000000-0005-0000-0000-00005D3A0000}"/>
    <cellStyle name="Normal 182 6" xfId="15550" xr:uid="{00000000-0005-0000-0000-00005E3A0000}"/>
    <cellStyle name="Normal 182 6 2" xfId="15551" xr:uid="{00000000-0005-0000-0000-00005F3A0000}"/>
    <cellStyle name="Normal 182 6 2 2" xfId="15552" xr:uid="{00000000-0005-0000-0000-0000603A0000}"/>
    <cellStyle name="Normal 182 6 3" xfId="15553" xr:uid="{00000000-0005-0000-0000-0000613A0000}"/>
    <cellStyle name="Normal 182 7" xfId="15554" xr:uid="{00000000-0005-0000-0000-0000623A0000}"/>
    <cellStyle name="Normal 183" xfId="15555" xr:uid="{00000000-0005-0000-0000-0000633A0000}"/>
    <cellStyle name="Normal 183 2" xfId="15556" xr:uid="{00000000-0005-0000-0000-0000643A0000}"/>
    <cellStyle name="Normal 183 2 2" xfId="15557" xr:uid="{00000000-0005-0000-0000-0000653A0000}"/>
    <cellStyle name="Normal 183 2 2 2" xfId="15558" xr:uid="{00000000-0005-0000-0000-0000663A0000}"/>
    <cellStyle name="Normal 183 2 3" xfId="15559" xr:uid="{00000000-0005-0000-0000-0000673A0000}"/>
    <cellStyle name="Normal 183 2 3 2" xfId="15560" xr:uid="{00000000-0005-0000-0000-0000683A0000}"/>
    <cellStyle name="Normal 183 2 3 2 2" xfId="15561" xr:uid="{00000000-0005-0000-0000-0000693A0000}"/>
    <cellStyle name="Normal 183 2 3 3" xfId="15562" xr:uid="{00000000-0005-0000-0000-00006A3A0000}"/>
    <cellStyle name="Normal 183 2 4" xfId="15563" xr:uid="{00000000-0005-0000-0000-00006B3A0000}"/>
    <cellStyle name="Normal 183 2 4 2" xfId="15564" xr:uid="{00000000-0005-0000-0000-00006C3A0000}"/>
    <cellStyle name="Normal 183 2 4 2 2" xfId="15565" xr:uid="{00000000-0005-0000-0000-00006D3A0000}"/>
    <cellStyle name="Normal 183 2 4 3" xfId="15566" xr:uid="{00000000-0005-0000-0000-00006E3A0000}"/>
    <cellStyle name="Normal 183 2 5" xfId="15567" xr:uid="{00000000-0005-0000-0000-00006F3A0000}"/>
    <cellStyle name="Normal 183 3" xfId="15568" xr:uid="{00000000-0005-0000-0000-0000703A0000}"/>
    <cellStyle name="Normal 183 3 2" xfId="15569" xr:uid="{00000000-0005-0000-0000-0000713A0000}"/>
    <cellStyle name="Normal 183 3 2 2" xfId="15570" xr:uid="{00000000-0005-0000-0000-0000723A0000}"/>
    <cellStyle name="Normal 183 3 2 2 2" xfId="15571" xr:uid="{00000000-0005-0000-0000-0000733A0000}"/>
    <cellStyle name="Normal 183 3 2 3" xfId="15572" xr:uid="{00000000-0005-0000-0000-0000743A0000}"/>
    <cellStyle name="Normal 183 3 2 3 2" xfId="15573" xr:uid="{00000000-0005-0000-0000-0000753A0000}"/>
    <cellStyle name="Normal 183 3 2 3 2 2" xfId="15574" xr:uid="{00000000-0005-0000-0000-0000763A0000}"/>
    <cellStyle name="Normal 183 3 2 3 3" xfId="15575" xr:uid="{00000000-0005-0000-0000-0000773A0000}"/>
    <cellStyle name="Normal 183 3 2 4" xfId="15576" xr:uid="{00000000-0005-0000-0000-0000783A0000}"/>
    <cellStyle name="Normal 183 3 3" xfId="15577" xr:uid="{00000000-0005-0000-0000-0000793A0000}"/>
    <cellStyle name="Normal 183 3 3 2" xfId="15578" xr:uid="{00000000-0005-0000-0000-00007A3A0000}"/>
    <cellStyle name="Normal 183 3 3 2 2" xfId="15579" xr:uid="{00000000-0005-0000-0000-00007B3A0000}"/>
    <cellStyle name="Normal 183 3 3 3" xfId="15580" xr:uid="{00000000-0005-0000-0000-00007C3A0000}"/>
    <cellStyle name="Normal 183 3 4" xfId="15581" xr:uid="{00000000-0005-0000-0000-00007D3A0000}"/>
    <cellStyle name="Normal 183 3 4 2" xfId="15582" xr:uid="{00000000-0005-0000-0000-00007E3A0000}"/>
    <cellStyle name="Normal 183 3 4 2 2" xfId="15583" xr:uid="{00000000-0005-0000-0000-00007F3A0000}"/>
    <cellStyle name="Normal 183 3 4 3" xfId="15584" xr:uid="{00000000-0005-0000-0000-0000803A0000}"/>
    <cellStyle name="Normal 183 3 5" xfId="15585" xr:uid="{00000000-0005-0000-0000-0000813A0000}"/>
    <cellStyle name="Normal 183 3 5 2" xfId="15586" xr:uid="{00000000-0005-0000-0000-0000823A0000}"/>
    <cellStyle name="Normal 183 3 5 2 2" xfId="15587" xr:uid="{00000000-0005-0000-0000-0000833A0000}"/>
    <cellStyle name="Normal 183 3 5 3" xfId="15588" xr:uid="{00000000-0005-0000-0000-0000843A0000}"/>
    <cellStyle name="Normal 183 3 6" xfId="15589" xr:uid="{00000000-0005-0000-0000-0000853A0000}"/>
    <cellStyle name="Normal 183 4" xfId="15590" xr:uid="{00000000-0005-0000-0000-0000863A0000}"/>
    <cellStyle name="Normal 183 4 2" xfId="15591" xr:uid="{00000000-0005-0000-0000-0000873A0000}"/>
    <cellStyle name="Normal 183 4 2 2" xfId="15592" xr:uid="{00000000-0005-0000-0000-0000883A0000}"/>
    <cellStyle name="Normal 183 4 3" xfId="15593" xr:uid="{00000000-0005-0000-0000-0000893A0000}"/>
    <cellStyle name="Normal 183 5" xfId="15594" xr:uid="{00000000-0005-0000-0000-00008A3A0000}"/>
    <cellStyle name="Normal 183 5 2" xfId="15595" xr:uid="{00000000-0005-0000-0000-00008B3A0000}"/>
    <cellStyle name="Normal 183 5 2 2" xfId="15596" xr:uid="{00000000-0005-0000-0000-00008C3A0000}"/>
    <cellStyle name="Normal 183 5 3" xfId="15597" xr:uid="{00000000-0005-0000-0000-00008D3A0000}"/>
    <cellStyle name="Normal 183 6" xfId="15598" xr:uid="{00000000-0005-0000-0000-00008E3A0000}"/>
    <cellStyle name="Normal 183 6 2" xfId="15599" xr:uid="{00000000-0005-0000-0000-00008F3A0000}"/>
    <cellStyle name="Normal 183 6 2 2" xfId="15600" xr:uid="{00000000-0005-0000-0000-0000903A0000}"/>
    <cellStyle name="Normal 183 6 3" xfId="15601" xr:uid="{00000000-0005-0000-0000-0000913A0000}"/>
    <cellStyle name="Normal 183 7" xfId="15602" xr:uid="{00000000-0005-0000-0000-0000923A0000}"/>
    <cellStyle name="Normal 184" xfId="15603" xr:uid="{00000000-0005-0000-0000-0000933A0000}"/>
    <cellStyle name="Normal 184 2" xfId="15604" xr:uid="{00000000-0005-0000-0000-0000943A0000}"/>
    <cellStyle name="Normal 184 2 2" xfId="15605" xr:uid="{00000000-0005-0000-0000-0000953A0000}"/>
    <cellStyle name="Normal 184 2 2 2" xfId="15606" xr:uid="{00000000-0005-0000-0000-0000963A0000}"/>
    <cellStyle name="Normal 184 2 3" xfId="15607" xr:uid="{00000000-0005-0000-0000-0000973A0000}"/>
    <cellStyle name="Normal 184 2 3 2" xfId="15608" xr:uid="{00000000-0005-0000-0000-0000983A0000}"/>
    <cellStyle name="Normal 184 2 3 2 2" xfId="15609" xr:uid="{00000000-0005-0000-0000-0000993A0000}"/>
    <cellStyle name="Normal 184 2 3 3" xfId="15610" xr:uid="{00000000-0005-0000-0000-00009A3A0000}"/>
    <cellStyle name="Normal 184 2 4" xfId="15611" xr:uid="{00000000-0005-0000-0000-00009B3A0000}"/>
    <cellStyle name="Normal 184 2 4 2" xfId="15612" xr:uid="{00000000-0005-0000-0000-00009C3A0000}"/>
    <cellStyle name="Normal 184 2 4 2 2" xfId="15613" xr:uid="{00000000-0005-0000-0000-00009D3A0000}"/>
    <cellStyle name="Normal 184 2 4 3" xfId="15614" xr:uid="{00000000-0005-0000-0000-00009E3A0000}"/>
    <cellStyle name="Normal 184 2 5" xfId="15615" xr:uid="{00000000-0005-0000-0000-00009F3A0000}"/>
    <cellStyle name="Normal 184 3" xfId="15616" xr:uid="{00000000-0005-0000-0000-0000A03A0000}"/>
    <cellStyle name="Normal 184 3 2" xfId="15617" xr:uid="{00000000-0005-0000-0000-0000A13A0000}"/>
    <cellStyle name="Normal 184 3 2 2" xfId="15618" xr:uid="{00000000-0005-0000-0000-0000A23A0000}"/>
    <cellStyle name="Normal 184 3 2 2 2" xfId="15619" xr:uid="{00000000-0005-0000-0000-0000A33A0000}"/>
    <cellStyle name="Normal 184 3 2 3" xfId="15620" xr:uid="{00000000-0005-0000-0000-0000A43A0000}"/>
    <cellStyle name="Normal 184 3 2 3 2" xfId="15621" xr:uid="{00000000-0005-0000-0000-0000A53A0000}"/>
    <cellStyle name="Normal 184 3 2 3 2 2" xfId="15622" xr:uid="{00000000-0005-0000-0000-0000A63A0000}"/>
    <cellStyle name="Normal 184 3 2 3 3" xfId="15623" xr:uid="{00000000-0005-0000-0000-0000A73A0000}"/>
    <cellStyle name="Normal 184 3 2 4" xfId="15624" xr:uid="{00000000-0005-0000-0000-0000A83A0000}"/>
    <cellStyle name="Normal 184 3 3" xfId="15625" xr:uid="{00000000-0005-0000-0000-0000A93A0000}"/>
    <cellStyle name="Normal 184 3 3 2" xfId="15626" xr:uid="{00000000-0005-0000-0000-0000AA3A0000}"/>
    <cellStyle name="Normal 184 3 3 2 2" xfId="15627" xr:uid="{00000000-0005-0000-0000-0000AB3A0000}"/>
    <cellStyle name="Normal 184 3 3 3" xfId="15628" xr:uid="{00000000-0005-0000-0000-0000AC3A0000}"/>
    <cellStyle name="Normal 184 3 4" xfId="15629" xr:uid="{00000000-0005-0000-0000-0000AD3A0000}"/>
    <cellStyle name="Normal 184 3 4 2" xfId="15630" xr:uid="{00000000-0005-0000-0000-0000AE3A0000}"/>
    <cellStyle name="Normal 184 3 4 2 2" xfId="15631" xr:uid="{00000000-0005-0000-0000-0000AF3A0000}"/>
    <cellStyle name="Normal 184 3 4 3" xfId="15632" xr:uid="{00000000-0005-0000-0000-0000B03A0000}"/>
    <cellStyle name="Normal 184 3 5" xfId="15633" xr:uid="{00000000-0005-0000-0000-0000B13A0000}"/>
    <cellStyle name="Normal 184 3 5 2" xfId="15634" xr:uid="{00000000-0005-0000-0000-0000B23A0000}"/>
    <cellStyle name="Normal 184 3 5 2 2" xfId="15635" xr:uid="{00000000-0005-0000-0000-0000B33A0000}"/>
    <cellStyle name="Normal 184 3 5 3" xfId="15636" xr:uid="{00000000-0005-0000-0000-0000B43A0000}"/>
    <cellStyle name="Normal 184 3 6" xfId="15637" xr:uid="{00000000-0005-0000-0000-0000B53A0000}"/>
    <cellStyle name="Normal 184 4" xfId="15638" xr:uid="{00000000-0005-0000-0000-0000B63A0000}"/>
    <cellStyle name="Normal 184 4 2" xfId="15639" xr:uid="{00000000-0005-0000-0000-0000B73A0000}"/>
    <cellStyle name="Normal 184 4 2 2" xfId="15640" xr:uid="{00000000-0005-0000-0000-0000B83A0000}"/>
    <cellStyle name="Normal 184 4 3" xfId="15641" xr:uid="{00000000-0005-0000-0000-0000B93A0000}"/>
    <cellStyle name="Normal 184 5" xfId="15642" xr:uid="{00000000-0005-0000-0000-0000BA3A0000}"/>
    <cellStyle name="Normal 184 5 2" xfId="15643" xr:uid="{00000000-0005-0000-0000-0000BB3A0000}"/>
    <cellStyle name="Normal 184 5 2 2" xfId="15644" xr:uid="{00000000-0005-0000-0000-0000BC3A0000}"/>
    <cellStyle name="Normal 184 5 3" xfId="15645" xr:uid="{00000000-0005-0000-0000-0000BD3A0000}"/>
    <cellStyle name="Normal 184 6" xfId="15646" xr:uid="{00000000-0005-0000-0000-0000BE3A0000}"/>
    <cellStyle name="Normal 184 6 2" xfId="15647" xr:uid="{00000000-0005-0000-0000-0000BF3A0000}"/>
    <cellStyle name="Normal 184 6 2 2" xfId="15648" xr:uid="{00000000-0005-0000-0000-0000C03A0000}"/>
    <cellStyle name="Normal 184 6 3" xfId="15649" xr:uid="{00000000-0005-0000-0000-0000C13A0000}"/>
    <cellStyle name="Normal 184 7" xfId="15650" xr:uid="{00000000-0005-0000-0000-0000C23A0000}"/>
    <cellStyle name="Normal 185" xfId="15651" xr:uid="{00000000-0005-0000-0000-0000C33A0000}"/>
    <cellStyle name="Normal 185 2" xfId="15652" xr:uid="{00000000-0005-0000-0000-0000C43A0000}"/>
    <cellStyle name="Normal 185 2 2" xfId="15653" xr:uid="{00000000-0005-0000-0000-0000C53A0000}"/>
    <cellStyle name="Normal 185 2 2 2" xfId="15654" xr:uid="{00000000-0005-0000-0000-0000C63A0000}"/>
    <cellStyle name="Normal 185 2 3" xfId="15655" xr:uid="{00000000-0005-0000-0000-0000C73A0000}"/>
    <cellStyle name="Normal 185 2 3 2" xfId="15656" xr:uid="{00000000-0005-0000-0000-0000C83A0000}"/>
    <cellStyle name="Normal 185 2 3 2 2" xfId="15657" xr:uid="{00000000-0005-0000-0000-0000C93A0000}"/>
    <cellStyle name="Normal 185 2 3 3" xfId="15658" xr:uid="{00000000-0005-0000-0000-0000CA3A0000}"/>
    <cellStyle name="Normal 185 2 4" xfId="15659" xr:uid="{00000000-0005-0000-0000-0000CB3A0000}"/>
    <cellStyle name="Normal 185 2 4 2" xfId="15660" xr:uid="{00000000-0005-0000-0000-0000CC3A0000}"/>
    <cellStyle name="Normal 185 2 4 2 2" xfId="15661" xr:uid="{00000000-0005-0000-0000-0000CD3A0000}"/>
    <cellStyle name="Normal 185 2 4 3" xfId="15662" xr:uid="{00000000-0005-0000-0000-0000CE3A0000}"/>
    <cellStyle name="Normal 185 2 5" xfId="15663" xr:uid="{00000000-0005-0000-0000-0000CF3A0000}"/>
    <cellStyle name="Normal 185 3" xfId="15664" xr:uid="{00000000-0005-0000-0000-0000D03A0000}"/>
    <cellStyle name="Normal 185 3 2" xfId="15665" xr:uid="{00000000-0005-0000-0000-0000D13A0000}"/>
    <cellStyle name="Normal 185 3 2 2" xfId="15666" xr:uid="{00000000-0005-0000-0000-0000D23A0000}"/>
    <cellStyle name="Normal 185 3 2 2 2" xfId="15667" xr:uid="{00000000-0005-0000-0000-0000D33A0000}"/>
    <cellStyle name="Normal 185 3 2 3" xfId="15668" xr:uid="{00000000-0005-0000-0000-0000D43A0000}"/>
    <cellStyle name="Normal 185 3 2 3 2" xfId="15669" xr:uid="{00000000-0005-0000-0000-0000D53A0000}"/>
    <cellStyle name="Normal 185 3 2 3 2 2" xfId="15670" xr:uid="{00000000-0005-0000-0000-0000D63A0000}"/>
    <cellStyle name="Normal 185 3 2 3 3" xfId="15671" xr:uid="{00000000-0005-0000-0000-0000D73A0000}"/>
    <cellStyle name="Normal 185 3 2 4" xfId="15672" xr:uid="{00000000-0005-0000-0000-0000D83A0000}"/>
    <cellStyle name="Normal 185 3 3" xfId="15673" xr:uid="{00000000-0005-0000-0000-0000D93A0000}"/>
    <cellStyle name="Normal 185 3 3 2" xfId="15674" xr:uid="{00000000-0005-0000-0000-0000DA3A0000}"/>
    <cellStyle name="Normal 185 3 3 2 2" xfId="15675" xr:uid="{00000000-0005-0000-0000-0000DB3A0000}"/>
    <cellStyle name="Normal 185 3 3 3" xfId="15676" xr:uid="{00000000-0005-0000-0000-0000DC3A0000}"/>
    <cellStyle name="Normal 185 3 4" xfId="15677" xr:uid="{00000000-0005-0000-0000-0000DD3A0000}"/>
    <cellStyle name="Normal 185 3 4 2" xfId="15678" xr:uid="{00000000-0005-0000-0000-0000DE3A0000}"/>
    <cellStyle name="Normal 185 3 4 2 2" xfId="15679" xr:uid="{00000000-0005-0000-0000-0000DF3A0000}"/>
    <cellStyle name="Normal 185 3 4 3" xfId="15680" xr:uid="{00000000-0005-0000-0000-0000E03A0000}"/>
    <cellStyle name="Normal 185 3 5" xfId="15681" xr:uid="{00000000-0005-0000-0000-0000E13A0000}"/>
    <cellStyle name="Normal 185 3 5 2" xfId="15682" xr:uid="{00000000-0005-0000-0000-0000E23A0000}"/>
    <cellStyle name="Normal 185 3 5 2 2" xfId="15683" xr:uid="{00000000-0005-0000-0000-0000E33A0000}"/>
    <cellStyle name="Normal 185 3 5 3" xfId="15684" xr:uid="{00000000-0005-0000-0000-0000E43A0000}"/>
    <cellStyle name="Normal 185 3 6" xfId="15685" xr:uid="{00000000-0005-0000-0000-0000E53A0000}"/>
    <cellStyle name="Normal 185 4" xfId="15686" xr:uid="{00000000-0005-0000-0000-0000E63A0000}"/>
    <cellStyle name="Normal 185 4 2" xfId="15687" xr:uid="{00000000-0005-0000-0000-0000E73A0000}"/>
    <cellStyle name="Normal 185 4 2 2" xfId="15688" xr:uid="{00000000-0005-0000-0000-0000E83A0000}"/>
    <cellStyle name="Normal 185 4 3" xfId="15689" xr:uid="{00000000-0005-0000-0000-0000E93A0000}"/>
    <cellStyle name="Normal 185 5" xfId="15690" xr:uid="{00000000-0005-0000-0000-0000EA3A0000}"/>
    <cellStyle name="Normal 185 5 2" xfId="15691" xr:uid="{00000000-0005-0000-0000-0000EB3A0000}"/>
    <cellStyle name="Normal 185 5 2 2" xfId="15692" xr:uid="{00000000-0005-0000-0000-0000EC3A0000}"/>
    <cellStyle name="Normal 185 5 3" xfId="15693" xr:uid="{00000000-0005-0000-0000-0000ED3A0000}"/>
    <cellStyle name="Normal 185 6" xfId="15694" xr:uid="{00000000-0005-0000-0000-0000EE3A0000}"/>
    <cellStyle name="Normal 185 6 2" xfId="15695" xr:uid="{00000000-0005-0000-0000-0000EF3A0000}"/>
    <cellStyle name="Normal 185 6 2 2" xfId="15696" xr:uid="{00000000-0005-0000-0000-0000F03A0000}"/>
    <cellStyle name="Normal 185 6 3" xfId="15697" xr:uid="{00000000-0005-0000-0000-0000F13A0000}"/>
    <cellStyle name="Normal 185 7" xfId="15698" xr:uid="{00000000-0005-0000-0000-0000F23A0000}"/>
    <cellStyle name="Normal 186" xfId="15699" xr:uid="{00000000-0005-0000-0000-0000F33A0000}"/>
    <cellStyle name="Normal 186 2" xfId="15700" xr:uid="{00000000-0005-0000-0000-0000F43A0000}"/>
    <cellStyle name="Normal 186 2 2" xfId="15701" xr:uid="{00000000-0005-0000-0000-0000F53A0000}"/>
    <cellStyle name="Normal 186 2 2 2" xfId="15702" xr:uid="{00000000-0005-0000-0000-0000F63A0000}"/>
    <cellStyle name="Normal 186 2 3" xfId="15703" xr:uid="{00000000-0005-0000-0000-0000F73A0000}"/>
    <cellStyle name="Normal 186 2 3 2" xfId="15704" xr:uid="{00000000-0005-0000-0000-0000F83A0000}"/>
    <cellStyle name="Normal 186 2 3 2 2" xfId="15705" xr:uid="{00000000-0005-0000-0000-0000F93A0000}"/>
    <cellStyle name="Normal 186 2 3 3" xfId="15706" xr:uid="{00000000-0005-0000-0000-0000FA3A0000}"/>
    <cellStyle name="Normal 186 2 4" xfId="15707" xr:uid="{00000000-0005-0000-0000-0000FB3A0000}"/>
    <cellStyle name="Normal 186 2 4 2" xfId="15708" xr:uid="{00000000-0005-0000-0000-0000FC3A0000}"/>
    <cellStyle name="Normal 186 2 4 2 2" xfId="15709" xr:uid="{00000000-0005-0000-0000-0000FD3A0000}"/>
    <cellStyle name="Normal 186 2 4 3" xfId="15710" xr:uid="{00000000-0005-0000-0000-0000FE3A0000}"/>
    <cellStyle name="Normal 186 2 5" xfId="15711" xr:uid="{00000000-0005-0000-0000-0000FF3A0000}"/>
    <cellStyle name="Normal 186 3" xfId="15712" xr:uid="{00000000-0005-0000-0000-0000003B0000}"/>
    <cellStyle name="Normal 186 3 2" xfId="15713" xr:uid="{00000000-0005-0000-0000-0000013B0000}"/>
    <cellStyle name="Normal 186 3 2 2" xfId="15714" xr:uid="{00000000-0005-0000-0000-0000023B0000}"/>
    <cellStyle name="Normal 186 3 2 2 2" xfId="15715" xr:uid="{00000000-0005-0000-0000-0000033B0000}"/>
    <cellStyle name="Normal 186 3 2 3" xfId="15716" xr:uid="{00000000-0005-0000-0000-0000043B0000}"/>
    <cellStyle name="Normal 186 3 2 3 2" xfId="15717" xr:uid="{00000000-0005-0000-0000-0000053B0000}"/>
    <cellStyle name="Normal 186 3 2 3 2 2" xfId="15718" xr:uid="{00000000-0005-0000-0000-0000063B0000}"/>
    <cellStyle name="Normal 186 3 2 3 3" xfId="15719" xr:uid="{00000000-0005-0000-0000-0000073B0000}"/>
    <cellStyle name="Normal 186 3 2 4" xfId="15720" xr:uid="{00000000-0005-0000-0000-0000083B0000}"/>
    <cellStyle name="Normal 186 3 3" xfId="15721" xr:uid="{00000000-0005-0000-0000-0000093B0000}"/>
    <cellStyle name="Normal 186 3 3 2" xfId="15722" xr:uid="{00000000-0005-0000-0000-00000A3B0000}"/>
    <cellStyle name="Normal 186 3 3 2 2" xfId="15723" xr:uid="{00000000-0005-0000-0000-00000B3B0000}"/>
    <cellStyle name="Normal 186 3 3 3" xfId="15724" xr:uid="{00000000-0005-0000-0000-00000C3B0000}"/>
    <cellStyle name="Normal 186 3 4" xfId="15725" xr:uid="{00000000-0005-0000-0000-00000D3B0000}"/>
    <cellStyle name="Normal 186 3 4 2" xfId="15726" xr:uid="{00000000-0005-0000-0000-00000E3B0000}"/>
    <cellStyle name="Normal 186 3 4 2 2" xfId="15727" xr:uid="{00000000-0005-0000-0000-00000F3B0000}"/>
    <cellStyle name="Normal 186 3 4 3" xfId="15728" xr:uid="{00000000-0005-0000-0000-0000103B0000}"/>
    <cellStyle name="Normal 186 3 5" xfId="15729" xr:uid="{00000000-0005-0000-0000-0000113B0000}"/>
    <cellStyle name="Normal 186 3 5 2" xfId="15730" xr:uid="{00000000-0005-0000-0000-0000123B0000}"/>
    <cellStyle name="Normal 186 3 5 2 2" xfId="15731" xr:uid="{00000000-0005-0000-0000-0000133B0000}"/>
    <cellStyle name="Normal 186 3 5 3" xfId="15732" xr:uid="{00000000-0005-0000-0000-0000143B0000}"/>
    <cellStyle name="Normal 186 3 6" xfId="15733" xr:uid="{00000000-0005-0000-0000-0000153B0000}"/>
    <cellStyle name="Normal 186 4" xfId="15734" xr:uid="{00000000-0005-0000-0000-0000163B0000}"/>
    <cellStyle name="Normal 186 4 2" xfId="15735" xr:uid="{00000000-0005-0000-0000-0000173B0000}"/>
    <cellStyle name="Normal 186 4 2 2" xfId="15736" xr:uid="{00000000-0005-0000-0000-0000183B0000}"/>
    <cellStyle name="Normal 186 4 3" xfId="15737" xr:uid="{00000000-0005-0000-0000-0000193B0000}"/>
    <cellStyle name="Normal 186 5" xfId="15738" xr:uid="{00000000-0005-0000-0000-00001A3B0000}"/>
    <cellStyle name="Normal 186 5 2" xfId="15739" xr:uid="{00000000-0005-0000-0000-00001B3B0000}"/>
    <cellStyle name="Normal 186 5 2 2" xfId="15740" xr:uid="{00000000-0005-0000-0000-00001C3B0000}"/>
    <cellStyle name="Normal 186 5 3" xfId="15741" xr:uid="{00000000-0005-0000-0000-00001D3B0000}"/>
    <cellStyle name="Normal 186 6" xfId="15742" xr:uid="{00000000-0005-0000-0000-00001E3B0000}"/>
    <cellStyle name="Normal 186 6 2" xfId="15743" xr:uid="{00000000-0005-0000-0000-00001F3B0000}"/>
    <cellStyle name="Normal 186 6 2 2" xfId="15744" xr:uid="{00000000-0005-0000-0000-0000203B0000}"/>
    <cellStyle name="Normal 186 6 3" xfId="15745" xr:uid="{00000000-0005-0000-0000-0000213B0000}"/>
    <cellStyle name="Normal 186 7" xfId="15746" xr:uid="{00000000-0005-0000-0000-0000223B0000}"/>
    <cellStyle name="Normal 187" xfId="15747" xr:uid="{00000000-0005-0000-0000-0000233B0000}"/>
    <cellStyle name="Normal 187 2" xfId="15748" xr:uid="{00000000-0005-0000-0000-0000243B0000}"/>
    <cellStyle name="Normal 187 2 2" xfId="15749" xr:uid="{00000000-0005-0000-0000-0000253B0000}"/>
    <cellStyle name="Normal 187 2 2 2" xfId="15750" xr:uid="{00000000-0005-0000-0000-0000263B0000}"/>
    <cellStyle name="Normal 187 2 3" xfId="15751" xr:uid="{00000000-0005-0000-0000-0000273B0000}"/>
    <cellStyle name="Normal 187 2 3 2" xfId="15752" xr:uid="{00000000-0005-0000-0000-0000283B0000}"/>
    <cellStyle name="Normal 187 2 3 2 2" xfId="15753" xr:uid="{00000000-0005-0000-0000-0000293B0000}"/>
    <cellStyle name="Normal 187 2 3 3" xfId="15754" xr:uid="{00000000-0005-0000-0000-00002A3B0000}"/>
    <cellStyle name="Normal 187 2 4" xfId="15755" xr:uid="{00000000-0005-0000-0000-00002B3B0000}"/>
    <cellStyle name="Normal 187 2 4 2" xfId="15756" xr:uid="{00000000-0005-0000-0000-00002C3B0000}"/>
    <cellStyle name="Normal 187 2 4 2 2" xfId="15757" xr:uid="{00000000-0005-0000-0000-00002D3B0000}"/>
    <cellStyle name="Normal 187 2 4 3" xfId="15758" xr:uid="{00000000-0005-0000-0000-00002E3B0000}"/>
    <cellStyle name="Normal 187 2 5" xfId="15759" xr:uid="{00000000-0005-0000-0000-00002F3B0000}"/>
    <cellStyle name="Normal 187 3" xfId="15760" xr:uid="{00000000-0005-0000-0000-0000303B0000}"/>
    <cellStyle name="Normal 187 3 2" xfId="15761" xr:uid="{00000000-0005-0000-0000-0000313B0000}"/>
    <cellStyle name="Normal 187 3 2 2" xfId="15762" xr:uid="{00000000-0005-0000-0000-0000323B0000}"/>
    <cellStyle name="Normal 187 3 2 2 2" xfId="15763" xr:uid="{00000000-0005-0000-0000-0000333B0000}"/>
    <cellStyle name="Normal 187 3 2 3" xfId="15764" xr:uid="{00000000-0005-0000-0000-0000343B0000}"/>
    <cellStyle name="Normal 187 3 2 3 2" xfId="15765" xr:uid="{00000000-0005-0000-0000-0000353B0000}"/>
    <cellStyle name="Normal 187 3 2 3 2 2" xfId="15766" xr:uid="{00000000-0005-0000-0000-0000363B0000}"/>
    <cellStyle name="Normal 187 3 2 3 3" xfId="15767" xr:uid="{00000000-0005-0000-0000-0000373B0000}"/>
    <cellStyle name="Normal 187 3 2 4" xfId="15768" xr:uid="{00000000-0005-0000-0000-0000383B0000}"/>
    <cellStyle name="Normal 187 3 3" xfId="15769" xr:uid="{00000000-0005-0000-0000-0000393B0000}"/>
    <cellStyle name="Normal 187 3 3 2" xfId="15770" xr:uid="{00000000-0005-0000-0000-00003A3B0000}"/>
    <cellStyle name="Normal 187 3 3 2 2" xfId="15771" xr:uid="{00000000-0005-0000-0000-00003B3B0000}"/>
    <cellStyle name="Normal 187 3 3 3" xfId="15772" xr:uid="{00000000-0005-0000-0000-00003C3B0000}"/>
    <cellStyle name="Normal 187 3 4" xfId="15773" xr:uid="{00000000-0005-0000-0000-00003D3B0000}"/>
    <cellStyle name="Normal 187 3 4 2" xfId="15774" xr:uid="{00000000-0005-0000-0000-00003E3B0000}"/>
    <cellStyle name="Normal 187 3 4 2 2" xfId="15775" xr:uid="{00000000-0005-0000-0000-00003F3B0000}"/>
    <cellStyle name="Normal 187 3 4 3" xfId="15776" xr:uid="{00000000-0005-0000-0000-0000403B0000}"/>
    <cellStyle name="Normal 187 3 5" xfId="15777" xr:uid="{00000000-0005-0000-0000-0000413B0000}"/>
    <cellStyle name="Normal 187 3 5 2" xfId="15778" xr:uid="{00000000-0005-0000-0000-0000423B0000}"/>
    <cellStyle name="Normal 187 3 5 2 2" xfId="15779" xr:uid="{00000000-0005-0000-0000-0000433B0000}"/>
    <cellStyle name="Normal 187 3 5 3" xfId="15780" xr:uid="{00000000-0005-0000-0000-0000443B0000}"/>
    <cellStyle name="Normal 187 3 6" xfId="15781" xr:uid="{00000000-0005-0000-0000-0000453B0000}"/>
    <cellStyle name="Normal 187 4" xfId="15782" xr:uid="{00000000-0005-0000-0000-0000463B0000}"/>
    <cellStyle name="Normal 187 4 2" xfId="15783" xr:uid="{00000000-0005-0000-0000-0000473B0000}"/>
    <cellStyle name="Normal 187 4 2 2" xfId="15784" xr:uid="{00000000-0005-0000-0000-0000483B0000}"/>
    <cellStyle name="Normal 187 4 3" xfId="15785" xr:uid="{00000000-0005-0000-0000-0000493B0000}"/>
    <cellStyle name="Normal 187 5" xfId="15786" xr:uid="{00000000-0005-0000-0000-00004A3B0000}"/>
    <cellStyle name="Normal 187 5 2" xfId="15787" xr:uid="{00000000-0005-0000-0000-00004B3B0000}"/>
    <cellStyle name="Normal 187 5 2 2" xfId="15788" xr:uid="{00000000-0005-0000-0000-00004C3B0000}"/>
    <cellStyle name="Normal 187 5 3" xfId="15789" xr:uid="{00000000-0005-0000-0000-00004D3B0000}"/>
    <cellStyle name="Normal 187 6" xfId="15790" xr:uid="{00000000-0005-0000-0000-00004E3B0000}"/>
    <cellStyle name="Normal 187 6 2" xfId="15791" xr:uid="{00000000-0005-0000-0000-00004F3B0000}"/>
    <cellStyle name="Normal 187 6 2 2" xfId="15792" xr:uid="{00000000-0005-0000-0000-0000503B0000}"/>
    <cellStyle name="Normal 187 6 3" xfId="15793" xr:uid="{00000000-0005-0000-0000-0000513B0000}"/>
    <cellStyle name="Normal 187 7" xfId="15794" xr:uid="{00000000-0005-0000-0000-0000523B0000}"/>
    <cellStyle name="Normal 188" xfId="15795" xr:uid="{00000000-0005-0000-0000-0000533B0000}"/>
    <cellStyle name="Normal 188 2" xfId="15796" xr:uid="{00000000-0005-0000-0000-0000543B0000}"/>
    <cellStyle name="Normal 188 2 2" xfId="15797" xr:uid="{00000000-0005-0000-0000-0000553B0000}"/>
    <cellStyle name="Normal 188 2 2 2" xfId="15798" xr:uid="{00000000-0005-0000-0000-0000563B0000}"/>
    <cellStyle name="Normal 188 2 3" xfId="15799" xr:uid="{00000000-0005-0000-0000-0000573B0000}"/>
    <cellStyle name="Normal 188 2 3 2" xfId="15800" xr:uid="{00000000-0005-0000-0000-0000583B0000}"/>
    <cellStyle name="Normal 188 2 3 2 2" xfId="15801" xr:uid="{00000000-0005-0000-0000-0000593B0000}"/>
    <cellStyle name="Normal 188 2 3 3" xfId="15802" xr:uid="{00000000-0005-0000-0000-00005A3B0000}"/>
    <cellStyle name="Normal 188 2 4" xfId="15803" xr:uid="{00000000-0005-0000-0000-00005B3B0000}"/>
    <cellStyle name="Normal 188 2 4 2" xfId="15804" xr:uid="{00000000-0005-0000-0000-00005C3B0000}"/>
    <cellStyle name="Normal 188 2 4 2 2" xfId="15805" xr:uid="{00000000-0005-0000-0000-00005D3B0000}"/>
    <cellStyle name="Normal 188 2 4 3" xfId="15806" xr:uid="{00000000-0005-0000-0000-00005E3B0000}"/>
    <cellStyle name="Normal 188 2 5" xfId="15807" xr:uid="{00000000-0005-0000-0000-00005F3B0000}"/>
    <cellStyle name="Normal 188 3" xfId="15808" xr:uid="{00000000-0005-0000-0000-0000603B0000}"/>
    <cellStyle name="Normal 188 3 2" xfId="15809" xr:uid="{00000000-0005-0000-0000-0000613B0000}"/>
    <cellStyle name="Normal 188 3 2 2" xfId="15810" xr:uid="{00000000-0005-0000-0000-0000623B0000}"/>
    <cellStyle name="Normal 188 3 2 2 2" xfId="15811" xr:uid="{00000000-0005-0000-0000-0000633B0000}"/>
    <cellStyle name="Normal 188 3 2 3" xfId="15812" xr:uid="{00000000-0005-0000-0000-0000643B0000}"/>
    <cellStyle name="Normal 188 3 2 3 2" xfId="15813" xr:uid="{00000000-0005-0000-0000-0000653B0000}"/>
    <cellStyle name="Normal 188 3 2 3 2 2" xfId="15814" xr:uid="{00000000-0005-0000-0000-0000663B0000}"/>
    <cellStyle name="Normal 188 3 2 3 3" xfId="15815" xr:uid="{00000000-0005-0000-0000-0000673B0000}"/>
    <cellStyle name="Normal 188 3 2 4" xfId="15816" xr:uid="{00000000-0005-0000-0000-0000683B0000}"/>
    <cellStyle name="Normal 188 3 3" xfId="15817" xr:uid="{00000000-0005-0000-0000-0000693B0000}"/>
    <cellStyle name="Normal 188 3 3 2" xfId="15818" xr:uid="{00000000-0005-0000-0000-00006A3B0000}"/>
    <cellStyle name="Normal 188 3 3 2 2" xfId="15819" xr:uid="{00000000-0005-0000-0000-00006B3B0000}"/>
    <cellStyle name="Normal 188 3 3 3" xfId="15820" xr:uid="{00000000-0005-0000-0000-00006C3B0000}"/>
    <cellStyle name="Normal 188 3 4" xfId="15821" xr:uid="{00000000-0005-0000-0000-00006D3B0000}"/>
    <cellStyle name="Normal 188 3 4 2" xfId="15822" xr:uid="{00000000-0005-0000-0000-00006E3B0000}"/>
    <cellStyle name="Normal 188 3 4 2 2" xfId="15823" xr:uid="{00000000-0005-0000-0000-00006F3B0000}"/>
    <cellStyle name="Normal 188 3 4 3" xfId="15824" xr:uid="{00000000-0005-0000-0000-0000703B0000}"/>
    <cellStyle name="Normal 188 3 5" xfId="15825" xr:uid="{00000000-0005-0000-0000-0000713B0000}"/>
    <cellStyle name="Normal 188 3 5 2" xfId="15826" xr:uid="{00000000-0005-0000-0000-0000723B0000}"/>
    <cellStyle name="Normal 188 3 5 2 2" xfId="15827" xr:uid="{00000000-0005-0000-0000-0000733B0000}"/>
    <cellStyle name="Normal 188 3 5 3" xfId="15828" xr:uid="{00000000-0005-0000-0000-0000743B0000}"/>
    <cellStyle name="Normal 188 3 6" xfId="15829" xr:uid="{00000000-0005-0000-0000-0000753B0000}"/>
    <cellStyle name="Normal 188 4" xfId="15830" xr:uid="{00000000-0005-0000-0000-0000763B0000}"/>
    <cellStyle name="Normal 188 4 2" xfId="15831" xr:uid="{00000000-0005-0000-0000-0000773B0000}"/>
    <cellStyle name="Normal 188 4 2 2" xfId="15832" xr:uid="{00000000-0005-0000-0000-0000783B0000}"/>
    <cellStyle name="Normal 188 4 3" xfId="15833" xr:uid="{00000000-0005-0000-0000-0000793B0000}"/>
    <cellStyle name="Normal 188 5" xfId="15834" xr:uid="{00000000-0005-0000-0000-00007A3B0000}"/>
    <cellStyle name="Normal 188 5 2" xfId="15835" xr:uid="{00000000-0005-0000-0000-00007B3B0000}"/>
    <cellStyle name="Normal 188 5 2 2" xfId="15836" xr:uid="{00000000-0005-0000-0000-00007C3B0000}"/>
    <cellStyle name="Normal 188 5 3" xfId="15837" xr:uid="{00000000-0005-0000-0000-00007D3B0000}"/>
    <cellStyle name="Normal 188 6" xfId="15838" xr:uid="{00000000-0005-0000-0000-00007E3B0000}"/>
    <cellStyle name="Normal 188 6 2" xfId="15839" xr:uid="{00000000-0005-0000-0000-00007F3B0000}"/>
    <cellStyle name="Normal 188 6 2 2" xfId="15840" xr:uid="{00000000-0005-0000-0000-0000803B0000}"/>
    <cellStyle name="Normal 188 6 3" xfId="15841" xr:uid="{00000000-0005-0000-0000-0000813B0000}"/>
    <cellStyle name="Normal 188 7" xfId="15842" xr:uid="{00000000-0005-0000-0000-0000823B0000}"/>
    <cellStyle name="Normal 189" xfId="15843" xr:uid="{00000000-0005-0000-0000-0000833B0000}"/>
    <cellStyle name="Normal 189 2" xfId="15844" xr:uid="{00000000-0005-0000-0000-0000843B0000}"/>
    <cellStyle name="Normal 189 2 2" xfId="15845" xr:uid="{00000000-0005-0000-0000-0000853B0000}"/>
    <cellStyle name="Normal 189 2 2 2" xfId="15846" xr:uid="{00000000-0005-0000-0000-0000863B0000}"/>
    <cellStyle name="Normal 189 2 3" xfId="15847" xr:uid="{00000000-0005-0000-0000-0000873B0000}"/>
    <cellStyle name="Normal 189 2 3 2" xfId="15848" xr:uid="{00000000-0005-0000-0000-0000883B0000}"/>
    <cellStyle name="Normal 189 2 3 2 2" xfId="15849" xr:uid="{00000000-0005-0000-0000-0000893B0000}"/>
    <cellStyle name="Normal 189 2 3 3" xfId="15850" xr:uid="{00000000-0005-0000-0000-00008A3B0000}"/>
    <cellStyle name="Normal 189 2 4" xfId="15851" xr:uid="{00000000-0005-0000-0000-00008B3B0000}"/>
    <cellStyle name="Normal 189 2 4 2" xfId="15852" xr:uid="{00000000-0005-0000-0000-00008C3B0000}"/>
    <cellStyle name="Normal 189 2 4 2 2" xfId="15853" xr:uid="{00000000-0005-0000-0000-00008D3B0000}"/>
    <cellStyle name="Normal 189 2 4 3" xfId="15854" xr:uid="{00000000-0005-0000-0000-00008E3B0000}"/>
    <cellStyle name="Normal 189 2 5" xfId="15855" xr:uid="{00000000-0005-0000-0000-00008F3B0000}"/>
    <cellStyle name="Normal 189 3" xfId="15856" xr:uid="{00000000-0005-0000-0000-0000903B0000}"/>
    <cellStyle name="Normal 189 3 2" xfId="15857" xr:uid="{00000000-0005-0000-0000-0000913B0000}"/>
    <cellStyle name="Normal 189 3 2 2" xfId="15858" xr:uid="{00000000-0005-0000-0000-0000923B0000}"/>
    <cellStyle name="Normal 189 3 2 2 2" xfId="15859" xr:uid="{00000000-0005-0000-0000-0000933B0000}"/>
    <cellStyle name="Normal 189 3 2 3" xfId="15860" xr:uid="{00000000-0005-0000-0000-0000943B0000}"/>
    <cellStyle name="Normal 189 3 2 3 2" xfId="15861" xr:uid="{00000000-0005-0000-0000-0000953B0000}"/>
    <cellStyle name="Normal 189 3 2 3 2 2" xfId="15862" xr:uid="{00000000-0005-0000-0000-0000963B0000}"/>
    <cellStyle name="Normal 189 3 2 3 3" xfId="15863" xr:uid="{00000000-0005-0000-0000-0000973B0000}"/>
    <cellStyle name="Normal 189 3 2 4" xfId="15864" xr:uid="{00000000-0005-0000-0000-0000983B0000}"/>
    <cellStyle name="Normal 189 3 3" xfId="15865" xr:uid="{00000000-0005-0000-0000-0000993B0000}"/>
    <cellStyle name="Normal 189 3 3 2" xfId="15866" xr:uid="{00000000-0005-0000-0000-00009A3B0000}"/>
    <cellStyle name="Normal 189 3 3 2 2" xfId="15867" xr:uid="{00000000-0005-0000-0000-00009B3B0000}"/>
    <cellStyle name="Normal 189 3 3 3" xfId="15868" xr:uid="{00000000-0005-0000-0000-00009C3B0000}"/>
    <cellStyle name="Normal 189 3 4" xfId="15869" xr:uid="{00000000-0005-0000-0000-00009D3B0000}"/>
    <cellStyle name="Normal 189 3 4 2" xfId="15870" xr:uid="{00000000-0005-0000-0000-00009E3B0000}"/>
    <cellStyle name="Normal 189 3 4 2 2" xfId="15871" xr:uid="{00000000-0005-0000-0000-00009F3B0000}"/>
    <cellStyle name="Normal 189 3 4 3" xfId="15872" xr:uid="{00000000-0005-0000-0000-0000A03B0000}"/>
    <cellStyle name="Normal 189 3 5" xfId="15873" xr:uid="{00000000-0005-0000-0000-0000A13B0000}"/>
    <cellStyle name="Normal 189 3 5 2" xfId="15874" xr:uid="{00000000-0005-0000-0000-0000A23B0000}"/>
    <cellStyle name="Normal 189 3 5 2 2" xfId="15875" xr:uid="{00000000-0005-0000-0000-0000A33B0000}"/>
    <cellStyle name="Normal 189 3 5 3" xfId="15876" xr:uid="{00000000-0005-0000-0000-0000A43B0000}"/>
    <cellStyle name="Normal 189 3 6" xfId="15877" xr:uid="{00000000-0005-0000-0000-0000A53B0000}"/>
    <cellStyle name="Normal 189 4" xfId="15878" xr:uid="{00000000-0005-0000-0000-0000A63B0000}"/>
    <cellStyle name="Normal 189 4 2" xfId="15879" xr:uid="{00000000-0005-0000-0000-0000A73B0000}"/>
    <cellStyle name="Normal 189 4 2 2" xfId="15880" xr:uid="{00000000-0005-0000-0000-0000A83B0000}"/>
    <cellStyle name="Normal 189 4 3" xfId="15881" xr:uid="{00000000-0005-0000-0000-0000A93B0000}"/>
    <cellStyle name="Normal 189 5" xfId="15882" xr:uid="{00000000-0005-0000-0000-0000AA3B0000}"/>
    <cellStyle name="Normal 189 5 2" xfId="15883" xr:uid="{00000000-0005-0000-0000-0000AB3B0000}"/>
    <cellStyle name="Normal 189 5 2 2" xfId="15884" xr:uid="{00000000-0005-0000-0000-0000AC3B0000}"/>
    <cellStyle name="Normal 189 5 3" xfId="15885" xr:uid="{00000000-0005-0000-0000-0000AD3B0000}"/>
    <cellStyle name="Normal 189 6" xfId="15886" xr:uid="{00000000-0005-0000-0000-0000AE3B0000}"/>
    <cellStyle name="Normal 189 6 2" xfId="15887" xr:uid="{00000000-0005-0000-0000-0000AF3B0000}"/>
    <cellStyle name="Normal 189 6 2 2" xfId="15888" xr:uid="{00000000-0005-0000-0000-0000B03B0000}"/>
    <cellStyle name="Normal 189 6 3" xfId="15889" xr:uid="{00000000-0005-0000-0000-0000B13B0000}"/>
    <cellStyle name="Normal 189 7" xfId="15890" xr:uid="{00000000-0005-0000-0000-0000B23B0000}"/>
    <cellStyle name="Normal 19" xfId="15891" xr:uid="{00000000-0005-0000-0000-0000B33B0000}"/>
    <cellStyle name="Normal 19 2" xfId="15892" xr:uid="{00000000-0005-0000-0000-0000B43B0000}"/>
    <cellStyle name="Normal 19 2 2" xfId="15893" xr:uid="{00000000-0005-0000-0000-0000B53B0000}"/>
    <cellStyle name="Normal 19 2 2 2" xfId="15894" xr:uid="{00000000-0005-0000-0000-0000B63B0000}"/>
    <cellStyle name="Normal 19 2 2 2 2" xfId="15895" xr:uid="{00000000-0005-0000-0000-0000B73B0000}"/>
    <cellStyle name="Normal 19 2 2 3" xfId="15896" xr:uid="{00000000-0005-0000-0000-0000B83B0000}"/>
    <cellStyle name="Normal 19 2 2 3 2" xfId="15897" xr:uid="{00000000-0005-0000-0000-0000B93B0000}"/>
    <cellStyle name="Normal 19 2 2 3 2 2" xfId="15898" xr:uid="{00000000-0005-0000-0000-0000BA3B0000}"/>
    <cellStyle name="Normal 19 2 2 3 3" xfId="15899" xr:uid="{00000000-0005-0000-0000-0000BB3B0000}"/>
    <cellStyle name="Normal 19 2 2 4" xfId="15900" xr:uid="{00000000-0005-0000-0000-0000BC3B0000}"/>
    <cellStyle name="Normal 19 2 2 4 2" xfId="15901" xr:uid="{00000000-0005-0000-0000-0000BD3B0000}"/>
    <cellStyle name="Normal 19 2 2 4 2 2" xfId="15902" xr:uid="{00000000-0005-0000-0000-0000BE3B0000}"/>
    <cellStyle name="Normal 19 2 2 4 3" xfId="15903" xr:uid="{00000000-0005-0000-0000-0000BF3B0000}"/>
    <cellStyle name="Normal 19 2 2 5" xfId="15904" xr:uid="{00000000-0005-0000-0000-0000C03B0000}"/>
    <cellStyle name="Normal 19 2 3" xfId="15905" xr:uid="{00000000-0005-0000-0000-0000C13B0000}"/>
    <cellStyle name="Normal 19 2 3 2" xfId="15906" xr:uid="{00000000-0005-0000-0000-0000C23B0000}"/>
    <cellStyle name="Normal 19 2 3 2 2" xfId="15907" xr:uid="{00000000-0005-0000-0000-0000C33B0000}"/>
    <cellStyle name="Normal 19 2 3 3" xfId="15908" xr:uid="{00000000-0005-0000-0000-0000C43B0000}"/>
    <cellStyle name="Normal 19 2 4" xfId="15909" xr:uid="{00000000-0005-0000-0000-0000C53B0000}"/>
    <cellStyle name="Normal 19 2 4 2" xfId="15910" xr:uid="{00000000-0005-0000-0000-0000C63B0000}"/>
    <cellStyle name="Normal 19 2 4 2 2" xfId="15911" xr:uid="{00000000-0005-0000-0000-0000C73B0000}"/>
    <cellStyle name="Normal 19 2 4 3" xfId="15912" xr:uid="{00000000-0005-0000-0000-0000C83B0000}"/>
    <cellStyle name="Normal 19 2 5" xfId="15913" xr:uid="{00000000-0005-0000-0000-0000C93B0000}"/>
    <cellStyle name="Normal 19 2 5 2" xfId="15914" xr:uid="{00000000-0005-0000-0000-0000CA3B0000}"/>
    <cellStyle name="Normal 19 2 5 2 2" xfId="15915" xr:uid="{00000000-0005-0000-0000-0000CB3B0000}"/>
    <cellStyle name="Normal 19 2 5 3" xfId="15916" xr:uid="{00000000-0005-0000-0000-0000CC3B0000}"/>
    <cellStyle name="Normal 19 2 6" xfId="15917" xr:uid="{00000000-0005-0000-0000-0000CD3B0000}"/>
    <cellStyle name="Normal 19 3" xfId="15918" xr:uid="{00000000-0005-0000-0000-0000CE3B0000}"/>
    <cellStyle name="Normal 19 3 2" xfId="15919" xr:uid="{00000000-0005-0000-0000-0000CF3B0000}"/>
    <cellStyle name="Normal 19 3 2 2" xfId="15920" xr:uid="{00000000-0005-0000-0000-0000D03B0000}"/>
    <cellStyle name="Normal 19 3 3" xfId="15921" xr:uid="{00000000-0005-0000-0000-0000D13B0000}"/>
    <cellStyle name="Normal 19 3 3 2" xfId="15922" xr:uid="{00000000-0005-0000-0000-0000D23B0000}"/>
    <cellStyle name="Normal 19 3 3 2 2" xfId="15923" xr:uid="{00000000-0005-0000-0000-0000D33B0000}"/>
    <cellStyle name="Normal 19 3 3 3" xfId="15924" xr:uid="{00000000-0005-0000-0000-0000D43B0000}"/>
    <cellStyle name="Normal 19 3 4" xfId="15925" xr:uid="{00000000-0005-0000-0000-0000D53B0000}"/>
    <cellStyle name="Normal 19 3 4 2" xfId="15926" xr:uid="{00000000-0005-0000-0000-0000D63B0000}"/>
    <cellStyle name="Normal 19 3 4 2 2" xfId="15927" xr:uid="{00000000-0005-0000-0000-0000D73B0000}"/>
    <cellStyle name="Normal 19 3 4 3" xfId="15928" xr:uid="{00000000-0005-0000-0000-0000D83B0000}"/>
    <cellStyle name="Normal 19 3 5" xfId="15929" xr:uid="{00000000-0005-0000-0000-0000D93B0000}"/>
    <cellStyle name="Normal 19 4" xfId="15930" xr:uid="{00000000-0005-0000-0000-0000DA3B0000}"/>
    <cellStyle name="Normal 19 4 2" xfId="15931" xr:uid="{00000000-0005-0000-0000-0000DB3B0000}"/>
    <cellStyle name="Normal 19 4 2 2" xfId="15932" xr:uid="{00000000-0005-0000-0000-0000DC3B0000}"/>
    <cellStyle name="Normal 19 4 2 2 2" xfId="15933" xr:uid="{00000000-0005-0000-0000-0000DD3B0000}"/>
    <cellStyle name="Normal 19 4 2 3" xfId="15934" xr:uid="{00000000-0005-0000-0000-0000DE3B0000}"/>
    <cellStyle name="Normal 19 4 2 3 2" xfId="15935" xr:uid="{00000000-0005-0000-0000-0000DF3B0000}"/>
    <cellStyle name="Normal 19 4 2 3 2 2" xfId="15936" xr:uid="{00000000-0005-0000-0000-0000E03B0000}"/>
    <cellStyle name="Normal 19 4 2 3 3" xfId="15937" xr:uid="{00000000-0005-0000-0000-0000E13B0000}"/>
    <cellStyle name="Normal 19 4 2 4" xfId="15938" xr:uid="{00000000-0005-0000-0000-0000E23B0000}"/>
    <cellStyle name="Normal 19 4 3" xfId="15939" xr:uid="{00000000-0005-0000-0000-0000E33B0000}"/>
    <cellStyle name="Normal 19 4 3 2" xfId="15940" xr:uid="{00000000-0005-0000-0000-0000E43B0000}"/>
    <cellStyle name="Normal 19 4 3 2 2" xfId="15941" xr:uid="{00000000-0005-0000-0000-0000E53B0000}"/>
    <cellStyle name="Normal 19 4 3 3" xfId="15942" xr:uid="{00000000-0005-0000-0000-0000E63B0000}"/>
    <cellStyle name="Normal 19 4 4" xfId="15943" xr:uid="{00000000-0005-0000-0000-0000E73B0000}"/>
    <cellStyle name="Normal 19 4 4 2" xfId="15944" xr:uid="{00000000-0005-0000-0000-0000E83B0000}"/>
    <cellStyle name="Normal 19 4 4 2 2" xfId="15945" xr:uid="{00000000-0005-0000-0000-0000E93B0000}"/>
    <cellStyle name="Normal 19 4 4 3" xfId="15946" xr:uid="{00000000-0005-0000-0000-0000EA3B0000}"/>
    <cellStyle name="Normal 19 4 5" xfId="15947" xr:uid="{00000000-0005-0000-0000-0000EB3B0000}"/>
    <cellStyle name="Normal 19 4 5 2" xfId="15948" xr:uid="{00000000-0005-0000-0000-0000EC3B0000}"/>
    <cellStyle name="Normal 19 4 5 2 2" xfId="15949" xr:uid="{00000000-0005-0000-0000-0000ED3B0000}"/>
    <cellStyle name="Normal 19 4 5 3" xfId="15950" xr:uid="{00000000-0005-0000-0000-0000EE3B0000}"/>
    <cellStyle name="Normal 19 4 6" xfId="15951" xr:uid="{00000000-0005-0000-0000-0000EF3B0000}"/>
    <cellStyle name="Normal 19 5" xfId="15952" xr:uid="{00000000-0005-0000-0000-0000F03B0000}"/>
    <cellStyle name="Normal 190" xfId="15953" xr:uid="{00000000-0005-0000-0000-0000F13B0000}"/>
    <cellStyle name="Normal 190 2" xfId="15954" xr:uid="{00000000-0005-0000-0000-0000F23B0000}"/>
    <cellStyle name="Normal 190 2 2" xfId="15955" xr:uid="{00000000-0005-0000-0000-0000F33B0000}"/>
    <cellStyle name="Normal 190 2 2 2" xfId="15956" xr:uid="{00000000-0005-0000-0000-0000F43B0000}"/>
    <cellStyle name="Normal 190 2 3" xfId="15957" xr:uid="{00000000-0005-0000-0000-0000F53B0000}"/>
    <cellStyle name="Normal 190 2 3 2" xfId="15958" xr:uid="{00000000-0005-0000-0000-0000F63B0000}"/>
    <cellStyle name="Normal 190 2 3 2 2" xfId="15959" xr:uid="{00000000-0005-0000-0000-0000F73B0000}"/>
    <cellStyle name="Normal 190 2 3 3" xfId="15960" xr:uid="{00000000-0005-0000-0000-0000F83B0000}"/>
    <cellStyle name="Normal 190 2 4" xfId="15961" xr:uid="{00000000-0005-0000-0000-0000F93B0000}"/>
    <cellStyle name="Normal 190 2 4 2" xfId="15962" xr:uid="{00000000-0005-0000-0000-0000FA3B0000}"/>
    <cellStyle name="Normal 190 2 4 2 2" xfId="15963" xr:uid="{00000000-0005-0000-0000-0000FB3B0000}"/>
    <cellStyle name="Normal 190 2 4 3" xfId="15964" xr:uid="{00000000-0005-0000-0000-0000FC3B0000}"/>
    <cellStyle name="Normal 190 2 5" xfId="15965" xr:uid="{00000000-0005-0000-0000-0000FD3B0000}"/>
    <cellStyle name="Normal 190 3" xfId="15966" xr:uid="{00000000-0005-0000-0000-0000FE3B0000}"/>
    <cellStyle name="Normal 190 3 2" xfId="15967" xr:uid="{00000000-0005-0000-0000-0000FF3B0000}"/>
    <cellStyle name="Normal 190 3 2 2" xfId="15968" xr:uid="{00000000-0005-0000-0000-0000003C0000}"/>
    <cellStyle name="Normal 190 3 2 2 2" xfId="15969" xr:uid="{00000000-0005-0000-0000-0000013C0000}"/>
    <cellStyle name="Normal 190 3 2 3" xfId="15970" xr:uid="{00000000-0005-0000-0000-0000023C0000}"/>
    <cellStyle name="Normal 190 3 2 3 2" xfId="15971" xr:uid="{00000000-0005-0000-0000-0000033C0000}"/>
    <cellStyle name="Normal 190 3 2 3 2 2" xfId="15972" xr:uid="{00000000-0005-0000-0000-0000043C0000}"/>
    <cellStyle name="Normal 190 3 2 3 3" xfId="15973" xr:uid="{00000000-0005-0000-0000-0000053C0000}"/>
    <cellStyle name="Normal 190 3 2 4" xfId="15974" xr:uid="{00000000-0005-0000-0000-0000063C0000}"/>
    <cellStyle name="Normal 190 3 3" xfId="15975" xr:uid="{00000000-0005-0000-0000-0000073C0000}"/>
    <cellStyle name="Normal 190 3 3 2" xfId="15976" xr:uid="{00000000-0005-0000-0000-0000083C0000}"/>
    <cellStyle name="Normal 190 3 3 2 2" xfId="15977" xr:uid="{00000000-0005-0000-0000-0000093C0000}"/>
    <cellStyle name="Normal 190 3 3 3" xfId="15978" xr:uid="{00000000-0005-0000-0000-00000A3C0000}"/>
    <cellStyle name="Normal 190 3 4" xfId="15979" xr:uid="{00000000-0005-0000-0000-00000B3C0000}"/>
    <cellStyle name="Normal 190 3 4 2" xfId="15980" xr:uid="{00000000-0005-0000-0000-00000C3C0000}"/>
    <cellStyle name="Normal 190 3 4 2 2" xfId="15981" xr:uid="{00000000-0005-0000-0000-00000D3C0000}"/>
    <cellStyle name="Normal 190 3 4 3" xfId="15982" xr:uid="{00000000-0005-0000-0000-00000E3C0000}"/>
    <cellStyle name="Normal 190 3 5" xfId="15983" xr:uid="{00000000-0005-0000-0000-00000F3C0000}"/>
    <cellStyle name="Normal 190 3 5 2" xfId="15984" xr:uid="{00000000-0005-0000-0000-0000103C0000}"/>
    <cellStyle name="Normal 190 3 5 2 2" xfId="15985" xr:uid="{00000000-0005-0000-0000-0000113C0000}"/>
    <cellStyle name="Normal 190 3 5 3" xfId="15986" xr:uid="{00000000-0005-0000-0000-0000123C0000}"/>
    <cellStyle name="Normal 190 3 6" xfId="15987" xr:uid="{00000000-0005-0000-0000-0000133C0000}"/>
    <cellStyle name="Normal 190 4" xfId="15988" xr:uid="{00000000-0005-0000-0000-0000143C0000}"/>
    <cellStyle name="Normal 190 4 2" xfId="15989" xr:uid="{00000000-0005-0000-0000-0000153C0000}"/>
    <cellStyle name="Normal 190 4 2 2" xfId="15990" xr:uid="{00000000-0005-0000-0000-0000163C0000}"/>
    <cellStyle name="Normal 190 4 3" xfId="15991" xr:uid="{00000000-0005-0000-0000-0000173C0000}"/>
    <cellStyle name="Normal 190 5" xfId="15992" xr:uid="{00000000-0005-0000-0000-0000183C0000}"/>
    <cellStyle name="Normal 190 5 2" xfId="15993" xr:uid="{00000000-0005-0000-0000-0000193C0000}"/>
    <cellStyle name="Normal 190 5 2 2" xfId="15994" xr:uid="{00000000-0005-0000-0000-00001A3C0000}"/>
    <cellStyle name="Normal 190 5 3" xfId="15995" xr:uid="{00000000-0005-0000-0000-00001B3C0000}"/>
    <cellStyle name="Normal 190 6" xfId="15996" xr:uid="{00000000-0005-0000-0000-00001C3C0000}"/>
    <cellStyle name="Normal 190 6 2" xfId="15997" xr:uid="{00000000-0005-0000-0000-00001D3C0000}"/>
    <cellStyle name="Normal 190 6 2 2" xfId="15998" xr:uid="{00000000-0005-0000-0000-00001E3C0000}"/>
    <cellStyle name="Normal 190 6 3" xfId="15999" xr:uid="{00000000-0005-0000-0000-00001F3C0000}"/>
    <cellStyle name="Normal 190 7" xfId="16000" xr:uid="{00000000-0005-0000-0000-0000203C0000}"/>
    <cellStyle name="Normal 191" xfId="16001" xr:uid="{00000000-0005-0000-0000-0000213C0000}"/>
    <cellStyle name="Normal 191 2" xfId="16002" xr:uid="{00000000-0005-0000-0000-0000223C0000}"/>
    <cellStyle name="Normal 191 2 2" xfId="16003" xr:uid="{00000000-0005-0000-0000-0000233C0000}"/>
    <cellStyle name="Normal 191 2 2 2" xfId="16004" xr:uid="{00000000-0005-0000-0000-0000243C0000}"/>
    <cellStyle name="Normal 191 2 3" xfId="16005" xr:uid="{00000000-0005-0000-0000-0000253C0000}"/>
    <cellStyle name="Normal 191 2 3 2" xfId="16006" xr:uid="{00000000-0005-0000-0000-0000263C0000}"/>
    <cellStyle name="Normal 191 2 3 2 2" xfId="16007" xr:uid="{00000000-0005-0000-0000-0000273C0000}"/>
    <cellStyle name="Normal 191 2 3 3" xfId="16008" xr:uid="{00000000-0005-0000-0000-0000283C0000}"/>
    <cellStyle name="Normal 191 2 4" xfId="16009" xr:uid="{00000000-0005-0000-0000-0000293C0000}"/>
    <cellStyle name="Normal 191 2 4 2" xfId="16010" xr:uid="{00000000-0005-0000-0000-00002A3C0000}"/>
    <cellStyle name="Normal 191 2 4 2 2" xfId="16011" xr:uid="{00000000-0005-0000-0000-00002B3C0000}"/>
    <cellStyle name="Normal 191 2 4 3" xfId="16012" xr:uid="{00000000-0005-0000-0000-00002C3C0000}"/>
    <cellStyle name="Normal 191 2 5" xfId="16013" xr:uid="{00000000-0005-0000-0000-00002D3C0000}"/>
    <cellStyle name="Normal 191 3" xfId="16014" xr:uid="{00000000-0005-0000-0000-00002E3C0000}"/>
    <cellStyle name="Normal 191 3 2" xfId="16015" xr:uid="{00000000-0005-0000-0000-00002F3C0000}"/>
    <cellStyle name="Normal 191 3 2 2" xfId="16016" xr:uid="{00000000-0005-0000-0000-0000303C0000}"/>
    <cellStyle name="Normal 191 3 2 2 2" xfId="16017" xr:uid="{00000000-0005-0000-0000-0000313C0000}"/>
    <cellStyle name="Normal 191 3 2 3" xfId="16018" xr:uid="{00000000-0005-0000-0000-0000323C0000}"/>
    <cellStyle name="Normal 191 3 2 3 2" xfId="16019" xr:uid="{00000000-0005-0000-0000-0000333C0000}"/>
    <cellStyle name="Normal 191 3 2 3 2 2" xfId="16020" xr:uid="{00000000-0005-0000-0000-0000343C0000}"/>
    <cellStyle name="Normal 191 3 2 3 3" xfId="16021" xr:uid="{00000000-0005-0000-0000-0000353C0000}"/>
    <cellStyle name="Normal 191 3 2 4" xfId="16022" xr:uid="{00000000-0005-0000-0000-0000363C0000}"/>
    <cellStyle name="Normal 191 3 3" xfId="16023" xr:uid="{00000000-0005-0000-0000-0000373C0000}"/>
    <cellStyle name="Normal 191 3 3 2" xfId="16024" xr:uid="{00000000-0005-0000-0000-0000383C0000}"/>
    <cellStyle name="Normal 191 3 3 2 2" xfId="16025" xr:uid="{00000000-0005-0000-0000-0000393C0000}"/>
    <cellStyle name="Normal 191 3 3 3" xfId="16026" xr:uid="{00000000-0005-0000-0000-00003A3C0000}"/>
    <cellStyle name="Normal 191 3 4" xfId="16027" xr:uid="{00000000-0005-0000-0000-00003B3C0000}"/>
    <cellStyle name="Normal 191 3 4 2" xfId="16028" xr:uid="{00000000-0005-0000-0000-00003C3C0000}"/>
    <cellStyle name="Normal 191 3 4 2 2" xfId="16029" xr:uid="{00000000-0005-0000-0000-00003D3C0000}"/>
    <cellStyle name="Normal 191 3 4 3" xfId="16030" xr:uid="{00000000-0005-0000-0000-00003E3C0000}"/>
    <cellStyle name="Normal 191 3 5" xfId="16031" xr:uid="{00000000-0005-0000-0000-00003F3C0000}"/>
    <cellStyle name="Normal 191 3 5 2" xfId="16032" xr:uid="{00000000-0005-0000-0000-0000403C0000}"/>
    <cellStyle name="Normal 191 3 5 2 2" xfId="16033" xr:uid="{00000000-0005-0000-0000-0000413C0000}"/>
    <cellStyle name="Normal 191 3 5 3" xfId="16034" xr:uid="{00000000-0005-0000-0000-0000423C0000}"/>
    <cellStyle name="Normal 191 3 6" xfId="16035" xr:uid="{00000000-0005-0000-0000-0000433C0000}"/>
    <cellStyle name="Normal 191 4" xfId="16036" xr:uid="{00000000-0005-0000-0000-0000443C0000}"/>
    <cellStyle name="Normal 191 4 2" xfId="16037" xr:uid="{00000000-0005-0000-0000-0000453C0000}"/>
    <cellStyle name="Normal 191 4 2 2" xfId="16038" xr:uid="{00000000-0005-0000-0000-0000463C0000}"/>
    <cellStyle name="Normal 191 4 3" xfId="16039" xr:uid="{00000000-0005-0000-0000-0000473C0000}"/>
    <cellStyle name="Normal 191 5" xfId="16040" xr:uid="{00000000-0005-0000-0000-0000483C0000}"/>
    <cellStyle name="Normal 191 5 2" xfId="16041" xr:uid="{00000000-0005-0000-0000-0000493C0000}"/>
    <cellStyle name="Normal 191 5 2 2" xfId="16042" xr:uid="{00000000-0005-0000-0000-00004A3C0000}"/>
    <cellStyle name="Normal 191 5 3" xfId="16043" xr:uid="{00000000-0005-0000-0000-00004B3C0000}"/>
    <cellStyle name="Normal 191 6" xfId="16044" xr:uid="{00000000-0005-0000-0000-00004C3C0000}"/>
    <cellStyle name="Normal 191 6 2" xfId="16045" xr:uid="{00000000-0005-0000-0000-00004D3C0000}"/>
    <cellStyle name="Normal 191 6 2 2" xfId="16046" xr:uid="{00000000-0005-0000-0000-00004E3C0000}"/>
    <cellStyle name="Normal 191 6 3" xfId="16047" xr:uid="{00000000-0005-0000-0000-00004F3C0000}"/>
    <cellStyle name="Normal 191 7" xfId="16048" xr:uid="{00000000-0005-0000-0000-0000503C0000}"/>
    <cellStyle name="Normal 192" xfId="16049" xr:uid="{00000000-0005-0000-0000-0000513C0000}"/>
    <cellStyle name="Normal 192 2" xfId="16050" xr:uid="{00000000-0005-0000-0000-0000523C0000}"/>
    <cellStyle name="Normal 192 2 2" xfId="16051" xr:uid="{00000000-0005-0000-0000-0000533C0000}"/>
    <cellStyle name="Normal 192 2 2 2" xfId="16052" xr:uid="{00000000-0005-0000-0000-0000543C0000}"/>
    <cellStyle name="Normal 192 2 2 2 2" xfId="16053" xr:uid="{00000000-0005-0000-0000-0000553C0000}"/>
    <cellStyle name="Normal 192 2 2 3" xfId="16054" xr:uid="{00000000-0005-0000-0000-0000563C0000}"/>
    <cellStyle name="Normal 192 2 2 3 2" xfId="16055" xr:uid="{00000000-0005-0000-0000-0000573C0000}"/>
    <cellStyle name="Normal 192 2 2 3 2 2" xfId="16056" xr:uid="{00000000-0005-0000-0000-0000583C0000}"/>
    <cellStyle name="Normal 192 2 2 3 3" xfId="16057" xr:uid="{00000000-0005-0000-0000-0000593C0000}"/>
    <cellStyle name="Normal 192 2 2 4" xfId="16058" xr:uid="{00000000-0005-0000-0000-00005A3C0000}"/>
    <cellStyle name="Normal 192 2 2 4 2" xfId="16059" xr:uid="{00000000-0005-0000-0000-00005B3C0000}"/>
    <cellStyle name="Normal 192 2 2 4 2 2" xfId="16060" xr:uid="{00000000-0005-0000-0000-00005C3C0000}"/>
    <cellStyle name="Normal 192 2 2 4 3" xfId="16061" xr:uid="{00000000-0005-0000-0000-00005D3C0000}"/>
    <cellStyle name="Normal 192 2 2 5" xfId="16062" xr:uid="{00000000-0005-0000-0000-00005E3C0000}"/>
    <cellStyle name="Normal 192 2 3" xfId="16063" xr:uid="{00000000-0005-0000-0000-00005F3C0000}"/>
    <cellStyle name="Normal 192 2 3 2" xfId="16064" xr:uid="{00000000-0005-0000-0000-0000603C0000}"/>
    <cellStyle name="Normal 192 2 3 2 2" xfId="16065" xr:uid="{00000000-0005-0000-0000-0000613C0000}"/>
    <cellStyle name="Normal 192 2 3 2 2 2" xfId="16066" xr:uid="{00000000-0005-0000-0000-0000623C0000}"/>
    <cellStyle name="Normal 192 2 3 2 3" xfId="16067" xr:uid="{00000000-0005-0000-0000-0000633C0000}"/>
    <cellStyle name="Normal 192 2 3 2 3 2" xfId="16068" xr:uid="{00000000-0005-0000-0000-0000643C0000}"/>
    <cellStyle name="Normal 192 2 3 2 3 2 2" xfId="16069" xr:uid="{00000000-0005-0000-0000-0000653C0000}"/>
    <cellStyle name="Normal 192 2 3 2 3 3" xfId="16070" xr:uid="{00000000-0005-0000-0000-0000663C0000}"/>
    <cellStyle name="Normal 192 2 3 2 4" xfId="16071" xr:uid="{00000000-0005-0000-0000-0000673C0000}"/>
    <cellStyle name="Normal 192 2 3 3" xfId="16072" xr:uid="{00000000-0005-0000-0000-0000683C0000}"/>
    <cellStyle name="Normal 192 2 3 3 2" xfId="16073" xr:uid="{00000000-0005-0000-0000-0000693C0000}"/>
    <cellStyle name="Normal 192 2 3 3 2 2" xfId="16074" xr:uid="{00000000-0005-0000-0000-00006A3C0000}"/>
    <cellStyle name="Normal 192 2 3 3 3" xfId="16075" xr:uid="{00000000-0005-0000-0000-00006B3C0000}"/>
    <cellStyle name="Normal 192 2 3 4" xfId="16076" xr:uid="{00000000-0005-0000-0000-00006C3C0000}"/>
    <cellStyle name="Normal 192 2 3 4 2" xfId="16077" xr:uid="{00000000-0005-0000-0000-00006D3C0000}"/>
    <cellStyle name="Normal 192 2 3 4 2 2" xfId="16078" xr:uid="{00000000-0005-0000-0000-00006E3C0000}"/>
    <cellStyle name="Normal 192 2 3 4 3" xfId="16079" xr:uid="{00000000-0005-0000-0000-00006F3C0000}"/>
    <cellStyle name="Normal 192 2 3 5" xfId="16080" xr:uid="{00000000-0005-0000-0000-0000703C0000}"/>
    <cellStyle name="Normal 192 2 3 5 2" xfId="16081" xr:uid="{00000000-0005-0000-0000-0000713C0000}"/>
    <cellStyle name="Normal 192 2 3 5 2 2" xfId="16082" xr:uid="{00000000-0005-0000-0000-0000723C0000}"/>
    <cellStyle name="Normal 192 2 3 5 3" xfId="16083" xr:uid="{00000000-0005-0000-0000-0000733C0000}"/>
    <cellStyle name="Normal 192 2 3 6" xfId="16084" xr:uid="{00000000-0005-0000-0000-0000743C0000}"/>
    <cellStyle name="Normal 192 2 4" xfId="16085" xr:uid="{00000000-0005-0000-0000-0000753C0000}"/>
    <cellStyle name="Normal 192 2 4 2" xfId="16086" xr:uid="{00000000-0005-0000-0000-0000763C0000}"/>
    <cellStyle name="Normal 192 2 4 2 2" xfId="16087" xr:uid="{00000000-0005-0000-0000-0000773C0000}"/>
    <cellStyle name="Normal 192 2 4 3" xfId="16088" xr:uid="{00000000-0005-0000-0000-0000783C0000}"/>
    <cellStyle name="Normal 192 2 5" xfId="16089" xr:uid="{00000000-0005-0000-0000-0000793C0000}"/>
    <cellStyle name="Normal 192 2 5 2" xfId="16090" xr:uid="{00000000-0005-0000-0000-00007A3C0000}"/>
    <cellStyle name="Normal 192 2 5 2 2" xfId="16091" xr:uid="{00000000-0005-0000-0000-00007B3C0000}"/>
    <cellStyle name="Normal 192 2 5 3" xfId="16092" xr:uid="{00000000-0005-0000-0000-00007C3C0000}"/>
    <cellStyle name="Normal 192 2 6" xfId="16093" xr:uid="{00000000-0005-0000-0000-00007D3C0000}"/>
    <cellStyle name="Normal 192 2 6 2" xfId="16094" xr:uid="{00000000-0005-0000-0000-00007E3C0000}"/>
    <cellStyle name="Normal 192 2 6 2 2" xfId="16095" xr:uid="{00000000-0005-0000-0000-00007F3C0000}"/>
    <cellStyle name="Normal 192 2 6 3" xfId="16096" xr:uid="{00000000-0005-0000-0000-0000803C0000}"/>
    <cellStyle name="Normal 192 2 7" xfId="16097" xr:uid="{00000000-0005-0000-0000-0000813C0000}"/>
    <cellStyle name="Normal 192 3" xfId="16098" xr:uid="{00000000-0005-0000-0000-0000823C0000}"/>
    <cellStyle name="Normal 192 3 2" xfId="16099" xr:uid="{00000000-0005-0000-0000-0000833C0000}"/>
    <cellStyle name="Normal 192 3 2 2" xfId="16100" xr:uid="{00000000-0005-0000-0000-0000843C0000}"/>
    <cellStyle name="Normal 192 3 3" xfId="16101" xr:uid="{00000000-0005-0000-0000-0000853C0000}"/>
    <cellStyle name="Normal 192 3 3 2" xfId="16102" xr:uid="{00000000-0005-0000-0000-0000863C0000}"/>
    <cellStyle name="Normal 192 3 3 2 2" xfId="16103" xr:uid="{00000000-0005-0000-0000-0000873C0000}"/>
    <cellStyle name="Normal 192 3 3 3" xfId="16104" xr:uid="{00000000-0005-0000-0000-0000883C0000}"/>
    <cellStyle name="Normal 192 3 4" xfId="16105" xr:uid="{00000000-0005-0000-0000-0000893C0000}"/>
    <cellStyle name="Normal 192 3 4 2" xfId="16106" xr:uid="{00000000-0005-0000-0000-00008A3C0000}"/>
    <cellStyle name="Normal 192 3 4 2 2" xfId="16107" xr:uid="{00000000-0005-0000-0000-00008B3C0000}"/>
    <cellStyle name="Normal 192 3 4 3" xfId="16108" xr:uid="{00000000-0005-0000-0000-00008C3C0000}"/>
    <cellStyle name="Normal 192 3 5" xfId="16109" xr:uid="{00000000-0005-0000-0000-00008D3C0000}"/>
    <cellStyle name="Normal 192 4" xfId="16110" xr:uid="{00000000-0005-0000-0000-00008E3C0000}"/>
    <cellStyle name="Normal 192 4 2" xfId="16111" xr:uid="{00000000-0005-0000-0000-00008F3C0000}"/>
    <cellStyle name="Normal 192 4 2 2" xfId="16112" xr:uid="{00000000-0005-0000-0000-0000903C0000}"/>
    <cellStyle name="Normal 192 4 2 2 2" xfId="16113" xr:uid="{00000000-0005-0000-0000-0000913C0000}"/>
    <cellStyle name="Normal 192 4 2 3" xfId="16114" xr:uid="{00000000-0005-0000-0000-0000923C0000}"/>
    <cellStyle name="Normal 192 4 2 3 2" xfId="16115" xr:uid="{00000000-0005-0000-0000-0000933C0000}"/>
    <cellStyle name="Normal 192 4 2 3 2 2" xfId="16116" xr:uid="{00000000-0005-0000-0000-0000943C0000}"/>
    <cellStyle name="Normal 192 4 2 3 3" xfId="16117" xr:uid="{00000000-0005-0000-0000-0000953C0000}"/>
    <cellStyle name="Normal 192 4 2 4" xfId="16118" xr:uid="{00000000-0005-0000-0000-0000963C0000}"/>
    <cellStyle name="Normal 192 4 3" xfId="16119" xr:uid="{00000000-0005-0000-0000-0000973C0000}"/>
    <cellStyle name="Normal 192 4 3 2" xfId="16120" xr:uid="{00000000-0005-0000-0000-0000983C0000}"/>
    <cellStyle name="Normal 192 4 3 2 2" xfId="16121" xr:uid="{00000000-0005-0000-0000-0000993C0000}"/>
    <cellStyle name="Normal 192 4 3 3" xfId="16122" xr:uid="{00000000-0005-0000-0000-00009A3C0000}"/>
    <cellStyle name="Normal 192 4 4" xfId="16123" xr:uid="{00000000-0005-0000-0000-00009B3C0000}"/>
    <cellStyle name="Normal 192 4 4 2" xfId="16124" xr:uid="{00000000-0005-0000-0000-00009C3C0000}"/>
    <cellStyle name="Normal 192 4 4 2 2" xfId="16125" xr:uid="{00000000-0005-0000-0000-00009D3C0000}"/>
    <cellStyle name="Normal 192 4 4 3" xfId="16126" xr:uid="{00000000-0005-0000-0000-00009E3C0000}"/>
    <cellStyle name="Normal 192 4 5" xfId="16127" xr:uid="{00000000-0005-0000-0000-00009F3C0000}"/>
    <cellStyle name="Normal 192 4 5 2" xfId="16128" xr:uid="{00000000-0005-0000-0000-0000A03C0000}"/>
    <cellStyle name="Normal 192 4 5 2 2" xfId="16129" xr:uid="{00000000-0005-0000-0000-0000A13C0000}"/>
    <cellStyle name="Normal 192 4 5 3" xfId="16130" xr:uid="{00000000-0005-0000-0000-0000A23C0000}"/>
    <cellStyle name="Normal 192 4 6" xfId="16131" xr:uid="{00000000-0005-0000-0000-0000A33C0000}"/>
    <cellStyle name="Normal 192 5" xfId="16132" xr:uid="{00000000-0005-0000-0000-0000A43C0000}"/>
    <cellStyle name="Normal 192 5 2" xfId="16133" xr:uid="{00000000-0005-0000-0000-0000A53C0000}"/>
    <cellStyle name="Normal 192 5 2 2" xfId="16134" xr:uid="{00000000-0005-0000-0000-0000A63C0000}"/>
    <cellStyle name="Normal 192 5 3" xfId="16135" xr:uid="{00000000-0005-0000-0000-0000A73C0000}"/>
    <cellStyle name="Normal 192 6" xfId="16136" xr:uid="{00000000-0005-0000-0000-0000A83C0000}"/>
    <cellStyle name="Normal 192 6 2" xfId="16137" xr:uid="{00000000-0005-0000-0000-0000A93C0000}"/>
    <cellStyle name="Normal 192 6 2 2" xfId="16138" xr:uid="{00000000-0005-0000-0000-0000AA3C0000}"/>
    <cellStyle name="Normal 192 6 3" xfId="16139" xr:uid="{00000000-0005-0000-0000-0000AB3C0000}"/>
    <cellStyle name="Normal 192 7" xfId="16140" xr:uid="{00000000-0005-0000-0000-0000AC3C0000}"/>
    <cellStyle name="Normal 192 7 2" xfId="16141" xr:uid="{00000000-0005-0000-0000-0000AD3C0000}"/>
    <cellStyle name="Normal 192 7 2 2" xfId="16142" xr:uid="{00000000-0005-0000-0000-0000AE3C0000}"/>
    <cellStyle name="Normal 192 7 3" xfId="16143" xr:uid="{00000000-0005-0000-0000-0000AF3C0000}"/>
    <cellStyle name="Normal 192 8" xfId="16144" xr:uid="{00000000-0005-0000-0000-0000B03C0000}"/>
    <cellStyle name="Normal 193" xfId="16145" xr:uid="{00000000-0005-0000-0000-0000B13C0000}"/>
    <cellStyle name="Normal 193 2" xfId="16146" xr:uid="{00000000-0005-0000-0000-0000B23C0000}"/>
    <cellStyle name="Normal 193 2 2" xfId="16147" xr:uid="{00000000-0005-0000-0000-0000B33C0000}"/>
    <cellStyle name="Normal 193 2 2 2" xfId="16148" xr:uid="{00000000-0005-0000-0000-0000B43C0000}"/>
    <cellStyle name="Normal 193 2 2 2 2" xfId="16149" xr:uid="{00000000-0005-0000-0000-0000B53C0000}"/>
    <cellStyle name="Normal 193 2 2 3" xfId="16150" xr:uid="{00000000-0005-0000-0000-0000B63C0000}"/>
    <cellStyle name="Normal 193 2 2 3 2" xfId="16151" xr:uid="{00000000-0005-0000-0000-0000B73C0000}"/>
    <cellStyle name="Normal 193 2 2 3 2 2" xfId="16152" xr:uid="{00000000-0005-0000-0000-0000B83C0000}"/>
    <cellStyle name="Normal 193 2 2 3 3" xfId="16153" xr:uid="{00000000-0005-0000-0000-0000B93C0000}"/>
    <cellStyle name="Normal 193 2 2 4" xfId="16154" xr:uid="{00000000-0005-0000-0000-0000BA3C0000}"/>
    <cellStyle name="Normal 193 2 2 4 2" xfId="16155" xr:uid="{00000000-0005-0000-0000-0000BB3C0000}"/>
    <cellStyle name="Normal 193 2 2 4 2 2" xfId="16156" xr:uid="{00000000-0005-0000-0000-0000BC3C0000}"/>
    <cellStyle name="Normal 193 2 2 4 3" xfId="16157" xr:uid="{00000000-0005-0000-0000-0000BD3C0000}"/>
    <cellStyle name="Normal 193 2 2 5" xfId="16158" xr:uid="{00000000-0005-0000-0000-0000BE3C0000}"/>
    <cellStyle name="Normal 193 2 3" xfId="16159" xr:uid="{00000000-0005-0000-0000-0000BF3C0000}"/>
    <cellStyle name="Normal 193 2 3 2" xfId="16160" xr:uid="{00000000-0005-0000-0000-0000C03C0000}"/>
    <cellStyle name="Normal 193 2 3 2 2" xfId="16161" xr:uid="{00000000-0005-0000-0000-0000C13C0000}"/>
    <cellStyle name="Normal 193 2 3 2 2 2" xfId="16162" xr:uid="{00000000-0005-0000-0000-0000C23C0000}"/>
    <cellStyle name="Normal 193 2 3 2 3" xfId="16163" xr:uid="{00000000-0005-0000-0000-0000C33C0000}"/>
    <cellStyle name="Normal 193 2 3 2 3 2" xfId="16164" xr:uid="{00000000-0005-0000-0000-0000C43C0000}"/>
    <cellStyle name="Normal 193 2 3 2 3 2 2" xfId="16165" xr:uid="{00000000-0005-0000-0000-0000C53C0000}"/>
    <cellStyle name="Normal 193 2 3 2 3 3" xfId="16166" xr:uid="{00000000-0005-0000-0000-0000C63C0000}"/>
    <cellStyle name="Normal 193 2 3 2 4" xfId="16167" xr:uid="{00000000-0005-0000-0000-0000C73C0000}"/>
    <cellStyle name="Normal 193 2 3 3" xfId="16168" xr:uid="{00000000-0005-0000-0000-0000C83C0000}"/>
    <cellStyle name="Normal 193 2 3 3 2" xfId="16169" xr:uid="{00000000-0005-0000-0000-0000C93C0000}"/>
    <cellStyle name="Normal 193 2 3 3 2 2" xfId="16170" xr:uid="{00000000-0005-0000-0000-0000CA3C0000}"/>
    <cellStyle name="Normal 193 2 3 3 3" xfId="16171" xr:uid="{00000000-0005-0000-0000-0000CB3C0000}"/>
    <cellStyle name="Normal 193 2 3 4" xfId="16172" xr:uid="{00000000-0005-0000-0000-0000CC3C0000}"/>
    <cellStyle name="Normal 193 2 3 4 2" xfId="16173" xr:uid="{00000000-0005-0000-0000-0000CD3C0000}"/>
    <cellStyle name="Normal 193 2 3 4 2 2" xfId="16174" xr:uid="{00000000-0005-0000-0000-0000CE3C0000}"/>
    <cellStyle name="Normal 193 2 3 4 3" xfId="16175" xr:uid="{00000000-0005-0000-0000-0000CF3C0000}"/>
    <cellStyle name="Normal 193 2 3 5" xfId="16176" xr:uid="{00000000-0005-0000-0000-0000D03C0000}"/>
    <cellStyle name="Normal 193 2 3 5 2" xfId="16177" xr:uid="{00000000-0005-0000-0000-0000D13C0000}"/>
    <cellStyle name="Normal 193 2 3 5 2 2" xfId="16178" xr:uid="{00000000-0005-0000-0000-0000D23C0000}"/>
    <cellStyle name="Normal 193 2 3 5 3" xfId="16179" xr:uid="{00000000-0005-0000-0000-0000D33C0000}"/>
    <cellStyle name="Normal 193 2 3 6" xfId="16180" xr:uid="{00000000-0005-0000-0000-0000D43C0000}"/>
    <cellStyle name="Normal 193 2 4" xfId="16181" xr:uid="{00000000-0005-0000-0000-0000D53C0000}"/>
    <cellStyle name="Normal 193 2 4 2" xfId="16182" xr:uid="{00000000-0005-0000-0000-0000D63C0000}"/>
    <cellStyle name="Normal 193 2 4 2 2" xfId="16183" xr:uid="{00000000-0005-0000-0000-0000D73C0000}"/>
    <cellStyle name="Normal 193 2 4 3" xfId="16184" xr:uid="{00000000-0005-0000-0000-0000D83C0000}"/>
    <cellStyle name="Normal 193 2 5" xfId="16185" xr:uid="{00000000-0005-0000-0000-0000D93C0000}"/>
    <cellStyle name="Normal 193 2 5 2" xfId="16186" xr:uid="{00000000-0005-0000-0000-0000DA3C0000}"/>
    <cellStyle name="Normal 193 2 5 2 2" xfId="16187" xr:uid="{00000000-0005-0000-0000-0000DB3C0000}"/>
    <cellStyle name="Normal 193 2 5 3" xfId="16188" xr:uid="{00000000-0005-0000-0000-0000DC3C0000}"/>
    <cellStyle name="Normal 193 2 6" xfId="16189" xr:uid="{00000000-0005-0000-0000-0000DD3C0000}"/>
    <cellStyle name="Normal 193 2 6 2" xfId="16190" xr:uid="{00000000-0005-0000-0000-0000DE3C0000}"/>
    <cellStyle name="Normal 193 2 6 2 2" xfId="16191" xr:uid="{00000000-0005-0000-0000-0000DF3C0000}"/>
    <cellStyle name="Normal 193 2 6 3" xfId="16192" xr:uid="{00000000-0005-0000-0000-0000E03C0000}"/>
    <cellStyle name="Normal 193 2 7" xfId="16193" xr:uid="{00000000-0005-0000-0000-0000E13C0000}"/>
    <cellStyle name="Normal 193 3" xfId="16194" xr:uid="{00000000-0005-0000-0000-0000E23C0000}"/>
    <cellStyle name="Normal 193 3 2" xfId="16195" xr:uid="{00000000-0005-0000-0000-0000E33C0000}"/>
    <cellStyle name="Normal 193 3 2 2" xfId="16196" xr:uid="{00000000-0005-0000-0000-0000E43C0000}"/>
    <cellStyle name="Normal 193 3 3" xfId="16197" xr:uid="{00000000-0005-0000-0000-0000E53C0000}"/>
    <cellStyle name="Normal 193 3 3 2" xfId="16198" xr:uid="{00000000-0005-0000-0000-0000E63C0000}"/>
    <cellStyle name="Normal 193 3 3 2 2" xfId="16199" xr:uid="{00000000-0005-0000-0000-0000E73C0000}"/>
    <cellStyle name="Normal 193 3 3 3" xfId="16200" xr:uid="{00000000-0005-0000-0000-0000E83C0000}"/>
    <cellStyle name="Normal 193 3 4" xfId="16201" xr:uid="{00000000-0005-0000-0000-0000E93C0000}"/>
    <cellStyle name="Normal 193 3 4 2" xfId="16202" xr:uid="{00000000-0005-0000-0000-0000EA3C0000}"/>
    <cellStyle name="Normal 193 3 4 2 2" xfId="16203" xr:uid="{00000000-0005-0000-0000-0000EB3C0000}"/>
    <cellStyle name="Normal 193 3 4 3" xfId="16204" xr:uid="{00000000-0005-0000-0000-0000EC3C0000}"/>
    <cellStyle name="Normal 193 3 5" xfId="16205" xr:uid="{00000000-0005-0000-0000-0000ED3C0000}"/>
    <cellStyle name="Normal 193 4" xfId="16206" xr:uid="{00000000-0005-0000-0000-0000EE3C0000}"/>
    <cellStyle name="Normal 193 4 2" xfId="16207" xr:uid="{00000000-0005-0000-0000-0000EF3C0000}"/>
    <cellStyle name="Normal 193 4 2 2" xfId="16208" xr:uid="{00000000-0005-0000-0000-0000F03C0000}"/>
    <cellStyle name="Normal 193 4 2 2 2" xfId="16209" xr:uid="{00000000-0005-0000-0000-0000F13C0000}"/>
    <cellStyle name="Normal 193 4 2 3" xfId="16210" xr:uid="{00000000-0005-0000-0000-0000F23C0000}"/>
    <cellStyle name="Normal 193 4 2 3 2" xfId="16211" xr:uid="{00000000-0005-0000-0000-0000F33C0000}"/>
    <cellStyle name="Normal 193 4 2 3 2 2" xfId="16212" xr:uid="{00000000-0005-0000-0000-0000F43C0000}"/>
    <cellStyle name="Normal 193 4 2 3 3" xfId="16213" xr:uid="{00000000-0005-0000-0000-0000F53C0000}"/>
    <cellStyle name="Normal 193 4 2 4" xfId="16214" xr:uid="{00000000-0005-0000-0000-0000F63C0000}"/>
    <cellStyle name="Normal 193 4 3" xfId="16215" xr:uid="{00000000-0005-0000-0000-0000F73C0000}"/>
    <cellStyle name="Normal 193 4 3 2" xfId="16216" xr:uid="{00000000-0005-0000-0000-0000F83C0000}"/>
    <cellStyle name="Normal 193 4 3 2 2" xfId="16217" xr:uid="{00000000-0005-0000-0000-0000F93C0000}"/>
    <cellStyle name="Normal 193 4 3 3" xfId="16218" xr:uid="{00000000-0005-0000-0000-0000FA3C0000}"/>
    <cellStyle name="Normal 193 4 4" xfId="16219" xr:uid="{00000000-0005-0000-0000-0000FB3C0000}"/>
    <cellStyle name="Normal 193 4 4 2" xfId="16220" xr:uid="{00000000-0005-0000-0000-0000FC3C0000}"/>
    <cellStyle name="Normal 193 4 4 2 2" xfId="16221" xr:uid="{00000000-0005-0000-0000-0000FD3C0000}"/>
    <cellStyle name="Normal 193 4 4 3" xfId="16222" xr:uid="{00000000-0005-0000-0000-0000FE3C0000}"/>
    <cellStyle name="Normal 193 4 5" xfId="16223" xr:uid="{00000000-0005-0000-0000-0000FF3C0000}"/>
    <cellStyle name="Normal 193 4 5 2" xfId="16224" xr:uid="{00000000-0005-0000-0000-0000003D0000}"/>
    <cellStyle name="Normal 193 4 5 2 2" xfId="16225" xr:uid="{00000000-0005-0000-0000-0000013D0000}"/>
    <cellStyle name="Normal 193 4 5 3" xfId="16226" xr:uid="{00000000-0005-0000-0000-0000023D0000}"/>
    <cellStyle name="Normal 193 4 6" xfId="16227" xr:uid="{00000000-0005-0000-0000-0000033D0000}"/>
    <cellStyle name="Normal 193 5" xfId="16228" xr:uid="{00000000-0005-0000-0000-0000043D0000}"/>
    <cellStyle name="Normal 193 5 2" xfId="16229" xr:uid="{00000000-0005-0000-0000-0000053D0000}"/>
    <cellStyle name="Normal 193 5 2 2" xfId="16230" xr:uid="{00000000-0005-0000-0000-0000063D0000}"/>
    <cellStyle name="Normal 193 5 3" xfId="16231" xr:uid="{00000000-0005-0000-0000-0000073D0000}"/>
    <cellStyle name="Normal 193 6" xfId="16232" xr:uid="{00000000-0005-0000-0000-0000083D0000}"/>
    <cellStyle name="Normal 193 6 2" xfId="16233" xr:uid="{00000000-0005-0000-0000-0000093D0000}"/>
    <cellStyle name="Normal 193 6 2 2" xfId="16234" xr:uid="{00000000-0005-0000-0000-00000A3D0000}"/>
    <cellStyle name="Normal 193 6 3" xfId="16235" xr:uid="{00000000-0005-0000-0000-00000B3D0000}"/>
    <cellStyle name="Normal 193 7" xfId="16236" xr:uid="{00000000-0005-0000-0000-00000C3D0000}"/>
    <cellStyle name="Normal 193 7 2" xfId="16237" xr:uid="{00000000-0005-0000-0000-00000D3D0000}"/>
    <cellStyle name="Normal 193 7 2 2" xfId="16238" xr:uid="{00000000-0005-0000-0000-00000E3D0000}"/>
    <cellStyle name="Normal 193 7 3" xfId="16239" xr:uid="{00000000-0005-0000-0000-00000F3D0000}"/>
    <cellStyle name="Normal 193 8" xfId="16240" xr:uid="{00000000-0005-0000-0000-0000103D0000}"/>
    <cellStyle name="Normal 194" xfId="16241" xr:uid="{00000000-0005-0000-0000-0000113D0000}"/>
    <cellStyle name="Normal 194 2" xfId="16242" xr:uid="{00000000-0005-0000-0000-0000123D0000}"/>
    <cellStyle name="Normal 194 2 2" xfId="16243" xr:uid="{00000000-0005-0000-0000-0000133D0000}"/>
    <cellStyle name="Normal 194 2 2 2" xfId="16244" xr:uid="{00000000-0005-0000-0000-0000143D0000}"/>
    <cellStyle name="Normal 194 2 2 2 2" xfId="16245" xr:uid="{00000000-0005-0000-0000-0000153D0000}"/>
    <cellStyle name="Normal 194 2 2 3" xfId="16246" xr:uid="{00000000-0005-0000-0000-0000163D0000}"/>
    <cellStyle name="Normal 194 2 2 3 2" xfId="16247" xr:uid="{00000000-0005-0000-0000-0000173D0000}"/>
    <cellStyle name="Normal 194 2 2 3 2 2" xfId="16248" xr:uid="{00000000-0005-0000-0000-0000183D0000}"/>
    <cellStyle name="Normal 194 2 2 3 3" xfId="16249" xr:uid="{00000000-0005-0000-0000-0000193D0000}"/>
    <cellStyle name="Normal 194 2 2 4" xfId="16250" xr:uid="{00000000-0005-0000-0000-00001A3D0000}"/>
    <cellStyle name="Normal 194 2 2 4 2" xfId="16251" xr:uid="{00000000-0005-0000-0000-00001B3D0000}"/>
    <cellStyle name="Normal 194 2 2 4 2 2" xfId="16252" xr:uid="{00000000-0005-0000-0000-00001C3D0000}"/>
    <cellStyle name="Normal 194 2 2 4 3" xfId="16253" xr:uid="{00000000-0005-0000-0000-00001D3D0000}"/>
    <cellStyle name="Normal 194 2 2 5" xfId="16254" xr:uid="{00000000-0005-0000-0000-00001E3D0000}"/>
    <cellStyle name="Normal 194 2 3" xfId="16255" xr:uid="{00000000-0005-0000-0000-00001F3D0000}"/>
    <cellStyle name="Normal 194 2 3 2" xfId="16256" xr:uid="{00000000-0005-0000-0000-0000203D0000}"/>
    <cellStyle name="Normal 194 2 3 2 2" xfId="16257" xr:uid="{00000000-0005-0000-0000-0000213D0000}"/>
    <cellStyle name="Normal 194 2 3 2 2 2" xfId="16258" xr:uid="{00000000-0005-0000-0000-0000223D0000}"/>
    <cellStyle name="Normal 194 2 3 2 3" xfId="16259" xr:uid="{00000000-0005-0000-0000-0000233D0000}"/>
    <cellStyle name="Normal 194 2 3 2 3 2" xfId="16260" xr:uid="{00000000-0005-0000-0000-0000243D0000}"/>
    <cellStyle name="Normal 194 2 3 2 3 2 2" xfId="16261" xr:uid="{00000000-0005-0000-0000-0000253D0000}"/>
    <cellStyle name="Normal 194 2 3 2 3 3" xfId="16262" xr:uid="{00000000-0005-0000-0000-0000263D0000}"/>
    <cellStyle name="Normal 194 2 3 2 4" xfId="16263" xr:uid="{00000000-0005-0000-0000-0000273D0000}"/>
    <cellStyle name="Normal 194 2 3 3" xfId="16264" xr:uid="{00000000-0005-0000-0000-0000283D0000}"/>
    <cellStyle name="Normal 194 2 3 3 2" xfId="16265" xr:uid="{00000000-0005-0000-0000-0000293D0000}"/>
    <cellStyle name="Normal 194 2 3 3 2 2" xfId="16266" xr:uid="{00000000-0005-0000-0000-00002A3D0000}"/>
    <cellStyle name="Normal 194 2 3 3 3" xfId="16267" xr:uid="{00000000-0005-0000-0000-00002B3D0000}"/>
    <cellStyle name="Normal 194 2 3 4" xfId="16268" xr:uid="{00000000-0005-0000-0000-00002C3D0000}"/>
    <cellStyle name="Normal 194 2 3 4 2" xfId="16269" xr:uid="{00000000-0005-0000-0000-00002D3D0000}"/>
    <cellStyle name="Normal 194 2 3 4 2 2" xfId="16270" xr:uid="{00000000-0005-0000-0000-00002E3D0000}"/>
    <cellStyle name="Normal 194 2 3 4 3" xfId="16271" xr:uid="{00000000-0005-0000-0000-00002F3D0000}"/>
    <cellStyle name="Normal 194 2 3 5" xfId="16272" xr:uid="{00000000-0005-0000-0000-0000303D0000}"/>
    <cellStyle name="Normal 194 2 3 5 2" xfId="16273" xr:uid="{00000000-0005-0000-0000-0000313D0000}"/>
    <cellStyle name="Normal 194 2 3 5 2 2" xfId="16274" xr:uid="{00000000-0005-0000-0000-0000323D0000}"/>
    <cellStyle name="Normal 194 2 3 5 3" xfId="16275" xr:uid="{00000000-0005-0000-0000-0000333D0000}"/>
    <cellStyle name="Normal 194 2 3 6" xfId="16276" xr:uid="{00000000-0005-0000-0000-0000343D0000}"/>
    <cellStyle name="Normal 194 2 4" xfId="16277" xr:uid="{00000000-0005-0000-0000-0000353D0000}"/>
    <cellStyle name="Normal 194 2 4 2" xfId="16278" xr:uid="{00000000-0005-0000-0000-0000363D0000}"/>
    <cellStyle name="Normal 194 2 4 2 2" xfId="16279" xr:uid="{00000000-0005-0000-0000-0000373D0000}"/>
    <cellStyle name="Normal 194 2 4 3" xfId="16280" xr:uid="{00000000-0005-0000-0000-0000383D0000}"/>
    <cellStyle name="Normal 194 2 5" xfId="16281" xr:uid="{00000000-0005-0000-0000-0000393D0000}"/>
    <cellStyle name="Normal 194 2 5 2" xfId="16282" xr:uid="{00000000-0005-0000-0000-00003A3D0000}"/>
    <cellStyle name="Normal 194 2 5 2 2" xfId="16283" xr:uid="{00000000-0005-0000-0000-00003B3D0000}"/>
    <cellStyle name="Normal 194 2 5 3" xfId="16284" xr:uid="{00000000-0005-0000-0000-00003C3D0000}"/>
    <cellStyle name="Normal 194 2 6" xfId="16285" xr:uid="{00000000-0005-0000-0000-00003D3D0000}"/>
    <cellStyle name="Normal 194 2 6 2" xfId="16286" xr:uid="{00000000-0005-0000-0000-00003E3D0000}"/>
    <cellStyle name="Normal 194 2 6 2 2" xfId="16287" xr:uid="{00000000-0005-0000-0000-00003F3D0000}"/>
    <cellStyle name="Normal 194 2 6 3" xfId="16288" xr:uid="{00000000-0005-0000-0000-0000403D0000}"/>
    <cellStyle name="Normal 194 2 7" xfId="16289" xr:uid="{00000000-0005-0000-0000-0000413D0000}"/>
    <cellStyle name="Normal 194 3" xfId="16290" xr:uid="{00000000-0005-0000-0000-0000423D0000}"/>
    <cellStyle name="Normal 194 3 2" xfId="16291" xr:uid="{00000000-0005-0000-0000-0000433D0000}"/>
    <cellStyle name="Normal 194 3 2 2" xfId="16292" xr:uid="{00000000-0005-0000-0000-0000443D0000}"/>
    <cellStyle name="Normal 194 3 3" xfId="16293" xr:uid="{00000000-0005-0000-0000-0000453D0000}"/>
    <cellStyle name="Normal 194 3 3 2" xfId="16294" xr:uid="{00000000-0005-0000-0000-0000463D0000}"/>
    <cellStyle name="Normal 194 3 3 2 2" xfId="16295" xr:uid="{00000000-0005-0000-0000-0000473D0000}"/>
    <cellStyle name="Normal 194 3 3 3" xfId="16296" xr:uid="{00000000-0005-0000-0000-0000483D0000}"/>
    <cellStyle name="Normal 194 3 4" xfId="16297" xr:uid="{00000000-0005-0000-0000-0000493D0000}"/>
    <cellStyle name="Normal 194 3 4 2" xfId="16298" xr:uid="{00000000-0005-0000-0000-00004A3D0000}"/>
    <cellStyle name="Normal 194 3 4 2 2" xfId="16299" xr:uid="{00000000-0005-0000-0000-00004B3D0000}"/>
    <cellStyle name="Normal 194 3 4 3" xfId="16300" xr:uid="{00000000-0005-0000-0000-00004C3D0000}"/>
    <cellStyle name="Normal 194 3 5" xfId="16301" xr:uid="{00000000-0005-0000-0000-00004D3D0000}"/>
    <cellStyle name="Normal 194 4" xfId="16302" xr:uid="{00000000-0005-0000-0000-00004E3D0000}"/>
    <cellStyle name="Normal 194 4 2" xfId="16303" xr:uid="{00000000-0005-0000-0000-00004F3D0000}"/>
    <cellStyle name="Normal 194 4 2 2" xfId="16304" xr:uid="{00000000-0005-0000-0000-0000503D0000}"/>
    <cellStyle name="Normal 194 4 2 2 2" xfId="16305" xr:uid="{00000000-0005-0000-0000-0000513D0000}"/>
    <cellStyle name="Normal 194 4 2 3" xfId="16306" xr:uid="{00000000-0005-0000-0000-0000523D0000}"/>
    <cellStyle name="Normal 194 4 2 3 2" xfId="16307" xr:uid="{00000000-0005-0000-0000-0000533D0000}"/>
    <cellStyle name="Normal 194 4 2 3 2 2" xfId="16308" xr:uid="{00000000-0005-0000-0000-0000543D0000}"/>
    <cellStyle name="Normal 194 4 2 3 3" xfId="16309" xr:uid="{00000000-0005-0000-0000-0000553D0000}"/>
    <cellStyle name="Normal 194 4 2 4" xfId="16310" xr:uid="{00000000-0005-0000-0000-0000563D0000}"/>
    <cellStyle name="Normal 194 4 3" xfId="16311" xr:uid="{00000000-0005-0000-0000-0000573D0000}"/>
    <cellStyle name="Normal 194 4 3 2" xfId="16312" xr:uid="{00000000-0005-0000-0000-0000583D0000}"/>
    <cellStyle name="Normal 194 4 3 2 2" xfId="16313" xr:uid="{00000000-0005-0000-0000-0000593D0000}"/>
    <cellStyle name="Normal 194 4 3 3" xfId="16314" xr:uid="{00000000-0005-0000-0000-00005A3D0000}"/>
    <cellStyle name="Normal 194 4 4" xfId="16315" xr:uid="{00000000-0005-0000-0000-00005B3D0000}"/>
    <cellStyle name="Normal 194 4 4 2" xfId="16316" xr:uid="{00000000-0005-0000-0000-00005C3D0000}"/>
    <cellStyle name="Normal 194 4 4 2 2" xfId="16317" xr:uid="{00000000-0005-0000-0000-00005D3D0000}"/>
    <cellStyle name="Normal 194 4 4 3" xfId="16318" xr:uid="{00000000-0005-0000-0000-00005E3D0000}"/>
    <cellStyle name="Normal 194 4 5" xfId="16319" xr:uid="{00000000-0005-0000-0000-00005F3D0000}"/>
    <cellStyle name="Normal 194 4 5 2" xfId="16320" xr:uid="{00000000-0005-0000-0000-0000603D0000}"/>
    <cellStyle name="Normal 194 4 5 2 2" xfId="16321" xr:uid="{00000000-0005-0000-0000-0000613D0000}"/>
    <cellStyle name="Normal 194 4 5 3" xfId="16322" xr:uid="{00000000-0005-0000-0000-0000623D0000}"/>
    <cellStyle name="Normal 194 4 6" xfId="16323" xr:uid="{00000000-0005-0000-0000-0000633D0000}"/>
    <cellStyle name="Normal 194 5" xfId="16324" xr:uid="{00000000-0005-0000-0000-0000643D0000}"/>
    <cellStyle name="Normal 194 5 2" xfId="16325" xr:uid="{00000000-0005-0000-0000-0000653D0000}"/>
    <cellStyle name="Normal 194 5 2 2" xfId="16326" xr:uid="{00000000-0005-0000-0000-0000663D0000}"/>
    <cellStyle name="Normal 194 5 3" xfId="16327" xr:uid="{00000000-0005-0000-0000-0000673D0000}"/>
    <cellStyle name="Normal 194 6" xfId="16328" xr:uid="{00000000-0005-0000-0000-0000683D0000}"/>
    <cellStyle name="Normal 194 6 2" xfId="16329" xr:uid="{00000000-0005-0000-0000-0000693D0000}"/>
    <cellStyle name="Normal 194 6 2 2" xfId="16330" xr:uid="{00000000-0005-0000-0000-00006A3D0000}"/>
    <cellStyle name="Normal 194 6 3" xfId="16331" xr:uid="{00000000-0005-0000-0000-00006B3D0000}"/>
    <cellStyle name="Normal 194 7" xfId="16332" xr:uid="{00000000-0005-0000-0000-00006C3D0000}"/>
    <cellStyle name="Normal 194 7 2" xfId="16333" xr:uid="{00000000-0005-0000-0000-00006D3D0000}"/>
    <cellStyle name="Normal 194 7 2 2" xfId="16334" xr:uid="{00000000-0005-0000-0000-00006E3D0000}"/>
    <cellStyle name="Normal 194 7 3" xfId="16335" xr:uid="{00000000-0005-0000-0000-00006F3D0000}"/>
    <cellStyle name="Normal 194 8" xfId="16336" xr:uid="{00000000-0005-0000-0000-0000703D0000}"/>
    <cellStyle name="Normal 195" xfId="16337" xr:uid="{00000000-0005-0000-0000-0000713D0000}"/>
    <cellStyle name="Normal 195 2" xfId="16338" xr:uid="{00000000-0005-0000-0000-0000723D0000}"/>
    <cellStyle name="Normal 195 2 2" xfId="16339" xr:uid="{00000000-0005-0000-0000-0000733D0000}"/>
    <cellStyle name="Normal 195 2 2 2" xfId="16340" xr:uid="{00000000-0005-0000-0000-0000743D0000}"/>
    <cellStyle name="Normal 195 2 2 2 2" xfId="16341" xr:uid="{00000000-0005-0000-0000-0000753D0000}"/>
    <cellStyle name="Normal 195 2 2 3" xfId="16342" xr:uid="{00000000-0005-0000-0000-0000763D0000}"/>
    <cellStyle name="Normal 195 2 2 3 2" xfId="16343" xr:uid="{00000000-0005-0000-0000-0000773D0000}"/>
    <cellStyle name="Normal 195 2 2 3 2 2" xfId="16344" xr:uid="{00000000-0005-0000-0000-0000783D0000}"/>
    <cellStyle name="Normal 195 2 2 3 3" xfId="16345" xr:uid="{00000000-0005-0000-0000-0000793D0000}"/>
    <cellStyle name="Normal 195 2 2 4" xfId="16346" xr:uid="{00000000-0005-0000-0000-00007A3D0000}"/>
    <cellStyle name="Normal 195 2 2 4 2" xfId="16347" xr:uid="{00000000-0005-0000-0000-00007B3D0000}"/>
    <cellStyle name="Normal 195 2 2 4 2 2" xfId="16348" xr:uid="{00000000-0005-0000-0000-00007C3D0000}"/>
    <cellStyle name="Normal 195 2 2 4 3" xfId="16349" xr:uid="{00000000-0005-0000-0000-00007D3D0000}"/>
    <cellStyle name="Normal 195 2 2 5" xfId="16350" xr:uid="{00000000-0005-0000-0000-00007E3D0000}"/>
    <cellStyle name="Normal 195 2 3" xfId="16351" xr:uid="{00000000-0005-0000-0000-00007F3D0000}"/>
    <cellStyle name="Normal 195 2 3 2" xfId="16352" xr:uid="{00000000-0005-0000-0000-0000803D0000}"/>
    <cellStyle name="Normal 195 2 3 2 2" xfId="16353" xr:uid="{00000000-0005-0000-0000-0000813D0000}"/>
    <cellStyle name="Normal 195 2 3 2 2 2" xfId="16354" xr:uid="{00000000-0005-0000-0000-0000823D0000}"/>
    <cellStyle name="Normal 195 2 3 2 3" xfId="16355" xr:uid="{00000000-0005-0000-0000-0000833D0000}"/>
    <cellStyle name="Normal 195 2 3 2 3 2" xfId="16356" xr:uid="{00000000-0005-0000-0000-0000843D0000}"/>
    <cellStyle name="Normal 195 2 3 2 3 2 2" xfId="16357" xr:uid="{00000000-0005-0000-0000-0000853D0000}"/>
    <cellStyle name="Normal 195 2 3 2 3 3" xfId="16358" xr:uid="{00000000-0005-0000-0000-0000863D0000}"/>
    <cellStyle name="Normal 195 2 3 2 4" xfId="16359" xr:uid="{00000000-0005-0000-0000-0000873D0000}"/>
    <cellStyle name="Normal 195 2 3 3" xfId="16360" xr:uid="{00000000-0005-0000-0000-0000883D0000}"/>
    <cellStyle name="Normal 195 2 3 3 2" xfId="16361" xr:uid="{00000000-0005-0000-0000-0000893D0000}"/>
    <cellStyle name="Normal 195 2 3 3 2 2" xfId="16362" xr:uid="{00000000-0005-0000-0000-00008A3D0000}"/>
    <cellStyle name="Normal 195 2 3 3 3" xfId="16363" xr:uid="{00000000-0005-0000-0000-00008B3D0000}"/>
    <cellStyle name="Normal 195 2 3 4" xfId="16364" xr:uid="{00000000-0005-0000-0000-00008C3D0000}"/>
    <cellStyle name="Normal 195 2 3 4 2" xfId="16365" xr:uid="{00000000-0005-0000-0000-00008D3D0000}"/>
    <cellStyle name="Normal 195 2 3 4 2 2" xfId="16366" xr:uid="{00000000-0005-0000-0000-00008E3D0000}"/>
    <cellStyle name="Normal 195 2 3 4 3" xfId="16367" xr:uid="{00000000-0005-0000-0000-00008F3D0000}"/>
    <cellStyle name="Normal 195 2 3 5" xfId="16368" xr:uid="{00000000-0005-0000-0000-0000903D0000}"/>
    <cellStyle name="Normal 195 2 3 5 2" xfId="16369" xr:uid="{00000000-0005-0000-0000-0000913D0000}"/>
    <cellStyle name="Normal 195 2 3 5 2 2" xfId="16370" xr:uid="{00000000-0005-0000-0000-0000923D0000}"/>
    <cellStyle name="Normal 195 2 3 5 3" xfId="16371" xr:uid="{00000000-0005-0000-0000-0000933D0000}"/>
    <cellStyle name="Normal 195 2 3 6" xfId="16372" xr:uid="{00000000-0005-0000-0000-0000943D0000}"/>
    <cellStyle name="Normal 195 2 4" xfId="16373" xr:uid="{00000000-0005-0000-0000-0000953D0000}"/>
    <cellStyle name="Normal 195 2 4 2" xfId="16374" xr:uid="{00000000-0005-0000-0000-0000963D0000}"/>
    <cellStyle name="Normal 195 2 4 2 2" xfId="16375" xr:uid="{00000000-0005-0000-0000-0000973D0000}"/>
    <cellStyle name="Normal 195 2 4 3" xfId="16376" xr:uid="{00000000-0005-0000-0000-0000983D0000}"/>
    <cellStyle name="Normal 195 2 5" xfId="16377" xr:uid="{00000000-0005-0000-0000-0000993D0000}"/>
    <cellStyle name="Normal 195 2 5 2" xfId="16378" xr:uid="{00000000-0005-0000-0000-00009A3D0000}"/>
    <cellStyle name="Normal 195 2 5 2 2" xfId="16379" xr:uid="{00000000-0005-0000-0000-00009B3D0000}"/>
    <cellStyle name="Normal 195 2 5 3" xfId="16380" xr:uid="{00000000-0005-0000-0000-00009C3D0000}"/>
    <cellStyle name="Normal 195 2 6" xfId="16381" xr:uid="{00000000-0005-0000-0000-00009D3D0000}"/>
    <cellStyle name="Normal 195 2 6 2" xfId="16382" xr:uid="{00000000-0005-0000-0000-00009E3D0000}"/>
    <cellStyle name="Normal 195 2 6 2 2" xfId="16383" xr:uid="{00000000-0005-0000-0000-00009F3D0000}"/>
    <cellStyle name="Normal 195 2 6 3" xfId="16384" xr:uid="{00000000-0005-0000-0000-0000A03D0000}"/>
    <cellStyle name="Normal 195 2 7" xfId="16385" xr:uid="{00000000-0005-0000-0000-0000A13D0000}"/>
    <cellStyle name="Normal 195 3" xfId="16386" xr:uid="{00000000-0005-0000-0000-0000A23D0000}"/>
    <cellStyle name="Normal 195 3 2" xfId="16387" xr:uid="{00000000-0005-0000-0000-0000A33D0000}"/>
    <cellStyle name="Normal 195 3 2 2" xfId="16388" xr:uid="{00000000-0005-0000-0000-0000A43D0000}"/>
    <cellStyle name="Normal 195 3 3" xfId="16389" xr:uid="{00000000-0005-0000-0000-0000A53D0000}"/>
    <cellStyle name="Normal 195 3 3 2" xfId="16390" xr:uid="{00000000-0005-0000-0000-0000A63D0000}"/>
    <cellStyle name="Normal 195 3 3 2 2" xfId="16391" xr:uid="{00000000-0005-0000-0000-0000A73D0000}"/>
    <cellStyle name="Normal 195 3 3 3" xfId="16392" xr:uid="{00000000-0005-0000-0000-0000A83D0000}"/>
    <cellStyle name="Normal 195 3 4" xfId="16393" xr:uid="{00000000-0005-0000-0000-0000A93D0000}"/>
    <cellStyle name="Normal 195 3 4 2" xfId="16394" xr:uid="{00000000-0005-0000-0000-0000AA3D0000}"/>
    <cellStyle name="Normal 195 3 4 2 2" xfId="16395" xr:uid="{00000000-0005-0000-0000-0000AB3D0000}"/>
    <cellStyle name="Normal 195 3 4 3" xfId="16396" xr:uid="{00000000-0005-0000-0000-0000AC3D0000}"/>
    <cellStyle name="Normal 195 3 5" xfId="16397" xr:uid="{00000000-0005-0000-0000-0000AD3D0000}"/>
    <cellStyle name="Normal 195 4" xfId="16398" xr:uid="{00000000-0005-0000-0000-0000AE3D0000}"/>
    <cellStyle name="Normal 195 4 2" xfId="16399" xr:uid="{00000000-0005-0000-0000-0000AF3D0000}"/>
    <cellStyle name="Normal 195 4 2 2" xfId="16400" xr:uid="{00000000-0005-0000-0000-0000B03D0000}"/>
    <cellStyle name="Normal 195 4 2 2 2" xfId="16401" xr:uid="{00000000-0005-0000-0000-0000B13D0000}"/>
    <cellStyle name="Normal 195 4 2 3" xfId="16402" xr:uid="{00000000-0005-0000-0000-0000B23D0000}"/>
    <cellStyle name="Normal 195 4 2 3 2" xfId="16403" xr:uid="{00000000-0005-0000-0000-0000B33D0000}"/>
    <cellStyle name="Normal 195 4 2 3 2 2" xfId="16404" xr:uid="{00000000-0005-0000-0000-0000B43D0000}"/>
    <cellStyle name="Normal 195 4 2 3 3" xfId="16405" xr:uid="{00000000-0005-0000-0000-0000B53D0000}"/>
    <cellStyle name="Normal 195 4 2 4" xfId="16406" xr:uid="{00000000-0005-0000-0000-0000B63D0000}"/>
    <cellStyle name="Normal 195 4 3" xfId="16407" xr:uid="{00000000-0005-0000-0000-0000B73D0000}"/>
    <cellStyle name="Normal 195 4 3 2" xfId="16408" xr:uid="{00000000-0005-0000-0000-0000B83D0000}"/>
    <cellStyle name="Normal 195 4 3 2 2" xfId="16409" xr:uid="{00000000-0005-0000-0000-0000B93D0000}"/>
    <cellStyle name="Normal 195 4 3 3" xfId="16410" xr:uid="{00000000-0005-0000-0000-0000BA3D0000}"/>
    <cellStyle name="Normal 195 4 4" xfId="16411" xr:uid="{00000000-0005-0000-0000-0000BB3D0000}"/>
    <cellStyle name="Normal 195 4 4 2" xfId="16412" xr:uid="{00000000-0005-0000-0000-0000BC3D0000}"/>
    <cellStyle name="Normal 195 4 4 2 2" xfId="16413" xr:uid="{00000000-0005-0000-0000-0000BD3D0000}"/>
    <cellStyle name="Normal 195 4 4 3" xfId="16414" xr:uid="{00000000-0005-0000-0000-0000BE3D0000}"/>
    <cellStyle name="Normal 195 4 5" xfId="16415" xr:uid="{00000000-0005-0000-0000-0000BF3D0000}"/>
    <cellStyle name="Normal 195 4 5 2" xfId="16416" xr:uid="{00000000-0005-0000-0000-0000C03D0000}"/>
    <cellStyle name="Normal 195 4 5 2 2" xfId="16417" xr:uid="{00000000-0005-0000-0000-0000C13D0000}"/>
    <cellStyle name="Normal 195 4 5 3" xfId="16418" xr:uid="{00000000-0005-0000-0000-0000C23D0000}"/>
    <cellStyle name="Normal 195 4 6" xfId="16419" xr:uid="{00000000-0005-0000-0000-0000C33D0000}"/>
    <cellStyle name="Normal 195 5" xfId="16420" xr:uid="{00000000-0005-0000-0000-0000C43D0000}"/>
    <cellStyle name="Normal 195 5 2" xfId="16421" xr:uid="{00000000-0005-0000-0000-0000C53D0000}"/>
    <cellStyle name="Normal 195 5 2 2" xfId="16422" xr:uid="{00000000-0005-0000-0000-0000C63D0000}"/>
    <cellStyle name="Normal 195 5 3" xfId="16423" xr:uid="{00000000-0005-0000-0000-0000C73D0000}"/>
    <cellStyle name="Normal 195 6" xfId="16424" xr:uid="{00000000-0005-0000-0000-0000C83D0000}"/>
    <cellStyle name="Normal 195 6 2" xfId="16425" xr:uid="{00000000-0005-0000-0000-0000C93D0000}"/>
    <cellStyle name="Normal 195 6 2 2" xfId="16426" xr:uid="{00000000-0005-0000-0000-0000CA3D0000}"/>
    <cellStyle name="Normal 195 6 3" xfId="16427" xr:uid="{00000000-0005-0000-0000-0000CB3D0000}"/>
    <cellStyle name="Normal 195 7" xfId="16428" xr:uid="{00000000-0005-0000-0000-0000CC3D0000}"/>
    <cellStyle name="Normal 195 7 2" xfId="16429" xr:uid="{00000000-0005-0000-0000-0000CD3D0000}"/>
    <cellStyle name="Normal 195 7 2 2" xfId="16430" xr:uid="{00000000-0005-0000-0000-0000CE3D0000}"/>
    <cellStyle name="Normal 195 7 3" xfId="16431" xr:uid="{00000000-0005-0000-0000-0000CF3D0000}"/>
    <cellStyle name="Normal 195 8" xfId="16432" xr:uid="{00000000-0005-0000-0000-0000D03D0000}"/>
    <cellStyle name="Normal 196" xfId="16433" xr:uid="{00000000-0005-0000-0000-0000D13D0000}"/>
    <cellStyle name="Normal 196 2" xfId="16434" xr:uid="{00000000-0005-0000-0000-0000D23D0000}"/>
    <cellStyle name="Normal 196 2 2" xfId="16435" xr:uid="{00000000-0005-0000-0000-0000D33D0000}"/>
    <cellStyle name="Normal 196 2 2 2" xfId="16436" xr:uid="{00000000-0005-0000-0000-0000D43D0000}"/>
    <cellStyle name="Normal 196 2 2 2 2" xfId="16437" xr:uid="{00000000-0005-0000-0000-0000D53D0000}"/>
    <cellStyle name="Normal 196 2 2 3" xfId="16438" xr:uid="{00000000-0005-0000-0000-0000D63D0000}"/>
    <cellStyle name="Normal 196 2 2 3 2" xfId="16439" xr:uid="{00000000-0005-0000-0000-0000D73D0000}"/>
    <cellStyle name="Normal 196 2 2 3 2 2" xfId="16440" xr:uid="{00000000-0005-0000-0000-0000D83D0000}"/>
    <cellStyle name="Normal 196 2 2 3 3" xfId="16441" xr:uid="{00000000-0005-0000-0000-0000D93D0000}"/>
    <cellStyle name="Normal 196 2 2 4" xfId="16442" xr:uid="{00000000-0005-0000-0000-0000DA3D0000}"/>
    <cellStyle name="Normal 196 2 2 4 2" xfId="16443" xr:uid="{00000000-0005-0000-0000-0000DB3D0000}"/>
    <cellStyle name="Normal 196 2 2 4 2 2" xfId="16444" xr:uid="{00000000-0005-0000-0000-0000DC3D0000}"/>
    <cellStyle name="Normal 196 2 2 4 3" xfId="16445" xr:uid="{00000000-0005-0000-0000-0000DD3D0000}"/>
    <cellStyle name="Normal 196 2 2 5" xfId="16446" xr:uid="{00000000-0005-0000-0000-0000DE3D0000}"/>
    <cellStyle name="Normal 196 2 3" xfId="16447" xr:uid="{00000000-0005-0000-0000-0000DF3D0000}"/>
    <cellStyle name="Normal 196 2 3 2" xfId="16448" xr:uid="{00000000-0005-0000-0000-0000E03D0000}"/>
    <cellStyle name="Normal 196 2 3 2 2" xfId="16449" xr:uid="{00000000-0005-0000-0000-0000E13D0000}"/>
    <cellStyle name="Normal 196 2 3 2 2 2" xfId="16450" xr:uid="{00000000-0005-0000-0000-0000E23D0000}"/>
    <cellStyle name="Normal 196 2 3 2 3" xfId="16451" xr:uid="{00000000-0005-0000-0000-0000E33D0000}"/>
    <cellStyle name="Normal 196 2 3 2 3 2" xfId="16452" xr:uid="{00000000-0005-0000-0000-0000E43D0000}"/>
    <cellStyle name="Normal 196 2 3 2 3 2 2" xfId="16453" xr:uid="{00000000-0005-0000-0000-0000E53D0000}"/>
    <cellStyle name="Normal 196 2 3 2 3 3" xfId="16454" xr:uid="{00000000-0005-0000-0000-0000E63D0000}"/>
    <cellStyle name="Normal 196 2 3 2 4" xfId="16455" xr:uid="{00000000-0005-0000-0000-0000E73D0000}"/>
    <cellStyle name="Normal 196 2 3 3" xfId="16456" xr:uid="{00000000-0005-0000-0000-0000E83D0000}"/>
    <cellStyle name="Normal 196 2 3 3 2" xfId="16457" xr:uid="{00000000-0005-0000-0000-0000E93D0000}"/>
    <cellStyle name="Normal 196 2 3 3 2 2" xfId="16458" xr:uid="{00000000-0005-0000-0000-0000EA3D0000}"/>
    <cellStyle name="Normal 196 2 3 3 3" xfId="16459" xr:uid="{00000000-0005-0000-0000-0000EB3D0000}"/>
    <cellStyle name="Normal 196 2 3 4" xfId="16460" xr:uid="{00000000-0005-0000-0000-0000EC3D0000}"/>
    <cellStyle name="Normal 196 2 3 4 2" xfId="16461" xr:uid="{00000000-0005-0000-0000-0000ED3D0000}"/>
    <cellStyle name="Normal 196 2 3 4 2 2" xfId="16462" xr:uid="{00000000-0005-0000-0000-0000EE3D0000}"/>
    <cellStyle name="Normal 196 2 3 4 3" xfId="16463" xr:uid="{00000000-0005-0000-0000-0000EF3D0000}"/>
    <cellStyle name="Normal 196 2 3 5" xfId="16464" xr:uid="{00000000-0005-0000-0000-0000F03D0000}"/>
    <cellStyle name="Normal 196 2 3 5 2" xfId="16465" xr:uid="{00000000-0005-0000-0000-0000F13D0000}"/>
    <cellStyle name="Normal 196 2 3 5 2 2" xfId="16466" xr:uid="{00000000-0005-0000-0000-0000F23D0000}"/>
    <cellStyle name="Normal 196 2 3 5 3" xfId="16467" xr:uid="{00000000-0005-0000-0000-0000F33D0000}"/>
    <cellStyle name="Normal 196 2 3 6" xfId="16468" xr:uid="{00000000-0005-0000-0000-0000F43D0000}"/>
    <cellStyle name="Normal 196 2 4" xfId="16469" xr:uid="{00000000-0005-0000-0000-0000F53D0000}"/>
    <cellStyle name="Normal 196 2 4 2" xfId="16470" xr:uid="{00000000-0005-0000-0000-0000F63D0000}"/>
    <cellStyle name="Normal 196 2 4 2 2" xfId="16471" xr:uid="{00000000-0005-0000-0000-0000F73D0000}"/>
    <cellStyle name="Normal 196 2 4 3" xfId="16472" xr:uid="{00000000-0005-0000-0000-0000F83D0000}"/>
    <cellStyle name="Normal 196 2 5" xfId="16473" xr:uid="{00000000-0005-0000-0000-0000F93D0000}"/>
    <cellStyle name="Normal 196 2 5 2" xfId="16474" xr:uid="{00000000-0005-0000-0000-0000FA3D0000}"/>
    <cellStyle name="Normal 196 2 5 2 2" xfId="16475" xr:uid="{00000000-0005-0000-0000-0000FB3D0000}"/>
    <cellStyle name="Normal 196 2 5 3" xfId="16476" xr:uid="{00000000-0005-0000-0000-0000FC3D0000}"/>
    <cellStyle name="Normal 196 2 6" xfId="16477" xr:uid="{00000000-0005-0000-0000-0000FD3D0000}"/>
    <cellStyle name="Normal 196 2 6 2" xfId="16478" xr:uid="{00000000-0005-0000-0000-0000FE3D0000}"/>
    <cellStyle name="Normal 196 2 6 2 2" xfId="16479" xr:uid="{00000000-0005-0000-0000-0000FF3D0000}"/>
    <cellStyle name="Normal 196 2 6 3" xfId="16480" xr:uid="{00000000-0005-0000-0000-0000003E0000}"/>
    <cellStyle name="Normal 196 2 7" xfId="16481" xr:uid="{00000000-0005-0000-0000-0000013E0000}"/>
    <cellStyle name="Normal 196 3" xfId="16482" xr:uid="{00000000-0005-0000-0000-0000023E0000}"/>
    <cellStyle name="Normal 196 3 2" xfId="16483" xr:uid="{00000000-0005-0000-0000-0000033E0000}"/>
    <cellStyle name="Normal 196 3 2 2" xfId="16484" xr:uid="{00000000-0005-0000-0000-0000043E0000}"/>
    <cellStyle name="Normal 196 3 3" xfId="16485" xr:uid="{00000000-0005-0000-0000-0000053E0000}"/>
    <cellStyle name="Normal 196 3 3 2" xfId="16486" xr:uid="{00000000-0005-0000-0000-0000063E0000}"/>
    <cellStyle name="Normal 196 3 3 2 2" xfId="16487" xr:uid="{00000000-0005-0000-0000-0000073E0000}"/>
    <cellStyle name="Normal 196 3 3 3" xfId="16488" xr:uid="{00000000-0005-0000-0000-0000083E0000}"/>
    <cellStyle name="Normal 196 3 4" xfId="16489" xr:uid="{00000000-0005-0000-0000-0000093E0000}"/>
    <cellStyle name="Normal 196 3 4 2" xfId="16490" xr:uid="{00000000-0005-0000-0000-00000A3E0000}"/>
    <cellStyle name="Normal 196 3 4 2 2" xfId="16491" xr:uid="{00000000-0005-0000-0000-00000B3E0000}"/>
    <cellStyle name="Normal 196 3 4 3" xfId="16492" xr:uid="{00000000-0005-0000-0000-00000C3E0000}"/>
    <cellStyle name="Normal 196 3 5" xfId="16493" xr:uid="{00000000-0005-0000-0000-00000D3E0000}"/>
    <cellStyle name="Normal 196 4" xfId="16494" xr:uid="{00000000-0005-0000-0000-00000E3E0000}"/>
    <cellStyle name="Normal 196 4 2" xfId="16495" xr:uid="{00000000-0005-0000-0000-00000F3E0000}"/>
    <cellStyle name="Normal 196 4 2 2" xfId="16496" xr:uid="{00000000-0005-0000-0000-0000103E0000}"/>
    <cellStyle name="Normal 196 4 2 2 2" xfId="16497" xr:uid="{00000000-0005-0000-0000-0000113E0000}"/>
    <cellStyle name="Normal 196 4 2 3" xfId="16498" xr:uid="{00000000-0005-0000-0000-0000123E0000}"/>
    <cellStyle name="Normal 196 4 2 3 2" xfId="16499" xr:uid="{00000000-0005-0000-0000-0000133E0000}"/>
    <cellStyle name="Normal 196 4 2 3 2 2" xfId="16500" xr:uid="{00000000-0005-0000-0000-0000143E0000}"/>
    <cellStyle name="Normal 196 4 2 3 3" xfId="16501" xr:uid="{00000000-0005-0000-0000-0000153E0000}"/>
    <cellStyle name="Normal 196 4 2 4" xfId="16502" xr:uid="{00000000-0005-0000-0000-0000163E0000}"/>
    <cellStyle name="Normal 196 4 3" xfId="16503" xr:uid="{00000000-0005-0000-0000-0000173E0000}"/>
    <cellStyle name="Normal 196 4 3 2" xfId="16504" xr:uid="{00000000-0005-0000-0000-0000183E0000}"/>
    <cellStyle name="Normal 196 4 3 2 2" xfId="16505" xr:uid="{00000000-0005-0000-0000-0000193E0000}"/>
    <cellStyle name="Normal 196 4 3 3" xfId="16506" xr:uid="{00000000-0005-0000-0000-00001A3E0000}"/>
    <cellStyle name="Normal 196 4 4" xfId="16507" xr:uid="{00000000-0005-0000-0000-00001B3E0000}"/>
    <cellStyle name="Normal 196 4 4 2" xfId="16508" xr:uid="{00000000-0005-0000-0000-00001C3E0000}"/>
    <cellStyle name="Normal 196 4 4 2 2" xfId="16509" xr:uid="{00000000-0005-0000-0000-00001D3E0000}"/>
    <cellStyle name="Normal 196 4 4 3" xfId="16510" xr:uid="{00000000-0005-0000-0000-00001E3E0000}"/>
    <cellStyle name="Normal 196 4 5" xfId="16511" xr:uid="{00000000-0005-0000-0000-00001F3E0000}"/>
    <cellStyle name="Normal 196 4 5 2" xfId="16512" xr:uid="{00000000-0005-0000-0000-0000203E0000}"/>
    <cellStyle name="Normal 196 4 5 2 2" xfId="16513" xr:uid="{00000000-0005-0000-0000-0000213E0000}"/>
    <cellStyle name="Normal 196 4 5 3" xfId="16514" xr:uid="{00000000-0005-0000-0000-0000223E0000}"/>
    <cellStyle name="Normal 196 4 6" xfId="16515" xr:uid="{00000000-0005-0000-0000-0000233E0000}"/>
    <cellStyle name="Normal 196 5" xfId="16516" xr:uid="{00000000-0005-0000-0000-0000243E0000}"/>
    <cellStyle name="Normal 196 5 2" xfId="16517" xr:uid="{00000000-0005-0000-0000-0000253E0000}"/>
    <cellStyle name="Normal 196 5 2 2" xfId="16518" xr:uid="{00000000-0005-0000-0000-0000263E0000}"/>
    <cellStyle name="Normal 196 5 3" xfId="16519" xr:uid="{00000000-0005-0000-0000-0000273E0000}"/>
    <cellStyle name="Normal 196 6" xfId="16520" xr:uid="{00000000-0005-0000-0000-0000283E0000}"/>
    <cellStyle name="Normal 196 6 2" xfId="16521" xr:uid="{00000000-0005-0000-0000-0000293E0000}"/>
    <cellStyle name="Normal 196 6 2 2" xfId="16522" xr:uid="{00000000-0005-0000-0000-00002A3E0000}"/>
    <cellStyle name="Normal 196 6 3" xfId="16523" xr:uid="{00000000-0005-0000-0000-00002B3E0000}"/>
    <cellStyle name="Normal 196 7" xfId="16524" xr:uid="{00000000-0005-0000-0000-00002C3E0000}"/>
    <cellStyle name="Normal 196 7 2" xfId="16525" xr:uid="{00000000-0005-0000-0000-00002D3E0000}"/>
    <cellStyle name="Normal 196 7 2 2" xfId="16526" xr:uid="{00000000-0005-0000-0000-00002E3E0000}"/>
    <cellStyle name="Normal 196 7 3" xfId="16527" xr:uid="{00000000-0005-0000-0000-00002F3E0000}"/>
    <cellStyle name="Normal 196 8" xfId="16528" xr:uid="{00000000-0005-0000-0000-0000303E0000}"/>
    <cellStyle name="Normal 197" xfId="16529" xr:uid="{00000000-0005-0000-0000-0000313E0000}"/>
    <cellStyle name="Normal 197 2" xfId="16530" xr:uid="{00000000-0005-0000-0000-0000323E0000}"/>
    <cellStyle name="Normal 197 2 2" xfId="16531" xr:uid="{00000000-0005-0000-0000-0000333E0000}"/>
    <cellStyle name="Normal 197 2 2 2" xfId="16532" xr:uid="{00000000-0005-0000-0000-0000343E0000}"/>
    <cellStyle name="Normal 197 2 2 2 2" xfId="16533" xr:uid="{00000000-0005-0000-0000-0000353E0000}"/>
    <cellStyle name="Normal 197 2 2 3" xfId="16534" xr:uid="{00000000-0005-0000-0000-0000363E0000}"/>
    <cellStyle name="Normal 197 2 2 3 2" xfId="16535" xr:uid="{00000000-0005-0000-0000-0000373E0000}"/>
    <cellStyle name="Normal 197 2 2 3 2 2" xfId="16536" xr:uid="{00000000-0005-0000-0000-0000383E0000}"/>
    <cellStyle name="Normal 197 2 2 3 3" xfId="16537" xr:uid="{00000000-0005-0000-0000-0000393E0000}"/>
    <cellStyle name="Normal 197 2 2 4" xfId="16538" xr:uid="{00000000-0005-0000-0000-00003A3E0000}"/>
    <cellStyle name="Normal 197 2 2 4 2" xfId="16539" xr:uid="{00000000-0005-0000-0000-00003B3E0000}"/>
    <cellStyle name="Normal 197 2 2 4 2 2" xfId="16540" xr:uid="{00000000-0005-0000-0000-00003C3E0000}"/>
    <cellStyle name="Normal 197 2 2 4 3" xfId="16541" xr:uid="{00000000-0005-0000-0000-00003D3E0000}"/>
    <cellStyle name="Normal 197 2 2 5" xfId="16542" xr:uid="{00000000-0005-0000-0000-00003E3E0000}"/>
    <cellStyle name="Normal 197 2 3" xfId="16543" xr:uid="{00000000-0005-0000-0000-00003F3E0000}"/>
    <cellStyle name="Normal 197 2 3 2" xfId="16544" xr:uid="{00000000-0005-0000-0000-0000403E0000}"/>
    <cellStyle name="Normal 197 2 3 2 2" xfId="16545" xr:uid="{00000000-0005-0000-0000-0000413E0000}"/>
    <cellStyle name="Normal 197 2 3 2 2 2" xfId="16546" xr:uid="{00000000-0005-0000-0000-0000423E0000}"/>
    <cellStyle name="Normal 197 2 3 2 3" xfId="16547" xr:uid="{00000000-0005-0000-0000-0000433E0000}"/>
    <cellStyle name="Normal 197 2 3 2 3 2" xfId="16548" xr:uid="{00000000-0005-0000-0000-0000443E0000}"/>
    <cellStyle name="Normal 197 2 3 2 3 2 2" xfId="16549" xr:uid="{00000000-0005-0000-0000-0000453E0000}"/>
    <cellStyle name="Normal 197 2 3 2 3 3" xfId="16550" xr:uid="{00000000-0005-0000-0000-0000463E0000}"/>
    <cellStyle name="Normal 197 2 3 2 4" xfId="16551" xr:uid="{00000000-0005-0000-0000-0000473E0000}"/>
    <cellStyle name="Normal 197 2 3 3" xfId="16552" xr:uid="{00000000-0005-0000-0000-0000483E0000}"/>
    <cellStyle name="Normal 197 2 3 3 2" xfId="16553" xr:uid="{00000000-0005-0000-0000-0000493E0000}"/>
    <cellStyle name="Normal 197 2 3 3 2 2" xfId="16554" xr:uid="{00000000-0005-0000-0000-00004A3E0000}"/>
    <cellStyle name="Normal 197 2 3 3 3" xfId="16555" xr:uid="{00000000-0005-0000-0000-00004B3E0000}"/>
    <cellStyle name="Normal 197 2 3 4" xfId="16556" xr:uid="{00000000-0005-0000-0000-00004C3E0000}"/>
    <cellStyle name="Normal 197 2 3 4 2" xfId="16557" xr:uid="{00000000-0005-0000-0000-00004D3E0000}"/>
    <cellStyle name="Normal 197 2 3 4 2 2" xfId="16558" xr:uid="{00000000-0005-0000-0000-00004E3E0000}"/>
    <cellStyle name="Normal 197 2 3 4 3" xfId="16559" xr:uid="{00000000-0005-0000-0000-00004F3E0000}"/>
    <cellStyle name="Normal 197 2 3 5" xfId="16560" xr:uid="{00000000-0005-0000-0000-0000503E0000}"/>
    <cellStyle name="Normal 197 2 3 5 2" xfId="16561" xr:uid="{00000000-0005-0000-0000-0000513E0000}"/>
    <cellStyle name="Normal 197 2 3 5 2 2" xfId="16562" xr:uid="{00000000-0005-0000-0000-0000523E0000}"/>
    <cellStyle name="Normal 197 2 3 5 3" xfId="16563" xr:uid="{00000000-0005-0000-0000-0000533E0000}"/>
    <cellStyle name="Normal 197 2 3 6" xfId="16564" xr:uid="{00000000-0005-0000-0000-0000543E0000}"/>
    <cellStyle name="Normal 197 2 4" xfId="16565" xr:uid="{00000000-0005-0000-0000-0000553E0000}"/>
    <cellStyle name="Normal 197 2 4 2" xfId="16566" xr:uid="{00000000-0005-0000-0000-0000563E0000}"/>
    <cellStyle name="Normal 197 2 4 2 2" xfId="16567" xr:uid="{00000000-0005-0000-0000-0000573E0000}"/>
    <cellStyle name="Normal 197 2 4 3" xfId="16568" xr:uid="{00000000-0005-0000-0000-0000583E0000}"/>
    <cellStyle name="Normal 197 2 5" xfId="16569" xr:uid="{00000000-0005-0000-0000-0000593E0000}"/>
    <cellStyle name="Normal 197 2 5 2" xfId="16570" xr:uid="{00000000-0005-0000-0000-00005A3E0000}"/>
    <cellStyle name="Normal 197 2 5 2 2" xfId="16571" xr:uid="{00000000-0005-0000-0000-00005B3E0000}"/>
    <cellStyle name="Normal 197 2 5 3" xfId="16572" xr:uid="{00000000-0005-0000-0000-00005C3E0000}"/>
    <cellStyle name="Normal 197 2 6" xfId="16573" xr:uid="{00000000-0005-0000-0000-00005D3E0000}"/>
    <cellStyle name="Normal 197 2 6 2" xfId="16574" xr:uid="{00000000-0005-0000-0000-00005E3E0000}"/>
    <cellStyle name="Normal 197 2 6 2 2" xfId="16575" xr:uid="{00000000-0005-0000-0000-00005F3E0000}"/>
    <cellStyle name="Normal 197 2 6 3" xfId="16576" xr:uid="{00000000-0005-0000-0000-0000603E0000}"/>
    <cellStyle name="Normal 197 2 7" xfId="16577" xr:uid="{00000000-0005-0000-0000-0000613E0000}"/>
    <cellStyle name="Normal 197 3" xfId="16578" xr:uid="{00000000-0005-0000-0000-0000623E0000}"/>
    <cellStyle name="Normal 197 3 2" xfId="16579" xr:uid="{00000000-0005-0000-0000-0000633E0000}"/>
    <cellStyle name="Normal 197 3 2 2" xfId="16580" xr:uid="{00000000-0005-0000-0000-0000643E0000}"/>
    <cellStyle name="Normal 197 3 3" xfId="16581" xr:uid="{00000000-0005-0000-0000-0000653E0000}"/>
    <cellStyle name="Normal 197 3 3 2" xfId="16582" xr:uid="{00000000-0005-0000-0000-0000663E0000}"/>
    <cellStyle name="Normal 197 3 3 2 2" xfId="16583" xr:uid="{00000000-0005-0000-0000-0000673E0000}"/>
    <cellStyle name="Normal 197 3 3 3" xfId="16584" xr:uid="{00000000-0005-0000-0000-0000683E0000}"/>
    <cellStyle name="Normal 197 3 4" xfId="16585" xr:uid="{00000000-0005-0000-0000-0000693E0000}"/>
    <cellStyle name="Normal 197 3 4 2" xfId="16586" xr:uid="{00000000-0005-0000-0000-00006A3E0000}"/>
    <cellStyle name="Normal 197 3 4 2 2" xfId="16587" xr:uid="{00000000-0005-0000-0000-00006B3E0000}"/>
    <cellStyle name="Normal 197 3 4 3" xfId="16588" xr:uid="{00000000-0005-0000-0000-00006C3E0000}"/>
    <cellStyle name="Normal 197 3 5" xfId="16589" xr:uid="{00000000-0005-0000-0000-00006D3E0000}"/>
    <cellStyle name="Normal 197 4" xfId="16590" xr:uid="{00000000-0005-0000-0000-00006E3E0000}"/>
    <cellStyle name="Normal 197 4 2" xfId="16591" xr:uid="{00000000-0005-0000-0000-00006F3E0000}"/>
    <cellStyle name="Normal 197 4 2 2" xfId="16592" xr:uid="{00000000-0005-0000-0000-0000703E0000}"/>
    <cellStyle name="Normal 197 4 2 2 2" xfId="16593" xr:uid="{00000000-0005-0000-0000-0000713E0000}"/>
    <cellStyle name="Normal 197 4 2 3" xfId="16594" xr:uid="{00000000-0005-0000-0000-0000723E0000}"/>
    <cellStyle name="Normal 197 4 2 3 2" xfId="16595" xr:uid="{00000000-0005-0000-0000-0000733E0000}"/>
    <cellStyle name="Normal 197 4 2 3 2 2" xfId="16596" xr:uid="{00000000-0005-0000-0000-0000743E0000}"/>
    <cellStyle name="Normal 197 4 2 3 3" xfId="16597" xr:uid="{00000000-0005-0000-0000-0000753E0000}"/>
    <cellStyle name="Normal 197 4 2 4" xfId="16598" xr:uid="{00000000-0005-0000-0000-0000763E0000}"/>
    <cellStyle name="Normal 197 4 3" xfId="16599" xr:uid="{00000000-0005-0000-0000-0000773E0000}"/>
    <cellStyle name="Normal 197 4 3 2" xfId="16600" xr:uid="{00000000-0005-0000-0000-0000783E0000}"/>
    <cellStyle name="Normal 197 4 3 2 2" xfId="16601" xr:uid="{00000000-0005-0000-0000-0000793E0000}"/>
    <cellStyle name="Normal 197 4 3 3" xfId="16602" xr:uid="{00000000-0005-0000-0000-00007A3E0000}"/>
    <cellStyle name="Normal 197 4 4" xfId="16603" xr:uid="{00000000-0005-0000-0000-00007B3E0000}"/>
    <cellStyle name="Normal 197 4 4 2" xfId="16604" xr:uid="{00000000-0005-0000-0000-00007C3E0000}"/>
    <cellStyle name="Normal 197 4 4 2 2" xfId="16605" xr:uid="{00000000-0005-0000-0000-00007D3E0000}"/>
    <cellStyle name="Normal 197 4 4 3" xfId="16606" xr:uid="{00000000-0005-0000-0000-00007E3E0000}"/>
    <cellStyle name="Normal 197 4 5" xfId="16607" xr:uid="{00000000-0005-0000-0000-00007F3E0000}"/>
    <cellStyle name="Normal 197 4 5 2" xfId="16608" xr:uid="{00000000-0005-0000-0000-0000803E0000}"/>
    <cellStyle name="Normal 197 4 5 2 2" xfId="16609" xr:uid="{00000000-0005-0000-0000-0000813E0000}"/>
    <cellStyle name="Normal 197 4 5 3" xfId="16610" xr:uid="{00000000-0005-0000-0000-0000823E0000}"/>
    <cellStyle name="Normal 197 4 6" xfId="16611" xr:uid="{00000000-0005-0000-0000-0000833E0000}"/>
    <cellStyle name="Normal 197 5" xfId="16612" xr:uid="{00000000-0005-0000-0000-0000843E0000}"/>
    <cellStyle name="Normal 197 5 2" xfId="16613" xr:uid="{00000000-0005-0000-0000-0000853E0000}"/>
    <cellStyle name="Normal 197 5 2 2" xfId="16614" xr:uid="{00000000-0005-0000-0000-0000863E0000}"/>
    <cellStyle name="Normal 197 5 3" xfId="16615" xr:uid="{00000000-0005-0000-0000-0000873E0000}"/>
    <cellStyle name="Normal 197 6" xfId="16616" xr:uid="{00000000-0005-0000-0000-0000883E0000}"/>
    <cellStyle name="Normal 197 6 2" xfId="16617" xr:uid="{00000000-0005-0000-0000-0000893E0000}"/>
    <cellStyle name="Normal 197 6 2 2" xfId="16618" xr:uid="{00000000-0005-0000-0000-00008A3E0000}"/>
    <cellStyle name="Normal 197 6 3" xfId="16619" xr:uid="{00000000-0005-0000-0000-00008B3E0000}"/>
    <cellStyle name="Normal 197 7" xfId="16620" xr:uid="{00000000-0005-0000-0000-00008C3E0000}"/>
    <cellStyle name="Normal 197 7 2" xfId="16621" xr:uid="{00000000-0005-0000-0000-00008D3E0000}"/>
    <cellStyle name="Normal 197 7 2 2" xfId="16622" xr:uid="{00000000-0005-0000-0000-00008E3E0000}"/>
    <cellStyle name="Normal 197 7 3" xfId="16623" xr:uid="{00000000-0005-0000-0000-00008F3E0000}"/>
    <cellStyle name="Normal 197 8" xfId="16624" xr:uid="{00000000-0005-0000-0000-0000903E0000}"/>
    <cellStyle name="Normal 198" xfId="16625" xr:uid="{00000000-0005-0000-0000-0000913E0000}"/>
    <cellStyle name="Normal 198 2" xfId="16626" xr:uid="{00000000-0005-0000-0000-0000923E0000}"/>
    <cellStyle name="Normal 198 2 2" xfId="16627" xr:uid="{00000000-0005-0000-0000-0000933E0000}"/>
    <cellStyle name="Normal 198 2 2 2" xfId="16628" xr:uid="{00000000-0005-0000-0000-0000943E0000}"/>
    <cellStyle name="Normal 198 2 2 2 2" xfId="16629" xr:uid="{00000000-0005-0000-0000-0000953E0000}"/>
    <cellStyle name="Normal 198 2 2 3" xfId="16630" xr:uid="{00000000-0005-0000-0000-0000963E0000}"/>
    <cellStyle name="Normal 198 2 2 3 2" xfId="16631" xr:uid="{00000000-0005-0000-0000-0000973E0000}"/>
    <cellStyle name="Normal 198 2 2 3 2 2" xfId="16632" xr:uid="{00000000-0005-0000-0000-0000983E0000}"/>
    <cellStyle name="Normal 198 2 2 3 3" xfId="16633" xr:uid="{00000000-0005-0000-0000-0000993E0000}"/>
    <cellStyle name="Normal 198 2 2 4" xfId="16634" xr:uid="{00000000-0005-0000-0000-00009A3E0000}"/>
    <cellStyle name="Normal 198 2 2 4 2" xfId="16635" xr:uid="{00000000-0005-0000-0000-00009B3E0000}"/>
    <cellStyle name="Normal 198 2 2 4 2 2" xfId="16636" xr:uid="{00000000-0005-0000-0000-00009C3E0000}"/>
    <cellStyle name="Normal 198 2 2 4 3" xfId="16637" xr:uid="{00000000-0005-0000-0000-00009D3E0000}"/>
    <cellStyle name="Normal 198 2 2 5" xfId="16638" xr:uid="{00000000-0005-0000-0000-00009E3E0000}"/>
    <cellStyle name="Normal 198 2 3" xfId="16639" xr:uid="{00000000-0005-0000-0000-00009F3E0000}"/>
    <cellStyle name="Normal 198 2 3 2" xfId="16640" xr:uid="{00000000-0005-0000-0000-0000A03E0000}"/>
    <cellStyle name="Normal 198 2 3 2 2" xfId="16641" xr:uid="{00000000-0005-0000-0000-0000A13E0000}"/>
    <cellStyle name="Normal 198 2 3 2 2 2" xfId="16642" xr:uid="{00000000-0005-0000-0000-0000A23E0000}"/>
    <cellStyle name="Normal 198 2 3 2 3" xfId="16643" xr:uid="{00000000-0005-0000-0000-0000A33E0000}"/>
    <cellStyle name="Normal 198 2 3 2 3 2" xfId="16644" xr:uid="{00000000-0005-0000-0000-0000A43E0000}"/>
    <cellStyle name="Normal 198 2 3 2 3 2 2" xfId="16645" xr:uid="{00000000-0005-0000-0000-0000A53E0000}"/>
    <cellStyle name="Normal 198 2 3 2 3 3" xfId="16646" xr:uid="{00000000-0005-0000-0000-0000A63E0000}"/>
    <cellStyle name="Normal 198 2 3 2 4" xfId="16647" xr:uid="{00000000-0005-0000-0000-0000A73E0000}"/>
    <cellStyle name="Normal 198 2 3 3" xfId="16648" xr:uid="{00000000-0005-0000-0000-0000A83E0000}"/>
    <cellStyle name="Normal 198 2 3 3 2" xfId="16649" xr:uid="{00000000-0005-0000-0000-0000A93E0000}"/>
    <cellStyle name="Normal 198 2 3 3 2 2" xfId="16650" xr:uid="{00000000-0005-0000-0000-0000AA3E0000}"/>
    <cellStyle name="Normal 198 2 3 3 3" xfId="16651" xr:uid="{00000000-0005-0000-0000-0000AB3E0000}"/>
    <cellStyle name="Normal 198 2 3 4" xfId="16652" xr:uid="{00000000-0005-0000-0000-0000AC3E0000}"/>
    <cellStyle name="Normal 198 2 3 4 2" xfId="16653" xr:uid="{00000000-0005-0000-0000-0000AD3E0000}"/>
    <cellStyle name="Normal 198 2 3 4 2 2" xfId="16654" xr:uid="{00000000-0005-0000-0000-0000AE3E0000}"/>
    <cellStyle name="Normal 198 2 3 4 3" xfId="16655" xr:uid="{00000000-0005-0000-0000-0000AF3E0000}"/>
    <cellStyle name="Normal 198 2 3 5" xfId="16656" xr:uid="{00000000-0005-0000-0000-0000B03E0000}"/>
    <cellStyle name="Normal 198 2 3 5 2" xfId="16657" xr:uid="{00000000-0005-0000-0000-0000B13E0000}"/>
    <cellStyle name="Normal 198 2 3 5 2 2" xfId="16658" xr:uid="{00000000-0005-0000-0000-0000B23E0000}"/>
    <cellStyle name="Normal 198 2 3 5 3" xfId="16659" xr:uid="{00000000-0005-0000-0000-0000B33E0000}"/>
    <cellStyle name="Normal 198 2 3 6" xfId="16660" xr:uid="{00000000-0005-0000-0000-0000B43E0000}"/>
    <cellStyle name="Normal 198 2 4" xfId="16661" xr:uid="{00000000-0005-0000-0000-0000B53E0000}"/>
    <cellStyle name="Normal 198 2 4 2" xfId="16662" xr:uid="{00000000-0005-0000-0000-0000B63E0000}"/>
    <cellStyle name="Normal 198 2 4 2 2" xfId="16663" xr:uid="{00000000-0005-0000-0000-0000B73E0000}"/>
    <cellStyle name="Normal 198 2 4 3" xfId="16664" xr:uid="{00000000-0005-0000-0000-0000B83E0000}"/>
    <cellStyle name="Normal 198 2 5" xfId="16665" xr:uid="{00000000-0005-0000-0000-0000B93E0000}"/>
    <cellStyle name="Normal 198 2 5 2" xfId="16666" xr:uid="{00000000-0005-0000-0000-0000BA3E0000}"/>
    <cellStyle name="Normal 198 2 5 2 2" xfId="16667" xr:uid="{00000000-0005-0000-0000-0000BB3E0000}"/>
    <cellStyle name="Normal 198 2 5 3" xfId="16668" xr:uid="{00000000-0005-0000-0000-0000BC3E0000}"/>
    <cellStyle name="Normal 198 2 6" xfId="16669" xr:uid="{00000000-0005-0000-0000-0000BD3E0000}"/>
    <cellStyle name="Normal 198 2 6 2" xfId="16670" xr:uid="{00000000-0005-0000-0000-0000BE3E0000}"/>
    <cellStyle name="Normal 198 2 6 2 2" xfId="16671" xr:uid="{00000000-0005-0000-0000-0000BF3E0000}"/>
    <cellStyle name="Normal 198 2 6 3" xfId="16672" xr:uid="{00000000-0005-0000-0000-0000C03E0000}"/>
    <cellStyle name="Normal 198 2 7" xfId="16673" xr:uid="{00000000-0005-0000-0000-0000C13E0000}"/>
    <cellStyle name="Normal 198 3" xfId="16674" xr:uid="{00000000-0005-0000-0000-0000C23E0000}"/>
    <cellStyle name="Normal 198 3 2" xfId="16675" xr:uid="{00000000-0005-0000-0000-0000C33E0000}"/>
    <cellStyle name="Normal 198 3 2 2" xfId="16676" xr:uid="{00000000-0005-0000-0000-0000C43E0000}"/>
    <cellStyle name="Normal 198 3 3" xfId="16677" xr:uid="{00000000-0005-0000-0000-0000C53E0000}"/>
    <cellStyle name="Normal 198 3 3 2" xfId="16678" xr:uid="{00000000-0005-0000-0000-0000C63E0000}"/>
    <cellStyle name="Normal 198 3 3 2 2" xfId="16679" xr:uid="{00000000-0005-0000-0000-0000C73E0000}"/>
    <cellStyle name="Normal 198 3 3 3" xfId="16680" xr:uid="{00000000-0005-0000-0000-0000C83E0000}"/>
    <cellStyle name="Normal 198 3 4" xfId="16681" xr:uid="{00000000-0005-0000-0000-0000C93E0000}"/>
    <cellStyle name="Normal 198 3 4 2" xfId="16682" xr:uid="{00000000-0005-0000-0000-0000CA3E0000}"/>
    <cellStyle name="Normal 198 3 4 2 2" xfId="16683" xr:uid="{00000000-0005-0000-0000-0000CB3E0000}"/>
    <cellStyle name="Normal 198 3 4 3" xfId="16684" xr:uid="{00000000-0005-0000-0000-0000CC3E0000}"/>
    <cellStyle name="Normal 198 3 5" xfId="16685" xr:uid="{00000000-0005-0000-0000-0000CD3E0000}"/>
    <cellStyle name="Normal 198 4" xfId="16686" xr:uid="{00000000-0005-0000-0000-0000CE3E0000}"/>
    <cellStyle name="Normal 198 4 2" xfId="16687" xr:uid="{00000000-0005-0000-0000-0000CF3E0000}"/>
    <cellStyle name="Normal 198 4 2 2" xfId="16688" xr:uid="{00000000-0005-0000-0000-0000D03E0000}"/>
    <cellStyle name="Normal 198 4 2 2 2" xfId="16689" xr:uid="{00000000-0005-0000-0000-0000D13E0000}"/>
    <cellStyle name="Normal 198 4 2 3" xfId="16690" xr:uid="{00000000-0005-0000-0000-0000D23E0000}"/>
    <cellStyle name="Normal 198 4 2 3 2" xfId="16691" xr:uid="{00000000-0005-0000-0000-0000D33E0000}"/>
    <cellStyle name="Normal 198 4 2 3 2 2" xfId="16692" xr:uid="{00000000-0005-0000-0000-0000D43E0000}"/>
    <cellStyle name="Normal 198 4 2 3 3" xfId="16693" xr:uid="{00000000-0005-0000-0000-0000D53E0000}"/>
    <cellStyle name="Normal 198 4 2 4" xfId="16694" xr:uid="{00000000-0005-0000-0000-0000D63E0000}"/>
    <cellStyle name="Normal 198 4 3" xfId="16695" xr:uid="{00000000-0005-0000-0000-0000D73E0000}"/>
    <cellStyle name="Normal 198 4 3 2" xfId="16696" xr:uid="{00000000-0005-0000-0000-0000D83E0000}"/>
    <cellStyle name="Normal 198 4 3 2 2" xfId="16697" xr:uid="{00000000-0005-0000-0000-0000D93E0000}"/>
    <cellStyle name="Normal 198 4 3 3" xfId="16698" xr:uid="{00000000-0005-0000-0000-0000DA3E0000}"/>
    <cellStyle name="Normal 198 4 4" xfId="16699" xr:uid="{00000000-0005-0000-0000-0000DB3E0000}"/>
    <cellStyle name="Normal 198 4 4 2" xfId="16700" xr:uid="{00000000-0005-0000-0000-0000DC3E0000}"/>
    <cellStyle name="Normal 198 4 4 2 2" xfId="16701" xr:uid="{00000000-0005-0000-0000-0000DD3E0000}"/>
    <cellStyle name="Normal 198 4 4 3" xfId="16702" xr:uid="{00000000-0005-0000-0000-0000DE3E0000}"/>
    <cellStyle name="Normal 198 4 5" xfId="16703" xr:uid="{00000000-0005-0000-0000-0000DF3E0000}"/>
    <cellStyle name="Normal 198 4 5 2" xfId="16704" xr:uid="{00000000-0005-0000-0000-0000E03E0000}"/>
    <cellStyle name="Normal 198 4 5 2 2" xfId="16705" xr:uid="{00000000-0005-0000-0000-0000E13E0000}"/>
    <cellStyle name="Normal 198 4 5 3" xfId="16706" xr:uid="{00000000-0005-0000-0000-0000E23E0000}"/>
    <cellStyle name="Normal 198 4 6" xfId="16707" xr:uid="{00000000-0005-0000-0000-0000E33E0000}"/>
    <cellStyle name="Normal 198 5" xfId="16708" xr:uid="{00000000-0005-0000-0000-0000E43E0000}"/>
    <cellStyle name="Normal 198 5 2" xfId="16709" xr:uid="{00000000-0005-0000-0000-0000E53E0000}"/>
    <cellStyle name="Normal 198 5 2 2" xfId="16710" xr:uid="{00000000-0005-0000-0000-0000E63E0000}"/>
    <cellStyle name="Normal 198 5 3" xfId="16711" xr:uid="{00000000-0005-0000-0000-0000E73E0000}"/>
    <cellStyle name="Normal 198 6" xfId="16712" xr:uid="{00000000-0005-0000-0000-0000E83E0000}"/>
    <cellStyle name="Normal 198 6 2" xfId="16713" xr:uid="{00000000-0005-0000-0000-0000E93E0000}"/>
    <cellStyle name="Normal 198 6 2 2" xfId="16714" xr:uid="{00000000-0005-0000-0000-0000EA3E0000}"/>
    <cellStyle name="Normal 198 6 3" xfId="16715" xr:uid="{00000000-0005-0000-0000-0000EB3E0000}"/>
    <cellStyle name="Normal 198 7" xfId="16716" xr:uid="{00000000-0005-0000-0000-0000EC3E0000}"/>
    <cellStyle name="Normal 198 7 2" xfId="16717" xr:uid="{00000000-0005-0000-0000-0000ED3E0000}"/>
    <cellStyle name="Normal 198 7 2 2" xfId="16718" xr:uid="{00000000-0005-0000-0000-0000EE3E0000}"/>
    <cellStyle name="Normal 198 7 3" xfId="16719" xr:uid="{00000000-0005-0000-0000-0000EF3E0000}"/>
    <cellStyle name="Normal 198 8" xfId="16720" xr:uid="{00000000-0005-0000-0000-0000F03E0000}"/>
    <cellStyle name="Normal 199" xfId="16721" xr:uid="{00000000-0005-0000-0000-0000F13E0000}"/>
    <cellStyle name="Normal 199 2" xfId="16722" xr:uid="{00000000-0005-0000-0000-0000F23E0000}"/>
    <cellStyle name="Normal 199 2 2" xfId="16723" xr:uid="{00000000-0005-0000-0000-0000F33E0000}"/>
    <cellStyle name="Normal 199 2 2 2" xfId="16724" xr:uid="{00000000-0005-0000-0000-0000F43E0000}"/>
    <cellStyle name="Normal 199 2 2 2 2" xfId="16725" xr:uid="{00000000-0005-0000-0000-0000F53E0000}"/>
    <cellStyle name="Normal 199 2 2 3" xfId="16726" xr:uid="{00000000-0005-0000-0000-0000F63E0000}"/>
    <cellStyle name="Normal 199 2 2 3 2" xfId="16727" xr:uid="{00000000-0005-0000-0000-0000F73E0000}"/>
    <cellStyle name="Normal 199 2 2 3 2 2" xfId="16728" xr:uid="{00000000-0005-0000-0000-0000F83E0000}"/>
    <cellStyle name="Normal 199 2 2 3 3" xfId="16729" xr:uid="{00000000-0005-0000-0000-0000F93E0000}"/>
    <cellStyle name="Normal 199 2 2 4" xfId="16730" xr:uid="{00000000-0005-0000-0000-0000FA3E0000}"/>
    <cellStyle name="Normal 199 2 2 4 2" xfId="16731" xr:uid="{00000000-0005-0000-0000-0000FB3E0000}"/>
    <cellStyle name="Normal 199 2 2 4 2 2" xfId="16732" xr:uid="{00000000-0005-0000-0000-0000FC3E0000}"/>
    <cellStyle name="Normal 199 2 2 4 3" xfId="16733" xr:uid="{00000000-0005-0000-0000-0000FD3E0000}"/>
    <cellStyle name="Normal 199 2 2 5" xfId="16734" xr:uid="{00000000-0005-0000-0000-0000FE3E0000}"/>
    <cellStyle name="Normal 199 2 3" xfId="16735" xr:uid="{00000000-0005-0000-0000-0000FF3E0000}"/>
    <cellStyle name="Normal 199 2 3 2" xfId="16736" xr:uid="{00000000-0005-0000-0000-0000003F0000}"/>
    <cellStyle name="Normal 199 2 3 2 2" xfId="16737" xr:uid="{00000000-0005-0000-0000-0000013F0000}"/>
    <cellStyle name="Normal 199 2 3 2 2 2" xfId="16738" xr:uid="{00000000-0005-0000-0000-0000023F0000}"/>
    <cellStyle name="Normal 199 2 3 2 3" xfId="16739" xr:uid="{00000000-0005-0000-0000-0000033F0000}"/>
    <cellStyle name="Normal 199 2 3 2 3 2" xfId="16740" xr:uid="{00000000-0005-0000-0000-0000043F0000}"/>
    <cellStyle name="Normal 199 2 3 2 3 2 2" xfId="16741" xr:uid="{00000000-0005-0000-0000-0000053F0000}"/>
    <cellStyle name="Normal 199 2 3 2 3 3" xfId="16742" xr:uid="{00000000-0005-0000-0000-0000063F0000}"/>
    <cellStyle name="Normal 199 2 3 2 4" xfId="16743" xr:uid="{00000000-0005-0000-0000-0000073F0000}"/>
    <cellStyle name="Normal 199 2 3 3" xfId="16744" xr:uid="{00000000-0005-0000-0000-0000083F0000}"/>
    <cellStyle name="Normal 199 2 3 3 2" xfId="16745" xr:uid="{00000000-0005-0000-0000-0000093F0000}"/>
    <cellStyle name="Normal 199 2 3 3 2 2" xfId="16746" xr:uid="{00000000-0005-0000-0000-00000A3F0000}"/>
    <cellStyle name="Normal 199 2 3 3 3" xfId="16747" xr:uid="{00000000-0005-0000-0000-00000B3F0000}"/>
    <cellStyle name="Normal 199 2 3 4" xfId="16748" xr:uid="{00000000-0005-0000-0000-00000C3F0000}"/>
    <cellStyle name="Normal 199 2 3 4 2" xfId="16749" xr:uid="{00000000-0005-0000-0000-00000D3F0000}"/>
    <cellStyle name="Normal 199 2 3 4 2 2" xfId="16750" xr:uid="{00000000-0005-0000-0000-00000E3F0000}"/>
    <cellStyle name="Normal 199 2 3 4 3" xfId="16751" xr:uid="{00000000-0005-0000-0000-00000F3F0000}"/>
    <cellStyle name="Normal 199 2 3 5" xfId="16752" xr:uid="{00000000-0005-0000-0000-0000103F0000}"/>
    <cellStyle name="Normal 199 2 3 5 2" xfId="16753" xr:uid="{00000000-0005-0000-0000-0000113F0000}"/>
    <cellStyle name="Normal 199 2 3 5 2 2" xfId="16754" xr:uid="{00000000-0005-0000-0000-0000123F0000}"/>
    <cellStyle name="Normal 199 2 3 5 3" xfId="16755" xr:uid="{00000000-0005-0000-0000-0000133F0000}"/>
    <cellStyle name="Normal 199 2 3 6" xfId="16756" xr:uid="{00000000-0005-0000-0000-0000143F0000}"/>
    <cellStyle name="Normal 199 2 4" xfId="16757" xr:uid="{00000000-0005-0000-0000-0000153F0000}"/>
    <cellStyle name="Normal 199 2 4 2" xfId="16758" xr:uid="{00000000-0005-0000-0000-0000163F0000}"/>
    <cellStyle name="Normal 199 2 4 2 2" xfId="16759" xr:uid="{00000000-0005-0000-0000-0000173F0000}"/>
    <cellStyle name="Normal 199 2 4 3" xfId="16760" xr:uid="{00000000-0005-0000-0000-0000183F0000}"/>
    <cellStyle name="Normal 199 2 5" xfId="16761" xr:uid="{00000000-0005-0000-0000-0000193F0000}"/>
    <cellStyle name="Normal 199 2 5 2" xfId="16762" xr:uid="{00000000-0005-0000-0000-00001A3F0000}"/>
    <cellStyle name="Normal 199 2 5 2 2" xfId="16763" xr:uid="{00000000-0005-0000-0000-00001B3F0000}"/>
    <cellStyle name="Normal 199 2 5 3" xfId="16764" xr:uid="{00000000-0005-0000-0000-00001C3F0000}"/>
    <cellStyle name="Normal 199 2 6" xfId="16765" xr:uid="{00000000-0005-0000-0000-00001D3F0000}"/>
    <cellStyle name="Normal 199 2 6 2" xfId="16766" xr:uid="{00000000-0005-0000-0000-00001E3F0000}"/>
    <cellStyle name="Normal 199 2 6 2 2" xfId="16767" xr:uid="{00000000-0005-0000-0000-00001F3F0000}"/>
    <cellStyle name="Normal 199 2 6 3" xfId="16768" xr:uid="{00000000-0005-0000-0000-0000203F0000}"/>
    <cellStyle name="Normal 199 2 7" xfId="16769" xr:uid="{00000000-0005-0000-0000-0000213F0000}"/>
    <cellStyle name="Normal 199 3" xfId="16770" xr:uid="{00000000-0005-0000-0000-0000223F0000}"/>
    <cellStyle name="Normal 199 3 2" xfId="16771" xr:uid="{00000000-0005-0000-0000-0000233F0000}"/>
    <cellStyle name="Normal 199 3 2 2" xfId="16772" xr:uid="{00000000-0005-0000-0000-0000243F0000}"/>
    <cellStyle name="Normal 199 3 3" xfId="16773" xr:uid="{00000000-0005-0000-0000-0000253F0000}"/>
    <cellStyle name="Normal 199 3 3 2" xfId="16774" xr:uid="{00000000-0005-0000-0000-0000263F0000}"/>
    <cellStyle name="Normal 199 3 3 2 2" xfId="16775" xr:uid="{00000000-0005-0000-0000-0000273F0000}"/>
    <cellStyle name="Normal 199 3 3 3" xfId="16776" xr:uid="{00000000-0005-0000-0000-0000283F0000}"/>
    <cellStyle name="Normal 199 3 4" xfId="16777" xr:uid="{00000000-0005-0000-0000-0000293F0000}"/>
    <cellStyle name="Normal 199 3 4 2" xfId="16778" xr:uid="{00000000-0005-0000-0000-00002A3F0000}"/>
    <cellStyle name="Normal 199 3 4 2 2" xfId="16779" xr:uid="{00000000-0005-0000-0000-00002B3F0000}"/>
    <cellStyle name="Normal 199 3 4 3" xfId="16780" xr:uid="{00000000-0005-0000-0000-00002C3F0000}"/>
    <cellStyle name="Normal 199 3 5" xfId="16781" xr:uid="{00000000-0005-0000-0000-00002D3F0000}"/>
    <cellStyle name="Normal 199 4" xfId="16782" xr:uid="{00000000-0005-0000-0000-00002E3F0000}"/>
    <cellStyle name="Normal 199 4 2" xfId="16783" xr:uid="{00000000-0005-0000-0000-00002F3F0000}"/>
    <cellStyle name="Normal 199 4 2 2" xfId="16784" xr:uid="{00000000-0005-0000-0000-0000303F0000}"/>
    <cellStyle name="Normal 199 4 2 2 2" xfId="16785" xr:uid="{00000000-0005-0000-0000-0000313F0000}"/>
    <cellStyle name="Normal 199 4 2 3" xfId="16786" xr:uid="{00000000-0005-0000-0000-0000323F0000}"/>
    <cellStyle name="Normal 199 4 2 3 2" xfId="16787" xr:uid="{00000000-0005-0000-0000-0000333F0000}"/>
    <cellStyle name="Normal 199 4 2 3 2 2" xfId="16788" xr:uid="{00000000-0005-0000-0000-0000343F0000}"/>
    <cellStyle name="Normal 199 4 2 3 3" xfId="16789" xr:uid="{00000000-0005-0000-0000-0000353F0000}"/>
    <cellStyle name="Normal 199 4 2 4" xfId="16790" xr:uid="{00000000-0005-0000-0000-0000363F0000}"/>
    <cellStyle name="Normal 199 4 3" xfId="16791" xr:uid="{00000000-0005-0000-0000-0000373F0000}"/>
    <cellStyle name="Normal 199 4 3 2" xfId="16792" xr:uid="{00000000-0005-0000-0000-0000383F0000}"/>
    <cellStyle name="Normal 199 4 3 2 2" xfId="16793" xr:uid="{00000000-0005-0000-0000-0000393F0000}"/>
    <cellStyle name="Normal 199 4 3 3" xfId="16794" xr:uid="{00000000-0005-0000-0000-00003A3F0000}"/>
    <cellStyle name="Normal 199 4 4" xfId="16795" xr:uid="{00000000-0005-0000-0000-00003B3F0000}"/>
    <cellStyle name="Normal 199 4 4 2" xfId="16796" xr:uid="{00000000-0005-0000-0000-00003C3F0000}"/>
    <cellStyle name="Normal 199 4 4 2 2" xfId="16797" xr:uid="{00000000-0005-0000-0000-00003D3F0000}"/>
    <cellStyle name="Normal 199 4 4 3" xfId="16798" xr:uid="{00000000-0005-0000-0000-00003E3F0000}"/>
    <cellStyle name="Normal 199 4 5" xfId="16799" xr:uid="{00000000-0005-0000-0000-00003F3F0000}"/>
    <cellStyle name="Normal 199 4 5 2" xfId="16800" xr:uid="{00000000-0005-0000-0000-0000403F0000}"/>
    <cellStyle name="Normal 199 4 5 2 2" xfId="16801" xr:uid="{00000000-0005-0000-0000-0000413F0000}"/>
    <cellStyle name="Normal 199 4 5 3" xfId="16802" xr:uid="{00000000-0005-0000-0000-0000423F0000}"/>
    <cellStyle name="Normal 199 4 6" xfId="16803" xr:uid="{00000000-0005-0000-0000-0000433F0000}"/>
    <cellStyle name="Normal 199 5" xfId="16804" xr:uid="{00000000-0005-0000-0000-0000443F0000}"/>
    <cellStyle name="Normal 199 5 2" xfId="16805" xr:uid="{00000000-0005-0000-0000-0000453F0000}"/>
    <cellStyle name="Normal 199 5 2 2" xfId="16806" xr:uid="{00000000-0005-0000-0000-0000463F0000}"/>
    <cellStyle name="Normal 199 5 3" xfId="16807" xr:uid="{00000000-0005-0000-0000-0000473F0000}"/>
    <cellStyle name="Normal 199 6" xfId="16808" xr:uid="{00000000-0005-0000-0000-0000483F0000}"/>
    <cellStyle name="Normal 199 6 2" xfId="16809" xr:uid="{00000000-0005-0000-0000-0000493F0000}"/>
    <cellStyle name="Normal 199 6 2 2" xfId="16810" xr:uid="{00000000-0005-0000-0000-00004A3F0000}"/>
    <cellStyle name="Normal 199 6 3" xfId="16811" xr:uid="{00000000-0005-0000-0000-00004B3F0000}"/>
    <cellStyle name="Normal 199 7" xfId="16812" xr:uid="{00000000-0005-0000-0000-00004C3F0000}"/>
    <cellStyle name="Normal 199 7 2" xfId="16813" xr:uid="{00000000-0005-0000-0000-00004D3F0000}"/>
    <cellStyle name="Normal 199 7 2 2" xfId="16814" xr:uid="{00000000-0005-0000-0000-00004E3F0000}"/>
    <cellStyle name="Normal 199 7 3" xfId="16815" xr:uid="{00000000-0005-0000-0000-00004F3F0000}"/>
    <cellStyle name="Normal 199 8" xfId="16816" xr:uid="{00000000-0005-0000-0000-0000503F0000}"/>
    <cellStyle name="Normal 2" xfId="28" xr:uid="{00000000-0005-0000-0000-0000513F0000}"/>
    <cellStyle name="Normal 2 10" xfId="16817" xr:uid="{00000000-0005-0000-0000-0000523F0000}"/>
    <cellStyle name="Normal 2 10 2" xfId="16818" xr:uid="{00000000-0005-0000-0000-0000533F0000}"/>
    <cellStyle name="Normal 2 11" xfId="16819" xr:uid="{00000000-0005-0000-0000-0000543F0000}"/>
    <cellStyle name="Normal 2 12" xfId="16820" xr:uid="{00000000-0005-0000-0000-0000553F0000}"/>
    <cellStyle name="Normal 2 13" xfId="16821" xr:uid="{00000000-0005-0000-0000-0000563F0000}"/>
    <cellStyle name="Normal 2 14" xfId="16822" xr:uid="{00000000-0005-0000-0000-0000573F0000}"/>
    <cellStyle name="Normal 2 15" xfId="16823" xr:uid="{00000000-0005-0000-0000-0000583F0000}"/>
    <cellStyle name="Normal 2 2" xfId="29" xr:uid="{00000000-0005-0000-0000-0000593F0000}"/>
    <cellStyle name="Normal 2 2 2" xfId="100" xr:uid="{00000000-0005-0000-0000-00005A3F0000}"/>
    <cellStyle name="Normal 2 2 2 2" xfId="16824" xr:uid="{00000000-0005-0000-0000-00005B3F0000}"/>
    <cellStyle name="Normal 2 2 2 2 2" xfId="16825" xr:uid="{00000000-0005-0000-0000-00005C3F0000}"/>
    <cellStyle name="Normal 2 2 2 2 2 2" xfId="16826" xr:uid="{00000000-0005-0000-0000-00005D3F0000}"/>
    <cellStyle name="Normal 2 2 2 2 3" xfId="16827" xr:uid="{00000000-0005-0000-0000-00005E3F0000}"/>
    <cellStyle name="Normal 2 2 2 2 3 2" xfId="16828" xr:uid="{00000000-0005-0000-0000-00005F3F0000}"/>
    <cellStyle name="Normal 2 2 2 2 3 2 2" xfId="16829" xr:uid="{00000000-0005-0000-0000-0000603F0000}"/>
    <cellStyle name="Normal 2 2 2 2 3 3" xfId="16830" xr:uid="{00000000-0005-0000-0000-0000613F0000}"/>
    <cellStyle name="Normal 2 2 2 2 4" xfId="16831" xr:uid="{00000000-0005-0000-0000-0000623F0000}"/>
    <cellStyle name="Normal 2 2 2 2 4 2" xfId="16832" xr:uid="{00000000-0005-0000-0000-0000633F0000}"/>
    <cellStyle name="Normal 2 2 2 2 4 2 2" xfId="16833" xr:uid="{00000000-0005-0000-0000-0000643F0000}"/>
    <cellStyle name="Normal 2 2 2 2 4 3" xfId="16834" xr:uid="{00000000-0005-0000-0000-0000653F0000}"/>
    <cellStyle name="Normal 2 2 2 2 5" xfId="16835" xr:uid="{00000000-0005-0000-0000-0000663F0000}"/>
    <cellStyle name="Normal 2 2 2 3" xfId="16836" xr:uid="{00000000-0005-0000-0000-0000673F0000}"/>
    <cellStyle name="Normal 2 2 2 3 2" xfId="16837" xr:uid="{00000000-0005-0000-0000-0000683F0000}"/>
    <cellStyle name="Normal 2 2 2 3 2 2" xfId="16838" xr:uid="{00000000-0005-0000-0000-0000693F0000}"/>
    <cellStyle name="Normal 2 2 2 3 2 2 2" xfId="16839" xr:uid="{00000000-0005-0000-0000-00006A3F0000}"/>
    <cellStyle name="Normal 2 2 2 3 2 3" xfId="16840" xr:uid="{00000000-0005-0000-0000-00006B3F0000}"/>
    <cellStyle name="Normal 2 2 2 3 2 3 2" xfId="16841" xr:uid="{00000000-0005-0000-0000-00006C3F0000}"/>
    <cellStyle name="Normal 2 2 2 3 2 3 2 2" xfId="16842" xr:uid="{00000000-0005-0000-0000-00006D3F0000}"/>
    <cellStyle name="Normal 2 2 2 3 2 3 3" xfId="16843" xr:uid="{00000000-0005-0000-0000-00006E3F0000}"/>
    <cellStyle name="Normal 2 2 2 3 2 4" xfId="16844" xr:uid="{00000000-0005-0000-0000-00006F3F0000}"/>
    <cellStyle name="Normal 2 2 2 3 3" xfId="16845" xr:uid="{00000000-0005-0000-0000-0000703F0000}"/>
    <cellStyle name="Normal 2 2 2 3 3 2" xfId="16846" xr:uid="{00000000-0005-0000-0000-0000713F0000}"/>
    <cellStyle name="Normal 2 2 2 3 3 2 2" xfId="16847" xr:uid="{00000000-0005-0000-0000-0000723F0000}"/>
    <cellStyle name="Normal 2 2 2 3 3 3" xfId="16848" xr:uid="{00000000-0005-0000-0000-0000733F0000}"/>
    <cellStyle name="Normal 2 2 2 3 4" xfId="16849" xr:uid="{00000000-0005-0000-0000-0000743F0000}"/>
    <cellStyle name="Normal 2 2 2 3 4 2" xfId="16850" xr:uid="{00000000-0005-0000-0000-0000753F0000}"/>
    <cellStyle name="Normal 2 2 2 3 4 2 2" xfId="16851" xr:uid="{00000000-0005-0000-0000-0000763F0000}"/>
    <cellStyle name="Normal 2 2 2 3 4 3" xfId="16852" xr:uid="{00000000-0005-0000-0000-0000773F0000}"/>
    <cellStyle name="Normal 2 2 2 3 5" xfId="16853" xr:uid="{00000000-0005-0000-0000-0000783F0000}"/>
    <cellStyle name="Normal 2 2 2 3 5 2" xfId="16854" xr:uid="{00000000-0005-0000-0000-0000793F0000}"/>
    <cellStyle name="Normal 2 2 2 3 5 2 2" xfId="16855" xr:uid="{00000000-0005-0000-0000-00007A3F0000}"/>
    <cellStyle name="Normal 2 2 2 3 5 3" xfId="16856" xr:uid="{00000000-0005-0000-0000-00007B3F0000}"/>
    <cellStyle name="Normal 2 2 2 3 6" xfId="16857" xr:uid="{00000000-0005-0000-0000-00007C3F0000}"/>
    <cellStyle name="Normal 2 2 2 4" xfId="16858" xr:uid="{00000000-0005-0000-0000-00007D3F0000}"/>
    <cellStyle name="Normal 2 2 2 4 2" xfId="16859" xr:uid="{00000000-0005-0000-0000-00007E3F0000}"/>
    <cellStyle name="Normal 2 2 2 4 2 2" xfId="16860" xr:uid="{00000000-0005-0000-0000-00007F3F0000}"/>
    <cellStyle name="Normal 2 2 2 4 3" xfId="16861" xr:uid="{00000000-0005-0000-0000-0000803F0000}"/>
    <cellStyle name="Normal 2 2 2 5" xfId="16862" xr:uid="{00000000-0005-0000-0000-0000813F0000}"/>
    <cellStyle name="Normal 2 2 2 5 2" xfId="16863" xr:uid="{00000000-0005-0000-0000-0000823F0000}"/>
    <cellStyle name="Normal 2 2 2 5 2 2" xfId="16864" xr:uid="{00000000-0005-0000-0000-0000833F0000}"/>
    <cellStyle name="Normal 2 2 2 5 3" xfId="16865" xr:uid="{00000000-0005-0000-0000-0000843F0000}"/>
    <cellStyle name="Normal 2 2 2 6" xfId="16866" xr:uid="{00000000-0005-0000-0000-0000853F0000}"/>
    <cellStyle name="Normal 2 2 2 6 2" xfId="16867" xr:uid="{00000000-0005-0000-0000-0000863F0000}"/>
    <cellStyle name="Normal 2 2 2 6 2 2" xfId="16868" xr:uid="{00000000-0005-0000-0000-0000873F0000}"/>
    <cellStyle name="Normal 2 2 2 6 3" xfId="16869" xr:uid="{00000000-0005-0000-0000-0000883F0000}"/>
    <cellStyle name="Normal 2 2 2 7" xfId="16870" xr:uid="{00000000-0005-0000-0000-0000893F0000}"/>
    <cellStyle name="Normal 2 2 3" xfId="16871" xr:uid="{00000000-0005-0000-0000-00008A3F0000}"/>
    <cellStyle name="Normal 2 2 3 2" xfId="16872" xr:uid="{00000000-0005-0000-0000-00008B3F0000}"/>
    <cellStyle name="Normal 2 2 3 2 2" xfId="16873" xr:uid="{00000000-0005-0000-0000-00008C3F0000}"/>
    <cellStyle name="Normal 2 2 3 2 2 2" xfId="16874" xr:uid="{00000000-0005-0000-0000-00008D3F0000}"/>
    <cellStyle name="Normal 2 2 3 2 3" xfId="16875" xr:uid="{00000000-0005-0000-0000-00008E3F0000}"/>
    <cellStyle name="Normal 2 2 3 2 3 2" xfId="16876" xr:uid="{00000000-0005-0000-0000-00008F3F0000}"/>
    <cellStyle name="Normal 2 2 3 2 3 2 2" xfId="16877" xr:uid="{00000000-0005-0000-0000-0000903F0000}"/>
    <cellStyle name="Normal 2 2 3 2 3 3" xfId="16878" xr:uid="{00000000-0005-0000-0000-0000913F0000}"/>
    <cellStyle name="Normal 2 2 3 2 4" xfId="16879" xr:uid="{00000000-0005-0000-0000-0000923F0000}"/>
    <cellStyle name="Normal 2 2 3 2 4 2" xfId="16880" xr:uid="{00000000-0005-0000-0000-0000933F0000}"/>
    <cellStyle name="Normal 2 2 3 2 4 2 2" xfId="16881" xr:uid="{00000000-0005-0000-0000-0000943F0000}"/>
    <cellStyle name="Normal 2 2 3 2 4 3" xfId="16882" xr:uid="{00000000-0005-0000-0000-0000953F0000}"/>
    <cellStyle name="Normal 2 2 3 2 5" xfId="16883" xr:uid="{00000000-0005-0000-0000-0000963F0000}"/>
    <cellStyle name="Normal 2 2 3 3" xfId="16884" xr:uid="{00000000-0005-0000-0000-0000973F0000}"/>
    <cellStyle name="Normal 2 2 3 3 2" xfId="16885" xr:uid="{00000000-0005-0000-0000-0000983F0000}"/>
    <cellStyle name="Normal 2 2 3 3 2 2" xfId="16886" xr:uid="{00000000-0005-0000-0000-0000993F0000}"/>
    <cellStyle name="Normal 2 2 3 3 2 2 2" xfId="16887" xr:uid="{00000000-0005-0000-0000-00009A3F0000}"/>
    <cellStyle name="Normal 2 2 3 3 2 3" xfId="16888" xr:uid="{00000000-0005-0000-0000-00009B3F0000}"/>
    <cellStyle name="Normal 2 2 3 3 2 3 2" xfId="16889" xr:uid="{00000000-0005-0000-0000-00009C3F0000}"/>
    <cellStyle name="Normal 2 2 3 3 2 3 2 2" xfId="16890" xr:uid="{00000000-0005-0000-0000-00009D3F0000}"/>
    <cellStyle name="Normal 2 2 3 3 2 3 3" xfId="16891" xr:uid="{00000000-0005-0000-0000-00009E3F0000}"/>
    <cellStyle name="Normal 2 2 3 3 2 4" xfId="16892" xr:uid="{00000000-0005-0000-0000-00009F3F0000}"/>
    <cellStyle name="Normal 2 2 3 3 3" xfId="16893" xr:uid="{00000000-0005-0000-0000-0000A03F0000}"/>
    <cellStyle name="Normal 2 2 3 4" xfId="16894" xr:uid="{00000000-0005-0000-0000-0000A13F0000}"/>
    <cellStyle name="Normal 2 2 3 4 2" xfId="16895" xr:uid="{00000000-0005-0000-0000-0000A23F0000}"/>
    <cellStyle name="Normal 2 2 3 4 2 2" xfId="16896" xr:uid="{00000000-0005-0000-0000-0000A33F0000}"/>
    <cellStyle name="Normal 2 2 3 4 3" xfId="16897" xr:uid="{00000000-0005-0000-0000-0000A43F0000}"/>
    <cellStyle name="Normal 2 2 3 5" xfId="16898" xr:uid="{00000000-0005-0000-0000-0000A53F0000}"/>
    <cellStyle name="Normal 2 2 3 5 2" xfId="16899" xr:uid="{00000000-0005-0000-0000-0000A63F0000}"/>
    <cellStyle name="Normal 2 2 3 5 2 2" xfId="16900" xr:uid="{00000000-0005-0000-0000-0000A73F0000}"/>
    <cellStyle name="Normal 2 2 3 5 3" xfId="16901" xr:uid="{00000000-0005-0000-0000-0000A83F0000}"/>
    <cellStyle name="Normal 2 2 3 6" xfId="16902" xr:uid="{00000000-0005-0000-0000-0000A93F0000}"/>
    <cellStyle name="Normal 2 2 4" xfId="16903" xr:uid="{00000000-0005-0000-0000-0000AA3F0000}"/>
    <cellStyle name="Normal 2 2 4 2" xfId="16904" xr:uid="{00000000-0005-0000-0000-0000AB3F0000}"/>
    <cellStyle name="Normal 2 2 4 2 2" xfId="16905" xr:uid="{00000000-0005-0000-0000-0000AC3F0000}"/>
    <cellStyle name="Normal 2 2 4 2 2 2" xfId="16906" xr:uid="{00000000-0005-0000-0000-0000AD3F0000}"/>
    <cellStyle name="Normal 2 2 4 2 3" xfId="16907" xr:uid="{00000000-0005-0000-0000-0000AE3F0000}"/>
    <cellStyle name="Normal 2 2 4 2 3 2" xfId="16908" xr:uid="{00000000-0005-0000-0000-0000AF3F0000}"/>
    <cellStyle name="Normal 2 2 4 2 3 2 2" xfId="16909" xr:uid="{00000000-0005-0000-0000-0000B03F0000}"/>
    <cellStyle name="Normal 2 2 4 2 3 3" xfId="16910" xr:uid="{00000000-0005-0000-0000-0000B13F0000}"/>
    <cellStyle name="Normal 2 2 4 2 4" xfId="16911" xr:uid="{00000000-0005-0000-0000-0000B23F0000}"/>
    <cellStyle name="Normal 2 2 4 2 4 2" xfId="16912" xr:uid="{00000000-0005-0000-0000-0000B33F0000}"/>
    <cellStyle name="Normal 2 2 4 2 4 2 2" xfId="16913" xr:uid="{00000000-0005-0000-0000-0000B43F0000}"/>
    <cellStyle name="Normal 2 2 4 2 4 3" xfId="16914" xr:uid="{00000000-0005-0000-0000-0000B53F0000}"/>
    <cellStyle name="Normal 2 2 4 2 5" xfId="16915" xr:uid="{00000000-0005-0000-0000-0000B63F0000}"/>
    <cellStyle name="Normal 2 2 4 3" xfId="16916" xr:uid="{00000000-0005-0000-0000-0000B73F0000}"/>
    <cellStyle name="Normal 2 2 4 3 2" xfId="16917" xr:uid="{00000000-0005-0000-0000-0000B83F0000}"/>
    <cellStyle name="Normal 2 2 4 3 2 2" xfId="16918" xr:uid="{00000000-0005-0000-0000-0000B93F0000}"/>
    <cellStyle name="Normal 2 2 4 3 2 2 2" xfId="16919" xr:uid="{00000000-0005-0000-0000-0000BA3F0000}"/>
    <cellStyle name="Normal 2 2 4 3 2 3" xfId="16920" xr:uid="{00000000-0005-0000-0000-0000BB3F0000}"/>
    <cellStyle name="Normal 2 2 4 3 2 3 2" xfId="16921" xr:uid="{00000000-0005-0000-0000-0000BC3F0000}"/>
    <cellStyle name="Normal 2 2 4 3 2 3 2 2" xfId="16922" xr:uid="{00000000-0005-0000-0000-0000BD3F0000}"/>
    <cellStyle name="Normal 2 2 4 3 2 3 3" xfId="16923" xr:uid="{00000000-0005-0000-0000-0000BE3F0000}"/>
    <cellStyle name="Normal 2 2 4 3 2 4" xfId="16924" xr:uid="{00000000-0005-0000-0000-0000BF3F0000}"/>
    <cellStyle name="Normal 2 2 4 3 3" xfId="16925" xr:uid="{00000000-0005-0000-0000-0000C03F0000}"/>
    <cellStyle name="Normal 2 2 4 3 3 2" xfId="16926" xr:uid="{00000000-0005-0000-0000-0000C13F0000}"/>
    <cellStyle name="Normal 2 2 4 3 3 2 2" xfId="16927" xr:uid="{00000000-0005-0000-0000-0000C23F0000}"/>
    <cellStyle name="Normal 2 2 4 3 3 3" xfId="16928" xr:uid="{00000000-0005-0000-0000-0000C33F0000}"/>
    <cellStyle name="Normal 2 2 4 3 4" xfId="16929" xr:uid="{00000000-0005-0000-0000-0000C43F0000}"/>
    <cellStyle name="Normal 2 2 4 3 4 2" xfId="16930" xr:uid="{00000000-0005-0000-0000-0000C53F0000}"/>
    <cellStyle name="Normal 2 2 4 3 4 2 2" xfId="16931" xr:uid="{00000000-0005-0000-0000-0000C63F0000}"/>
    <cellStyle name="Normal 2 2 4 3 4 3" xfId="16932" xr:uid="{00000000-0005-0000-0000-0000C73F0000}"/>
    <cellStyle name="Normal 2 2 4 3 5" xfId="16933" xr:uid="{00000000-0005-0000-0000-0000C83F0000}"/>
    <cellStyle name="Normal 2 2 4 3 5 2" xfId="16934" xr:uid="{00000000-0005-0000-0000-0000C93F0000}"/>
    <cellStyle name="Normal 2 2 4 3 5 2 2" xfId="16935" xr:uid="{00000000-0005-0000-0000-0000CA3F0000}"/>
    <cellStyle name="Normal 2 2 4 3 5 3" xfId="16936" xr:uid="{00000000-0005-0000-0000-0000CB3F0000}"/>
    <cellStyle name="Normal 2 2 4 3 6" xfId="16937" xr:uid="{00000000-0005-0000-0000-0000CC3F0000}"/>
    <cellStyle name="Normal 2 2 4 4" xfId="16938" xr:uid="{00000000-0005-0000-0000-0000CD3F0000}"/>
    <cellStyle name="Normal 2 2 5" xfId="16939" xr:uid="{00000000-0005-0000-0000-0000CE3F0000}"/>
    <cellStyle name="Normal 2 2 5 2" xfId="16940" xr:uid="{00000000-0005-0000-0000-0000CF3F0000}"/>
    <cellStyle name="Normal 2 2 5 2 2" xfId="16941" xr:uid="{00000000-0005-0000-0000-0000D03F0000}"/>
    <cellStyle name="Normal 2 2 5 3" xfId="16942" xr:uid="{00000000-0005-0000-0000-0000D13F0000}"/>
    <cellStyle name="Normal 2 2 5 3 2" xfId="16943" xr:uid="{00000000-0005-0000-0000-0000D23F0000}"/>
    <cellStyle name="Normal 2 2 5 3 2 2" xfId="16944" xr:uid="{00000000-0005-0000-0000-0000D33F0000}"/>
    <cellStyle name="Normal 2 2 5 3 3" xfId="16945" xr:uid="{00000000-0005-0000-0000-0000D43F0000}"/>
    <cellStyle name="Normal 2 2 5 4" xfId="16946" xr:uid="{00000000-0005-0000-0000-0000D53F0000}"/>
    <cellStyle name="Normal 2 2 5 4 2" xfId="16947" xr:uid="{00000000-0005-0000-0000-0000D63F0000}"/>
    <cellStyle name="Normal 2 2 5 4 2 2" xfId="16948" xr:uid="{00000000-0005-0000-0000-0000D73F0000}"/>
    <cellStyle name="Normal 2 2 5 4 3" xfId="16949" xr:uid="{00000000-0005-0000-0000-0000D83F0000}"/>
    <cellStyle name="Normal 2 2 5 5" xfId="16950" xr:uid="{00000000-0005-0000-0000-0000D93F0000}"/>
    <cellStyle name="Normal 2 2 6" xfId="16951" xr:uid="{00000000-0005-0000-0000-0000DA3F0000}"/>
    <cellStyle name="Normal 2 2 6 2" xfId="16952" xr:uid="{00000000-0005-0000-0000-0000DB3F0000}"/>
    <cellStyle name="Normal 2 2 6 2 2" xfId="16953" xr:uid="{00000000-0005-0000-0000-0000DC3F0000}"/>
    <cellStyle name="Normal 2 2 6 2 2 2" xfId="16954" xr:uid="{00000000-0005-0000-0000-0000DD3F0000}"/>
    <cellStyle name="Normal 2 2 6 2 3" xfId="16955" xr:uid="{00000000-0005-0000-0000-0000DE3F0000}"/>
    <cellStyle name="Normal 2 2 6 2 3 2" xfId="16956" xr:uid="{00000000-0005-0000-0000-0000DF3F0000}"/>
    <cellStyle name="Normal 2 2 6 2 3 2 2" xfId="16957" xr:uid="{00000000-0005-0000-0000-0000E03F0000}"/>
    <cellStyle name="Normal 2 2 6 2 3 3" xfId="16958" xr:uid="{00000000-0005-0000-0000-0000E13F0000}"/>
    <cellStyle name="Normal 2 2 6 2 4" xfId="16959" xr:uid="{00000000-0005-0000-0000-0000E23F0000}"/>
    <cellStyle name="Normal 2 2 6 3" xfId="16960" xr:uid="{00000000-0005-0000-0000-0000E33F0000}"/>
    <cellStyle name="Normal 2 2 6 3 2" xfId="16961" xr:uid="{00000000-0005-0000-0000-0000E43F0000}"/>
    <cellStyle name="Normal 2 2 6 3 2 2" xfId="16962" xr:uid="{00000000-0005-0000-0000-0000E53F0000}"/>
    <cellStyle name="Normal 2 2 6 3 3" xfId="16963" xr:uid="{00000000-0005-0000-0000-0000E63F0000}"/>
    <cellStyle name="Normal 2 2 6 4" xfId="16964" xr:uid="{00000000-0005-0000-0000-0000E73F0000}"/>
    <cellStyle name="Normal 2 2 6 4 2" xfId="16965" xr:uid="{00000000-0005-0000-0000-0000E83F0000}"/>
    <cellStyle name="Normal 2 2 6 4 2 2" xfId="16966" xr:uid="{00000000-0005-0000-0000-0000E93F0000}"/>
    <cellStyle name="Normal 2 2 6 4 3" xfId="16967" xr:uid="{00000000-0005-0000-0000-0000EA3F0000}"/>
    <cellStyle name="Normal 2 2 6 5" xfId="16968" xr:uid="{00000000-0005-0000-0000-0000EB3F0000}"/>
    <cellStyle name="Normal 2 2 6 5 2" xfId="16969" xr:uid="{00000000-0005-0000-0000-0000EC3F0000}"/>
    <cellStyle name="Normal 2 2 6 5 2 2" xfId="16970" xr:uid="{00000000-0005-0000-0000-0000ED3F0000}"/>
    <cellStyle name="Normal 2 2 6 5 3" xfId="16971" xr:uid="{00000000-0005-0000-0000-0000EE3F0000}"/>
    <cellStyle name="Normal 2 2 6 6" xfId="16972" xr:uid="{00000000-0005-0000-0000-0000EF3F0000}"/>
    <cellStyle name="Normal 2 2 7" xfId="16973" xr:uid="{00000000-0005-0000-0000-0000F03F0000}"/>
    <cellStyle name="Normal 2 2 7 2" xfId="16974" xr:uid="{00000000-0005-0000-0000-0000F13F0000}"/>
    <cellStyle name="Normal 2 2 7 2 2" xfId="16975" xr:uid="{00000000-0005-0000-0000-0000F23F0000}"/>
    <cellStyle name="Normal 2 2 7 3" xfId="16976" xr:uid="{00000000-0005-0000-0000-0000F33F0000}"/>
    <cellStyle name="Normal 2 2 8" xfId="16977" xr:uid="{00000000-0005-0000-0000-0000F43F0000}"/>
    <cellStyle name="Normal 2 2 8 2" xfId="16978" xr:uid="{00000000-0005-0000-0000-0000F53F0000}"/>
    <cellStyle name="Normal 2 2 9" xfId="16979" xr:uid="{00000000-0005-0000-0000-0000F63F0000}"/>
    <cellStyle name="Normal 2 3" xfId="30" xr:uid="{00000000-0005-0000-0000-0000F73F0000}"/>
    <cellStyle name="Normal 2 3 2" xfId="101" xr:uid="{00000000-0005-0000-0000-0000F83F0000}"/>
    <cellStyle name="Normal 2 3 2 2" xfId="16981" xr:uid="{00000000-0005-0000-0000-0000F93F0000}"/>
    <cellStyle name="Normal 2 3 2 2 2" xfId="16982" xr:uid="{00000000-0005-0000-0000-0000FA3F0000}"/>
    <cellStyle name="Normal 2 3 2 3" xfId="16983" xr:uid="{00000000-0005-0000-0000-0000FB3F0000}"/>
    <cellStyle name="Normal 2 3 2 3 2" xfId="16984" xr:uid="{00000000-0005-0000-0000-0000FC3F0000}"/>
    <cellStyle name="Normal 2 3 2 3 2 2" xfId="16985" xr:uid="{00000000-0005-0000-0000-0000FD3F0000}"/>
    <cellStyle name="Normal 2 3 2 3 3" xfId="16986" xr:uid="{00000000-0005-0000-0000-0000FE3F0000}"/>
    <cellStyle name="Normal 2 3 2 4" xfId="16987" xr:uid="{00000000-0005-0000-0000-0000FF3F0000}"/>
    <cellStyle name="Normal 2 3 2 4 2" xfId="16988" xr:uid="{00000000-0005-0000-0000-000000400000}"/>
    <cellStyle name="Normal 2 3 2 4 2 2" xfId="16989" xr:uid="{00000000-0005-0000-0000-000001400000}"/>
    <cellStyle name="Normal 2 3 2 4 3" xfId="16990" xr:uid="{00000000-0005-0000-0000-000002400000}"/>
    <cellStyle name="Normal 2 3 2 5" xfId="16991" xr:uid="{00000000-0005-0000-0000-000003400000}"/>
    <cellStyle name="Normal 2 3 2 6" xfId="16980" xr:uid="{00000000-0005-0000-0000-000004400000}"/>
    <cellStyle name="Normal 2 3 3" xfId="16992" xr:uid="{00000000-0005-0000-0000-000005400000}"/>
    <cellStyle name="Normal 2 3 3 2" xfId="16993" xr:uid="{00000000-0005-0000-0000-000006400000}"/>
    <cellStyle name="Normal 2 3 3 2 2" xfId="16994" xr:uid="{00000000-0005-0000-0000-000007400000}"/>
    <cellStyle name="Normal 2 3 3 2 2 2" xfId="16995" xr:uid="{00000000-0005-0000-0000-000008400000}"/>
    <cellStyle name="Normal 2 3 3 2 3" xfId="16996" xr:uid="{00000000-0005-0000-0000-000009400000}"/>
    <cellStyle name="Normal 2 3 3 2 3 2" xfId="16997" xr:uid="{00000000-0005-0000-0000-00000A400000}"/>
    <cellStyle name="Normal 2 3 3 2 3 2 2" xfId="16998" xr:uid="{00000000-0005-0000-0000-00000B400000}"/>
    <cellStyle name="Normal 2 3 3 2 3 3" xfId="16999" xr:uid="{00000000-0005-0000-0000-00000C400000}"/>
    <cellStyle name="Normal 2 3 3 2 4" xfId="17000" xr:uid="{00000000-0005-0000-0000-00000D400000}"/>
    <cellStyle name="Normal 2 3 3 3" xfId="17001" xr:uid="{00000000-0005-0000-0000-00000E400000}"/>
    <cellStyle name="Normal 2 3 3 3 2" xfId="17002" xr:uid="{00000000-0005-0000-0000-00000F400000}"/>
    <cellStyle name="Normal 2 3 3 3 2 2" xfId="17003" xr:uid="{00000000-0005-0000-0000-000010400000}"/>
    <cellStyle name="Normal 2 3 3 3 3" xfId="17004" xr:uid="{00000000-0005-0000-0000-000011400000}"/>
    <cellStyle name="Normal 2 3 3 4" xfId="17005" xr:uid="{00000000-0005-0000-0000-000012400000}"/>
    <cellStyle name="Normal 2 3 3 4 2" xfId="17006" xr:uid="{00000000-0005-0000-0000-000013400000}"/>
    <cellStyle name="Normal 2 3 3 4 2 2" xfId="17007" xr:uid="{00000000-0005-0000-0000-000014400000}"/>
    <cellStyle name="Normal 2 3 3 4 3" xfId="17008" xr:uid="{00000000-0005-0000-0000-000015400000}"/>
    <cellStyle name="Normal 2 3 3 5" xfId="17009" xr:uid="{00000000-0005-0000-0000-000016400000}"/>
    <cellStyle name="Normal 2 3 3 5 2" xfId="17010" xr:uid="{00000000-0005-0000-0000-000017400000}"/>
    <cellStyle name="Normal 2 3 3 5 2 2" xfId="17011" xr:uid="{00000000-0005-0000-0000-000018400000}"/>
    <cellStyle name="Normal 2 3 3 5 3" xfId="17012" xr:uid="{00000000-0005-0000-0000-000019400000}"/>
    <cellStyle name="Normal 2 3 3 6" xfId="17013" xr:uid="{00000000-0005-0000-0000-00001A400000}"/>
    <cellStyle name="Normal 2 3 4" xfId="17014" xr:uid="{00000000-0005-0000-0000-00001B400000}"/>
    <cellStyle name="Normal 2 3 4 2" xfId="17015" xr:uid="{00000000-0005-0000-0000-00001C400000}"/>
    <cellStyle name="Normal 2 3 4 2 2" xfId="17016" xr:uid="{00000000-0005-0000-0000-00001D400000}"/>
    <cellStyle name="Normal 2 3 4 3" xfId="17017" xr:uid="{00000000-0005-0000-0000-00001E400000}"/>
    <cellStyle name="Normal 2 3 5" xfId="17018" xr:uid="{00000000-0005-0000-0000-00001F400000}"/>
    <cellStyle name="Normal 2 3 5 2" xfId="17019" xr:uid="{00000000-0005-0000-0000-000020400000}"/>
    <cellStyle name="Normal 2 3 5 2 2" xfId="17020" xr:uid="{00000000-0005-0000-0000-000021400000}"/>
    <cellStyle name="Normal 2 3 5 3" xfId="17021" xr:uid="{00000000-0005-0000-0000-000022400000}"/>
    <cellStyle name="Normal 2 3 6" xfId="17022" xr:uid="{00000000-0005-0000-0000-000023400000}"/>
    <cellStyle name="Normal 2 3 6 2" xfId="17023" xr:uid="{00000000-0005-0000-0000-000024400000}"/>
    <cellStyle name="Normal 2 3 6 2 2" xfId="17024" xr:uid="{00000000-0005-0000-0000-000025400000}"/>
    <cellStyle name="Normal 2 3 6 3" xfId="17025" xr:uid="{00000000-0005-0000-0000-000026400000}"/>
    <cellStyle name="Normal 2 3 7" xfId="17026" xr:uid="{00000000-0005-0000-0000-000027400000}"/>
    <cellStyle name="Normal 2 3 7 2" xfId="17027" xr:uid="{00000000-0005-0000-0000-000028400000}"/>
    <cellStyle name="Normal 2 3 8" xfId="17028" xr:uid="{00000000-0005-0000-0000-000029400000}"/>
    <cellStyle name="Normal 2 4" xfId="31" xr:uid="{00000000-0005-0000-0000-00002A400000}"/>
    <cellStyle name="Normal 2 4 2" xfId="102" xr:uid="{00000000-0005-0000-0000-00002B400000}"/>
    <cellStyle name="Normal 2 4 2 2" xfId="17031" xr:uid="{00000000-0005-0000-0000-00002C400000}"/>
    <cellStyle name="Normal 2 4 2 2 2" xfId="17032" xr:uid="{00000000-0005-0000-0000-00002D400000}"/>
    <cellStyle name="Normal 2 4 2 3" xfId="17033" xr:uid="{00000000-0005-0000-0000-00002E400000}"/>
    <cellStyle name="Normal 2 4 2 3 2" xfId="17034" xr:uid="{00000000-0005-0000-0000-00002F400000}"/>
    <cellStyle name="Normal 2 4 2 3 2 2" xfId="17035" xr:uid="{00000000-0005-0000-0000-000030400000}"/>
    <cellStyle name="Normal 2 4 2 3 3" xfId="17036" xr:uid="{00000000-0005-0000-0000-000031400000}"/>
    <cellStyle name="Normal 2 4 2 4" xfId="17037" xr:uid="{00000000-0005-0000-0000-000032400000}"/>
    <cellStyle name="Normal 2 4 2 4 2" xfId="17038" xr:uid="{00000000-0005-0000-0000-000033400000}"/>
    <cellStyle name="Normal 2 4 2 4 2 2" xfId="17039" xr:uid="{00000000-0005-0000-0000-000034400000}"/>
    <cellStyle name="Normal 2 4 2 4 3" xfId="17040" xr:uid="{00000000-0005-0000-0000-000035400000}"/>
    <cellStyle name="Normal 2 4 2 5" xfId="17041" xr:uid="{00000000-0005-0000-0000-000036400000}"/>
    <cellStyle name="Normal 2 4 2 6" xfId="17030" xr:uid="{00000000-0005-0000-0000-000037400000}"/>
    <cellStyle name="Normal 2 4 3" xfId="17042" xr:uid="{00000000-0005-0000-0000-000038400000}"/>
    <cellStyle name="Normal 2 4 3 2" xfId="17043" xr:uid="{00000000-0005-0000-0000-000039400000}"/>
    <cellStyle name="Normal 2 4 3 2 2" xfId="17044" xr:uid="{00000000-0005-0000-0000-00003A400000}"/>
    <cellStyle name="Normal 2 4 3 2 2 2" xfId="17045" xr:uid="{00000000-0005-0000-0000-00003B400000}"/>
    <cellStyle name="Normal 2 4 3 2 3" xfId="17046" xr:uid="{00000000-0005-0000-0000-00003C400000}"/>
    <cellStyle name="Normal 2 4 3 2 3 2" xfId="17047" xr:uid="{00000000-0005-0000-0000-00003D400000}"/>
    <cellStyle name="Normal 2 4 3 2 3 2 2" xfId="17048" xr:uid="{00000000-0005-0000-0000-00003E400000}"/>
    <cellStyle name="Normal 2 4 3 2 3 3" xfId="17049" xr:uid="{00000000-0005-0000-0000-00003F400000}"/>
    <cellStyle name="Normal 2 4 3 2 4" xfId="17050" xr:uid="{00000000-0005-0000-0000-000040400000}"/>
    <cellStyle name="Normal 2 4 3 3" xfId="17051" xr:uid="{00000000-0005-0000-0000-000041400000}"/>
    <cellStyle name="Normal 2 4 4" xfId="17052" xr:uid="{00000000-0005-0000-0000-000042400000}"/>
    <cellStyle name="Normal 2 4 4 2" xfId="17053" xr:uid="{00000000-0005-0000-0000-000043400000}"/>
    <cellStyle name="Normal 2 4 4 2 2" xfId="17054" xr:uid="{00000000-0005-0000-0000-000044400000}"/>
    <cellStyle name="Normal 2 4 4 3" xfId="17055" xr:uid="{00000000-0005-0000-0000-000045400000}"/>
    <cellStyle name="Normal 2 4 5" xfId="17056" xr:uid="{00000000-0005-0000-0000-000046400000}"/>
    <cellStyle name="Normal 2 4 5 2" xfId="17057" xr:uid="{00000000-0005-0000-0000-000047400000}"/>
    <cellStyle name="Normal 2 4 5 2 2" xfId="17058" xr:uid="{00000000-0005-0000-0000-000048400000}"/>
    <cellStyle name="Normal 2 4 5 3" xfId="17059" xr:uid="{00000000-0005-0000-0000-000049400000}"/>
    <cellStyle name="Normal 2 4 6" xfId="17060" xr:uid="{00000000-0005-0000-0000-00004A400000}"/>
    <cellStyle name="Normal 2 4 7" xfId="17029" xr:uid="{00000000-0005-0000-0000-00004B400000}"/>
    <cellStyle name="Normal 2 5" xfId="99" xr:uid="{00000000-0005-0000-0000-00004C400000}"/>
    <cellStyle name="Normal 2 5 2" xfId="17062" xr:uid="{00000000-0005-0000-0000-00004D400000}"/>
    <cellStyle name="Normal 2 5 2 2" xfId="17063" xr:uid="{00000000-0005-0000-0000-00004E400000}"/>
    <cellStyle name="Normal 2 5 2 2 2" xfId="17064" xr:uid="{00000000-0005-0000-0000-00004F400000}"/>
    <cellStyle name="Normal 2 5 2 3" xfId="17065" xr:uid="{00000000-0005-0000-0000-000050400000}"/>
    <cellStyle name="Normal 2 5 2 3 2" xfId="17066" xr:uid="{00000000-0005-0000-0000-000051400000}"/>
    <cellStyle name="Normal 2 5 2 3 2 2" xfId="17067" xr:uid="{00000000-0005-0000-0000-000052400000}"/>
    <cellStyle name="Normal 2 5 2 3 3" xfId="17068" xr:uid="{00000000-0005-0000-0000-000053400000}"/>
    <cellStyle name="Normal 2 5 2 4" xfId="17069" xr:uid="{00000000-0005-0000-0000-000054400000}"/>
    <cellStyle name="Normal 2 5 2 4 2" xfId="17070" xr:uid="{00000000-0005-0000-0000-000055400000}"/>
    <cellStyle name="Normal 2 5 2 4 2 2" xfId="17071" xr:uid="{00000000-0005-0000-0000-000056400000}"/>
    <cellStyle name="Normal 2 5 2 4 3" xfId="17072" xr:uid="{00000000-0005-0000-0000-000057400000}"/>
    <cellStyle name="Normal 2 5 2 5" xfId="17073" xr:uid="{00000000-0005-0000-0000-000058400000}"/>
    <cellStyle name="Normal 2 5 3" xfId="17074" xr:uid="{00000000-0005-0000-0000-000059400000}"/>
    <cellStyle name="Normal 2 5 3 2" xfId="17075" xr:uid="{00000000-0005-0000-0000-00005A400000}"/>
    <cellStyle name="Normal 2 5 3 2 2" xfId="17076" xr:uid="{00000000-0005-0000-0000-00005B400000}"/>
    <cellStyle name="Normal 2 5 3 2 2 2" xfId="17077" xr:uid="{00000000-0005-0000-0000-00005C400000}"/>
    <cellStyle name="Normal 2 5 3 2 3" xfId="17078" xr:uid="{00000000-0005-0000-0000-00005D400000}"/>
    <cellStyle name="Normal 2 5 3 2 3 2" xfId="17079" xr:uid="{00000000-0005-0000-0000-00005E400000}"/>
    <cellStyle name="Normal 2 5 3 2 3 2 2" xfId="17080" xr:uid="{00000000-0005-0000-0000-00005F400000}"/>
    <cellStyle name="Normal 2 5 3 2 3 3" xfId="17081" xr:uid="{00000000-0005-0000-0000-000060400000}"/>
    <cellStyle name="Normal 2 5 3 2 4" xfId="17082" xr:uid="{00000000-0005-0000-0000-000061400000}"/>
    <cellStyle name="Normal 2 5 3 3" xfId="17083" xr:uid="{00000000-0005-0000-0000-000062400000}"/>
    <cellStyle name="Normal 2 5 4" xfId="17084" xr:uid="{00000000-0005-0000-0000-000063400000}"/>
    <cellStyle name="Normal 2 5 4 2" xfId="17085" xr:uid="{00000000-0005-0000-0000-000064400000}"/>
    <cellStyle name="Normal 2 5 4 2 2" xfId="17086" xr:uid="{00000000-0005-0000-0000-000065400000}"/>
    <cellStyle name="Normal 2 5 4 3" xfId="17087" xr:uid="{00000000-0005-0000-0000-000066400000}"/>
    <cellStyle name="Normal 2 5 5" xfId="17088" xr:uid="{00000000-0005-0000-0000-000067400000}"/>
    <cellStyle name="Normal 2 5 5 2" xfId="17089" xr:uid="{00000000-0005-0000-0000-000068400000}"/>
    <cellStyle name="Normal 2 5 5 2 2" xfId="17090" xr:uid="{00000000-0005-0000-0000-000069400000}"/>
    <cellStyle name="Normal 2 5 5 3" xfId="17091" xr:uid="{00000000-0005-0000-0000-00006A400000}"/>
    <cellStyle name="Normal 2 5 6" xfId="17092" xr:uid="{00000000-0005-0000-0000-00006B400000}"/>
    <cellStyle name="Normal 2 5 7" xfId="17061" xr:uid="{00000000-0005-0000-0000-00006C400000}"/>
    <cellStyle name="Normal 2 6" xfId="82" xr:uid="{00000000-0005-0000-0000-00006D400000}"/>
    <cellStyle name="Normal 2 6 10" xfId="204" xr:uid="{00000000-0005-0000-0000-00006E400000}"/>
    <cellStyle name="Normal 2 6 10 2" xfId="340" xr:uid="{00000000-0005-0000-0000-00006F400000}"/>
    <cellStyle name="Normal 2 6 10 3" xfId="463" xr:uid="{00000000-0005-0000-0000-000070400000}"/>
    <cellStyle name="Normal 2 6 10 4" xfId="545" xr:uid="{00000000-0005-0000-0000-000071400000}"/>
    <cellStyle name="Normal 2 6 10 5" xfId="53830" xr:uid="{00000000-0005-0000-0000-000072400000}"/>
    <cellStyle name="Normal 2 6 11" xfId="258" xr:uid="{00000000-0005-0000-0000-000073400000}"/>
    <cellStyle name="Normal 2 6 12" xfId="381" xr:uid="{00000000-0005-0000-0000-000074400000}"/>
    <cellStyle name="Normal 2 6 13" xfId="504" xr:uid="{00000000-0005-0000-0000-000075400000}"/>
    <cellStyle name="Normal 2 6 14" xfId="544" xr:uid="{00000000-0005-0000-0000-000076400000}"/>
    <cellStyle name="Normal 2 6 15" xfId="17093" xr:uid="{00000000-0005-0000-0000-000077400000}"/>
    <cellStyle name="Normal 2 6 16" xfId="53705" xr:uid="{00000000-0005-0000-0000-000078400000}"/>
    <cellStyle name="Normal 2 6 17" xfId="53746" xr:uid="{00000000-0005-0000-0000-000079400000}"/>
    <cellStyle name="Normal 2 6 2" xfId="110" xr:uid="{00000000-0005-0000-0000-00007A400000}"/>
    <cellStyle name="Normal 2 6 2 10" xfId="383" xr:uid="{00000000-0005-0000-0000-00007B400000}"/>
    <cellStyle name="Normal 2 6 2 11" xfId="506" xr:uid="{00000000-0005-0000-0000-00007C400000}"/>
    <cellStyle name="Normal 2 6 2 12" xfId="546" xr:uid="{00000000-0005-0000-0000-00007D400000}"/>
    <cellStyle name="Normal 2 6 2 13" xfId="17094" xr:uid="{00000000-0005-0000-0000-00007E400000}"/>
    <cellStyle name="Normal 2 6 2 14" xfId="53707" xr:uid="{00000000-0005-0000-0000-00007F400000}"/>
    <cellStyle name="Normal 2 6 2 15" xfId="53747" xr:uid="{00000000-0005-0000-0000-000080400000}"/>
    <cellStyle name="Normal 2 6 2 2" xfId="116" xr:uid="{00000000-0005-0000-0000-000081400000}"/>
    <cellStyle name="Normal 2 6 2 2 10" xfId="53713" xr:uid="{00000000-0005-0000-0000-000082400000}"/>
    <cellStyle name="Normal 2 6 2 2 11" xfId="53748" xr:uid="{00000000-0005-0000-0000-000083400000}"/>
    <cellStyle name="Normal 2 6 2 2 2" xfId="153" xr:uid="{00000000-0005-0000-0000-000084400000}"/>
    <cellStyle name="Normal 2 6 2 2 2 2" xfId="194" xr:uid="{00000000-0005-0000-0000-000085400000}"/>
    <cellStyle name="Normal 2 6 2 2 2 2 2" xfId="330" xr:uid="{00000000-0005-0000-0000-000086400000}"/>
    <cellStyle name="Normal 2 6 2 2 2 2 3" xfId="453" xr:uid="{00000000-0005-0000-0000-000087400000}"/>
    <cellStyle name="Normal 2 6 2 2 2 2 4" xfId="549" xr:uid="{00000000-0005-0000-0000-000088400000}"/>
    <cellStyle name="Normal 2 6 2 2 2 2 5" xfId="53820" xr:uid="{00000000-0005-0000-0000-000089400000}"/>
    <cellStyle name="Normal 2 6 2 2 2 3" xfId="235" xr:uid="{00000000-0005-0000-0000-00008A400000}"/>
    <cellStyle name="Normal 2 6 2 2 2 3 2" xfId="371" xr:uid="{00000000-0005-0000-0000-00008B400000}"/>
    <cellStyle name="Normal 2 6 2 2 2 3 3" xfId="494" xr:uid="{00000000-0005-0000-0000-00008C400000}"/>
    <cellStyle name="Normal 2 6 2 2 2 3 4" xfId="550" xr:uid="{00000000-0005-0000-0000-00008D400000}"/>
    <cellStyle name="Normal 2 6 2 2 2 3 5" xfId="53861" xr:uid="{00000000-0005-0000-0000-00008E400000}"/>
    <cellStyle name="Normal 2 6 2 2 2 4" xfId="289" xr:uid="{00000000-0005-0000-0000-00008F400000}"/>
    <cellStyle name="Normal 2 6 2 2 2 5" xfId="412" xr:uid="{00000000-0005-0000-0000-000090400000}"/>
    <cellStyle name="Normal 2 6 2 2 2 6" xfId="535" xr:uid="{00000000-0005-0000-0000-000091400000}"/>
    <cellStyle name="Normal 2 6 2 2 2 7" xfId="548" xr:uid="{00000000-0005-0000-0000-000092400000}"/>
    <cellStyle name="Normal 2 6 2 2 2 8" xfId="53736" xr:uid="{00000000-0005-0000-0000-000093400000}"/>
    <cellStyle name="Normal 2 6 2 2 2 9" xfId="53749" xr:uid="{00000000-0005-0000-0000-000094400000}"/>
    <cellStyle name="Normal 2 6 2 2 3" xfId="171" xr:uid="{00000000-0005-0000-0000-000095400000}"/>
    <cellStyle name="Normal 2 6 2 2 3 2" xfId="307" xr:uid="{00000000-0005-0000-0000-000096400000}"/>
    <cellStyle name="Normal 2 6 2 2 3 3" xfId="430" xr:uid="{00000000-0005-0000-0000-000097400000}"/>
    <cellStyle name="Normal 2 6 2 2 3 4" xfId="551" xr:uid="{00000000-0005-0000-0000-000098400000}"/>
    <cellStyle name="Normal 2 6 2 2 3 5" xfId="53797" xr:uid="{00000000-0005-0000-0000-000099400000}"/>
    <cellStyle name="Normal 2 6 2 2 4" xfId="212" xr:uid="{00000000-0005-0000-0000-00009A400000}"/>
    <cellStyle name="Normal 2 6 2 2 4 2" xfId="348" xr:uid="{00000000-0005-0000-0000-00009B400000}"/>
    <cellStyle name="Normal 2 6 2 2 4 3" xfId="471" xr:uid="{00000000-0005-0000-0000-00009C400000}"/>
    <cellStyle name="Normal 2 6 2 2 4 4" xfId="552" xr:uid="{00000000-0005-0000-0000-00009D400000}"/>
    <cellStyle name="Normal 2 6 2 2 4 5" xfId="53838" xr:uid="{00000000-0005-0000-0000-00009E400000}"/>
    <cellStyle name="Normal 2 6 2 2 5" xfId="266" xr:uid="{00000000-0005-0000-0000-00009F400000}"/>
    <cellStyle name="Normal 2 6 2 2 6" xfId="389" xr:uid="{00000000-0005-0000-0000-0000A0400000}"/>
    <cellStyle name="Normal 2 6 2 2 7" xfId="512" xr:uid="{00000000-0005-0000-0000-0000A1400000}"/>
    <cellStyle name="Normal 2 6 2 2 8" xfId="547" xr:uid="{00000000-0005-0000-0000-0000A2400000}"/>
    <cellStyle name="Normal 2 6 2 2 9" xfId="17095" xr:uid="{00000000-0005-0000-0000-0000A3400000}"/>
    <cellStyle name="Normal 2 6 2 3" xfId="120" xr:uid="{00000000-0005-0000-0000-0000A4400000}"/>
    <cellStyle name="Normal 2 6 2 3 10" xfId="53717" xr:uid="{00000000-0005-0000-0000-0000A5400000}"/>
    <cellStyle name="Normal 2 6 2 3 11" xfId="53750" xr:uid="{00000000-0005-0000-0000-0000A6400000}"/>
    <cellStyle name="Normal 2 6 2 3 2" xfId="157" xr:uid="{00000000-0005-0000-0000-0000A7400000}"/>
    <cellStyle name="Normal 2 6 2 3 2 2" xfId="198" xr:uid="{00000000-0005-0000-0000-0000A8400000}"/>
    <cellStyle name="Normal 2 6 2 3 2 2 2" xfId="334" xr:uid="{00000000-0005-0000-0000-0000A9400000}"/>
    <cellStyle name="Normal 2 6 2 3 2 2 3" xfId="457" xr:uid="{00000000-0005-0000-0000-0000AA400000}"/>
    <cellStyle name="Normal 2 6 2 3 2 2 4" xfId="555" xr:uid="{00000000-0005-0000-0000-0000AB400000}"/>
    <cellStyle name="Normal 2 6 2 3 2 2 5" xfId="53824" xr:uid="{00000000-0005-0000-0000-0000AC400000}"/>
    <cellStyle name="Normal 2 6 2 3 2 3" xfId="239" xr:uid="{00000000-0005-0000-0000-0000AD400000}"/>
    <cellStyle name="Normal 2 6 2 3 2 3 2" xfId="375" xr:uid="{00000000-0005-0000-0000-0000AE400000}"/>
    <cellStyle name="Normal 2 6 2 3 2 3 3" xfId="498" xr:uid="{00000000-0005-0000-0000-0000AF400000}"/>
    <cellStyle name="Normal 2 6 2 3 2 3 4" xfId="556" xr:uid="{00000000-0005-0000-0000-0000B0400000}"/>
    <cellStyle name="Normal 2 6 2 3 2 3 5" xfId="53865" xr:uid="{00000000-0005-0000-0000-0000B1400000}"/>
    <cellStyle name="Normal 2 6 2 3 2 4" xfId="293" xr:uid="{00000000-0005-0000-0000-0000B2400000}"/>
    <cellStyle name="Normal 2 6 2 3 2 5" xfId="416" xr:uid="{00000000-0005-0000-0000-0000B3400000}"/>
    <cellStyle name="Normal 2 6 2 3 2 6" xfId="539" xr:uid="{00000000-0005-0000-0000-0000B4400000}"/>
    <cellStyle name="Normal 2 6 2 3 2 7" xfId="554" xr:uid="{00000000-0005-0000-0000-0000B5400000}"/>
    <cellStyle name="Normal 2 6 2 3 2 8" xfId="53740" xr:uid="{00000000-0005-0000-0000-0000B6400000}"/>
    <cellStyle name="Normal 2 6 2 3 2 9" xfId="53751" xr:uid="{00000000-0005-0000-0000-0000B7400000}"/>
    <cellStyle name="Normal 2 6 2 3 3" xfId="175" xr:uid="{00000000-0005-0000-0000-0000B8400000}"/>
    <cellStyle name="Normal 2 6 2 3 3 2" xfId="311" xr:uid="{00000000-0005-0000-0000-0000B9400000}"/>
    <cellStyle name="Normal 2 6 2 3 3 3" xfId="434" xr:uid="{00000000-0005-0000-0000-0000BA400000}"/>
    <cellStyle name="Normal 2 6 2 3 3 4" xfId="557" xr:uid="{00000000-0005-0000-0000-0000BB400000}"/>
    <cellStyle name="Normal 2 6 2 3 3 5" xfId="53801" xr:uid="{00000000-0005-0000-0000-0000BC400000}"/>
    <cellStyle name="Normal 2 6 2 3 4" xfId="216" xr:uid="{00000000-0005-0000-0000-0000BD400000}"/>
    <cellStyle name="Normal 2 6 2 3 4 2" xfId="352" xr:uid="{00000000-0005-0000-0000-0000BE400000}"/>
    <cellStyle name="Normal 2 6 2 3 4 3" xfId="475" xr:uid="{00000000-0005-0000-0000-0000BF400000}"/>
    <cellStyle name="Normal 2 6 2 3 4 4" xfId="558" xr:uid="{00000000-0005-0000-0000-0000C0400000}"/>
    <cellStyle name="Normal 2 6 2 3 4 5" xfId="53842" xr:uid="{00000000-0005-0000-0000-0000C1400000}"/>
    <cellStyle name="Normal 2 6 2 3 5" xfId="270" xr:uid="{00000000-0005-0000-0000-0000C2400000}"/>
    <cellStyle name="Normal 2 6 2 3 6" xfId="393" xr:uid="{00000000-0005-0000-0000-0000C3400000}"/>
    <cellStyle name="Normal 2 6 2 3 7" xfId="516" xr:uid="{00000000-0005-0000-0000-0000C4400000}"/>
    <cellStyle name="Normal 2 6 2 3 8" xfId="553" xr:uid="{00000000-0005-0000-0000-0000C5400000}"/>
    <cellStyle name="Normal 2 6 2 3 9" xfId="53700" xr:uid="{00000000-0005-0000-0000-0000C6400000}"/>
    <cellStyle name="Normal 2 6 2 4" xfId="124" xr:uid="{00000000-0005-0000-0000-0000C7400000}"/>
    <cellStyle name="Normal 2 6 2 4 10" xfId="53721" xr:uid="{00000000-0005-0000-0000-0000C8400000}"/>
    <cellStyle name="Normal 2 6 2 4 11" xfId="53752" xr:uid="{00000000-0005-0000-0000-0000C9400000}"/>
    <cellStyle name="Normal 2 6 2 4 2" xfId="161" xr:uid="{00000000-0005-0000-0000-0000CA400000}"/>
    <cellStyle name="Normal 2 6 2 4 2 2" xfId="202" xr:uid="{00000000-0005-0000-0000-0000CB400000}"/>
    <cellStyle name="Normal 2 6 2 4 2 2 2" xfId="338" xr:uid="{00000000-0005-0000-0000-0000CC400000}"/>
    <cellStyle name="Normal 2 6 2 4 2 2 3" xfId="461" xr:uid="{00000000-0005-0000-0000-0000CD400000}"/>
    <cellStyle name="Normal 2 6 2 4 2 2 4" xfId="561" xr:uid="{00000000-0005-0000-0000-0000CE400000}"/>
    <cellStyle name="Normal 2 6 2 4 2 2 5" xfId="53828" xr:uid="{00000000-0005-0000-0000-0000CF400000}"/>
    <cellStyle name="Normal 2 6 2 4 2 3" xfId="243" xr:uid="{00000000-0005-0000-0000-0000D0400000}"/>
    <cellStyle name="Normal 2 6 2 4 2 3 2" xfId="379" xr:uid="{00000000-0005-0000-0000-0000D1400000}"/>
    <cellStyle name="Normal 2 6 2 4 2 3 3" xfId="502" xr:uid="{00000000-0005-0000-0000-0000D2400000}"/>
    <cellStyle name="Normal 2 6 2 4 2 3 4" xfId="562" xr:uid="{00000000-0005-0000-0000-0000D3400000}"/>
    <cellStyle name="Normal 2 6 2 4 2 3 5" xfId="53869" xr:uid="{00000000-0005-0000-0000-0000D4400000}"/>
    <cellStyle name="Normal 2 6 2 4 2 4" xfId="297" xr:uid="{00000000-0005-0000-0000-0000D5400000}"/>
    <cellStyle name="Normal 2 6 2 4 2 5" xfId="420" xr:uid="{00000000-0005-0000-0000-0000D6400000}"/>
    <cellStyle name="Normal 2 6 2 4 2 6" xfId="543" xr:uid="{00000000-0005-0000-0000-0000D7400000}"/>
    <cellStyle name="Normal 2 6 2 4 2 7" xfId="560" xr:uid="{00000000-0005-0000-0000-0000D8400000}"/>
    <cellStyle name="Normal 2 6 2 4 2 8" xfId="53744" xr:uid="{00000000-0005-0000-0000-0000D9400000}"/>
    <cellStyle name="Normal 2 6 2 4 2 9" xfId="53753" xr:uid="{00000000-0005-0000-0000-0000DA400000}"/>
    <cellStyle name="Normal 2 6 2 4 3" xfId="179" xr:uid="{00000000-0005-0000-0000-0000DB400000}"/>
    <cellStyle name="Normal 2 6 2 4 3 2" xfId="315" xr:uid="{00000000-0005-0000-0000-0000DC400000}"/>
    <cellStyle name="Normal 2 6 2 4 3 3" xfId="438" xr:uid="{00000000-0005-0000-0000-0000DD400000}"/>
    <cellStyle name="Normal 2 6 2 4 3 4" xfId="563" xr:uid="{00000000-0005-0000-0000-0000DE400000}"/>
    <cellStyle name="Normal 2 6 2 4 3 5" xfId="53805" xr:uid="{00000000-0005-0000-0000-0000DF400000}"/>
    <cellStyle name="Normal 2 6 2 4 4" xfId="220" xr:uid="{00000000-0005-0000-0000-0000E0400000}"/>
    <cellStyle name="Normal 2 6 2 4 4 2" xfId="356" xr:uid="{00000000-0005-0000-0000-0000E1400000}"/>
    <cellStyle name="Normal 2 6 2 4 4 3" xfId="479" xr:uid="{00000000-0005-0000-0000-0000E2400000}"/>
    <cellStyle name="Normal 2 6 2 4 4 4" xfId="564" xr:uid="{00000000-0005-0000-0000-0000E3400000}"/>
    <cellStyle name="Normal 2 6 2 4 4 5" xfId="53846" xr:uid="{00000000-0005-0000-0000-0000E4400000}"/>
    <cellStyle name="Normal 2 6 2 4 5" xfId="274" xr:uid="{00000000-0005-0000-0000-0000E5400000}"/>
    <cellStyle name="Normal 2 6 2 4 6" xfId="397" xr:uid="{00000000-0005-0000-0000-0000E6400000}"/>
    <cellStyle name="Normal 2 6 2 4 7" xfId="520" xr:uid="{00000000-0005-0000-0000-0000E7400000}"/>
    <cellStyle name="Normal 2 6 2 4 8" xfId="559" xr:uid="{00000000-0005-0000-0000-0000E8400000}"/>
    <cellStyle name="Normal 2 6 2 4 9" xfId="53701" xr:uid="{00000000-0005-0000-0000-0000E9400000}"/>
    <cellStyle name="Normal 2 6 2 5" xfId="147" xr:uid="{00000000-0005-0000-0000-0000EA400000}"/>
    <cellStyle name="Normal 2 6 2 5 2" xfId="188" xr:uid="{00000000-0005-0000-0000-0000EB400000}"/>
    <cellStyle name="Normal 2 6 2 5 2 2" xfId="324" xr:uid="{00000000-0005-0000-0000-0000EC400000}"/>
    <cellStyle name="Normal 2 6 2 5 2 3" xfId="447" xr:uid="{00000000-0005-0000-0000-0000ED400000}"/>
    <cellStyle name="Normal 2 6 2 5 2 4" xfId="566" xr:uid="{00000000-0005-0000-0000-0000EE400000}"/>
    <cellStyle name="Normal 2 6 2 5 2 5" xfId="53814" xr:uid="{00000000-0005-0000-0000-0000EF400000}"/>
    <cellStyle name="Normal 2 6 2 5 3" xfId="229" xr:uid="{00000000-0005-0000-0000-0000F0400000}"/>
    <cellStyle name="Normal 2 6 2 5 3 2" xfId="365" xr:uid="{00000000-0005-0000-0000-0000F1400000}"/>
    <cellStyle name="Normal 2 6 2 5 3 3" xfId="488" xr:uid="{00000000-0005-0000-0000-0000F2400000}"/>
    <cellStyle name="Normal 2 6 2 5 3 4" xfId="567" xr:uid="{00000000-0005-0000-0000-0000F3400000}"/>
    <cellStyle name="Normal 2 6 2 5 3 5" xfId="53855" xr:uid="{00000000-0005-0000-0000-0000F4400000}"/>
    <cellStyle name="Normal 2 6 2 5 4" xfId="283" xr:uid="{00000000-0005-0000-0000-0000F5400000}"/>
    <cellStyle name="Normal 2 6 2 5 5" xfId="406" xr:uid="{00000000-0005-0000-0000-0000F6400000}"/>
    <cellStyle name="Normal 2 6 2 5 6" xfId="529" xr:uid="{00000000-0005-0000-0000-0000F7400000}"/>
    <cellStyle name="Normal 2 6 2 5 7" xfId="565" xr:uid="{00000000-0005-0000-0000-0000F8400000}"/>
    <cellStyle name="Normal 2 6 2 5 8" xfId="53730" xr:uid="{00000000-0005-0000-0000-0000F9400000}"/>
    <cellStyle name="Normal 2 6 2 5 9" xfId="53754" xr:uid="{00000000-0005-0000-0000-0000FA400000}"/>
    <cellStyle name="Normal 2 6 2 6" xfId="143" xr:uid="{00000000-0005-0000-0000-0000FB400000}"/>
    <cellStyle name="Normal 2 6 2 6 2" xfId="184" xr:uid="{00000000-0005-0000-0000-0000FC400000}"/>
    <cellStyle name="Normal 2 6 2 6 2 2" xfId="320" xr:uid="{00000000-0005-0000-0000-0000FD400000}"/>
    <cellStyle name="Normal 2 6 2 6 2 3" xfId="443" xr:uid="{00000000-0005-0000-0000-0000FE400000}"/>
    <cellStyle name="Normal 2 6 2 6 2 4" xfId="569" xr:uid="{00000000-0005-0000-0000-0000FF400000}"/>
    <cellStyle name="Normal 2 6 2 6 2 5" xfId="53810" xr:uid="{00000000-0005-0000-0000-000000410000}"/>
    <cellStyle name="Normal 2 6 2 6 3" xfId="225" xr:uid="{00000000-0005-0000-0000-000001410000}"/>
    <cellStyle name="Normal 2 6 2 6 3 2" xfId="361" xr:uid="{00000000-0005-0000-0000-000002410000}"/>
    <cellStyle name="Normal 2 6 2 6 3 3" xfId="484" xr:uid="{00000000-0005-0000-0000-000003410000}"/>
    <cellStyle name="Normal 2 6 2 6 3 4" xfId="570" xr:uid="{00000000-0005-0000-0000-000004410000}"/>
    <cellStyle name="Normal 2 6 2 6 3 5" xfId="53851" xr:uid="{00000000-0005-0000-0000-000005410000}"/>
    <cellStyle name="Normal 2 6 2 6 4" xfId="279" xr:uid="{00000000-0005-0000-0000-000006410000}"/>
    <cellStyle name="Normal 2 6 2 6 5" xfId="402" xr:uid="{00000000-0005-0000-0000-000007410000}"/>
    <cellStyle name="Normal 2 6 2 6 6" xfId="525" xr:uid="{00000000-0005-0000-0000-000008410000}"/>
    <cellStyle name="Normal 2 6 2 6 7" xfId="568" xr:uid="{00000000-0005-0000-0000-000009410000}"/>
    <cellStyle name="Normal 2 6 2 6 8" xfId="53726" xr:uid="{00000000-0005-0000-0000-00000A410000}"/>
    <cellStyle name="Normal 2 6 2 6 9" xfId="53755" xr:uid="{00000000-0005-0000-0000-00000B410000}"/>
    <cellStyle name="Normal 2 6 2 7" xfId="165" xr:uid="{00000000-0005-0000-0000-00000C410000}"/>
    <cellStyle name="Normal 2 6 2 7 2" xfId="301" xr:uid="{00000000-0005-0000-0000-00000D410000}"/>
    <cellStyle name="Normal 2 6 2 7 3" xfId="424" xr:uid="{00000000-0005-0000-0000-00000E410000}"/>
    <cellStyle name="Normal 2 6 2 7 4" xfId="571" xr:uid="{00000000-0005-0000-0000-00000F410000}"/>
    <cellStyle name="Normal 2 6 2 7 5" xfId="53791" xr:uid="{00000000-0005-0000-0000-000010410000}"/>
    <cellStyle name="Normal 2 6 2 8" xfId="206" xr:uid="{00000000-0005-0000-0000-000011410000}"/>
    <cellStyle name="Normal 2 6 2 8 2" xfId="342" xr:uid="{00000000-0005-0000-0000-000012410000}"/>
    <cellStyle name="Normal 2 6 2 8 3" xfId="465" xr:uid="{00000000-0005-0000-0000-000013410000}"/>
    <cellStyle name="Normal 2 6 2 8 4" xfId="572" xr:uid="{00000000-0005-0000-0000-000014410000}"/>
    <cellStyle name="Normal 2 6 2 8 5" xfId="53832" xr:uid="{00000000-0005-0000-0000-000015410000}"/>
    <cellStyle name="Normal 2 6 2 9" xfId="260" xr:uid="{00000000-0005-0000-0000-000016410000}"/>
    <cellStyle name="Normal 2 6 3" xfId="111" xr:uid="{00000000-0005-0000-0000-000017410000}"/>
    <cellStyle name="Normal 2 6 3 10" xfId="53708" xr:uid="{00000000-0005-0000-0000-000018410000}"/>
    <cellStyle name="Normal 2 6 3 11" xfId="53756" xr:uid="{00000000-0005-0000-0000-000019410000}"/>
    <cellStyle name="Normal 2 6 3 2" xfId="148" xr:uid="{00000000-0005-0000-0000-00001A410000}"/>
    <cellStyle name="Normal 2 6 3 2 10" xfId="53757" xr:uid="{00000000-0005-0000-0000-00001B410000}"/>
    <cellStyle name="Normal 2 6 3 2 2" xfId="189" xr:uid="{00000000-0005-0000-0000-00001C410000}"/>
    <cellStyle name="Normal 2 6 3 2 2 2" xfId="325" xr:uid="{00000000-0005-0000-0000-00001D410000}"/>
    <cellStyle name="Normal 2 6 3 2 2 3" xfId="448" xr:uid="{00000000-0005-0000-0000-00001E410000}"/>
    <cellStyle name="Normal 2 6 3 2 2 4" xfId="575" xr:uid="{00000000-0005-0000-0000-00001F410000}"/>
    <cellStyle name="Normal 2 6 3 2 2 5" xfId="17098" xr:uid="{00000000-0005-0000-0000-000020410000}"/>
    <cellStyle name="Normal 2 6 3 2 2 6" xfId="53815" xr:uid="{00000000-0005-0000-0000-000021410000}"/>
    <cellStyle name="Normal 2 6 3 2 3" xfId="230" xr:uid="{00000000-0005-0000-0000-000022410000}"/>
    <cellStyle name="Normal 2 6 3 2 3 2" xfId="366" xr:uid="{00000000-0005-0000-0000-000023410000}"/>
    <cellStyle name="Normal 2 6 3 2 3 3" xfId="489" xr:uid="{00000000-0005-0000-0000-000024410000}"/>
    <cellStyle name="Normal 2 6 3 2 3 4" xfId="576" xr:uid="{00000000-0005-0000-0000-000025410000}"/>
    <cellStyle name="Normal 2 6 3 2 3 5" xfId="53856" xr:uid="{00000000-0005-0000-0000-000026410000}"/>
    <cellStyle name="Normal 2 6 3 2 4" xfId="284" xr:uid="{00000000-0005-0000-0000-000027410000}"/>
    <cellStyle name="Normal 2 6 3 2 5" xfId="407" xr:uid="{00000000-0005-0000-0000-000028410000}"/>
    <cellStyle name="Normal 2 6 3 2 6" xfId="530" xr:uid="{00000000-0005-0000-0000-000029410000}"/>
    <cellStyle name="Normal 2 6 3 2 7" xfId="574" xr:uid="{00000000-0005-0000-0000-00002A410000}"/>
    <cellStyle name="Normal 2 6 3 2 8" xfId="17097" xr:uid="{00000000-0005-0000-0000-00002B410000}"/>
    <cellStyle name="Normal 2 6 3 2 9" xfId="53731" xr:uid="{00000000-0005-0000-0000-00002C410000}"/>
    <cellStyle name="Normal 2 6 3 3" xfId="166" xr:uid="{00000000-0005-0000-0000-00002D410000}"/>
    <cellStyle name="Normal 2 6 3 3 2" xfId="302" xr:uid="{00000000-0005-0000-0000-00002E410000}"/>
    <cellStyle name="Normal 2 6 3 3 3" xfId="425" xr:uid="{00000000-0005-0000-0000-00002F410000}"/>
    <cellStyle name="Normal 2 6 3 3 4" xfId="577" xr:uid="{00000000-0005-0000-0000-000030410000}"/>
    <cellStyle name="Normal 2 6 3 3 5" xfId="17099" xr:uid="{00000000-0005-0000-0000-000031410000}"/>
    <cellStyle name="Normal 2 6 3 3 6" xfId="53792" xr:uid="{00000000-0005-0000-0000-000032410000}"/>
    <cellStyle name="Normal 2 6 3 4" xfId="207" xr:uid="{00000000-0005-0000-0000-000033410000}"/>
    <cellStyle name="Normal 2 6 3 4 2" xfId="343" xr:uid="{00000000-0005-0000-0000-000034410000}"/>
    <cellStyle name="Normal 2 6 3 4 3" xfId="466" xr:uid="{00000000-0005-0000-0000-000035410000}"/>
    <cellStyle name="Normal 2 6 3 4 4" xfId="578" xr:uid="{00000000-0005-0000-0000-000036410000}"/>
    <cellStyle name="Normal 2 6 3 4 5" xfId="53833" xr:uid="{00000000-0005-0000-0000-000037410000}"/>
    <cellStyle name="Normal 2 6 3 5" xfId="261" xr:uid="{00000000-0005-0000-0000-000038410000}"/>
    <cellStyle name="Normal 2 6 3 6" xfId="384" xr:uid="{00000000-0005-0000-0000-000039410000}"/>
    <cellStyle name="Normal 2 6 3 7" xfId="507" xr:uid="{00000000-0005-0000-0000-00003A410000}"/>
    <cellStyle name="Normal 2 6 3 8" xfId="573" xr:uid="{00000000-0005-0000-0000-00003B410000}"/>
    <cellStyle name="Normal 2 6 3 9" xfId="17096" xr:uid="{00000000-0005-0000-0000-00003C410000}"/>
    <cellStyle name="Normal 2 6 4" xfId="114" xr:uid="{00000000-0005-0000-0000-00003D410000}"/>
    <cellStyle name="Normal 2 6 4 10" xfId="53711" xr:uid="{00000000-0005-0000-0000-00003E410000}"/>
    <cellStyle name="Normal 2 6 4 11" xfId="53758" xr:uid="{00000000-0005-0000-0000-00003F410000}"/>
    <cellStyle name="Normal 2 6 4 2" xfId="151" xr:uid="{00000000-0005-0000-0000-000040410000}"/>
    <cellStyle name="Normal 2 6 4 2 10" xfId="53759" xr:uid="{00000000-0005-0000-0000-000041410000}"/>
    <cellStyle name="Normal 2 6 4 2 2" xfId="192" xr:uid="{00000000-0005-0000-0000-000042410000}"/>
    <cellStyle name="Normal 2 6 4 2 2 2" xfId="328" xr:uid="{00000000-0005-0000-0000-000043410000}"/>
    <cellStyle name="Normal 2 6 4 2 2 3" xfId="451" xr:uid="{00000000-0005-0000-0000-000044410000}"/>
    <cellStyle name="Normal 2 6 4 2 2 4" xfId="581" xr:uid="{00000000-0005-0000-0000-000045410000}"/>
    <cellStyle name="Normal 2 6 4 2 2 5" xfId="17102" xr:uid="{00000000-0005-0000-0000-000046410000}"/>
    <cellStyle name="Normal 2 6 4 2 2 6" xfId="53818" xr:uid="{00000000-0005-0000-0000-000047410000}"/>
    <cellStyle name="Normal 2 6 4 2 3" xfId="233" xr:uid="{00000000-0005-0000-0000-000048410000}"/>
    <cellStyle name="Normal 2 6 4 2 3 2" xfId="369" xr:uid="{00000000-0005-0000-0000-000049410000}"/>
    <cellStyle name="Normal 2 6 4 2 3 3" xfId="492" xr:uid="{00000000-0005-0000-0000-00004A410000}"/>
    <cellStyle name="Normal 2 6 4 2 3 4" xfId="582" xr:uid="{00000000-0005-0000-0000-00004B410000}"/>
    <cellStyle name="Normal 2 6 4 2 3 5" xfId="53859" xr:uid="{00000000-0005-0000-0000-00004C410000}"/>
    <cellStyle name="Normal 2 6 4 2 4" xfId="287" xr:uid="{00000000-0005-0000-0000-00004D410000}"/>
    <cellStyle name="Normal 2 6 4 2 5" xfId="410" xr:uid="{00000000-0005-0000-0000-00004E410000}"/>
    <cellStyle name="Normal 2 6 4 2 6" xfId="533" xr:uid="{00000000-0005-0000-0000-00004F410000}"/>
    <cellStyle name="Normal 2 6 4 2 7" xfId="580" xr:uid="{00000000-0005-0000-0000-000050410000}"/>
    <cellStyle name="Normal 2 6 4 2 8" xfId="17101" xr:uid="{00000000-0005-0000-0000-000051410000}"/>
    <cellStyle name="Normal 2 6 4 2 9" xfId="53734" xr:uid="{00000000-0005-0000-0000-000052410000}"/>
    <cellStyle name="Normal 2 6 4 3" xfId="169" xr:uid="{00000000-0005-0000-0000-000053410000}"/>
    <cellStyle name="Normal 2 6 4 3 2" xfId="305" xr:uid="{00000000-0005-0000-0000-000054410000}"/>
    <cellStyle name="Normal 2 6 4 3 3" xfId="428" xr:uid="{00000000-0005-0000-0000-000055410000}"/>
    <cellStyle name="Normal 2 6 4 3 4" xfId="583" xr:uid="{00000000-0005-0000-0000-000056410000}"/>
    <cellStyle name="Normal 2 6 4 3 5" xfId="17103" xr:uid="{00000000-0005-0000-0000-000057410000}"/>
    <cellStyle name="Normal 2 6 4 3 6" xfId="53795" xr:uid="{00000000-0005-0000-0000-000058410000}"/>
    <cellStyle name="Normal 2 6 4 4" xfId="210" xr:uid="{00000000-0005-0000-0000-000059410000}"/>
    <cellStyle name="Normal 2 6 4 4 2" xfId="346" xr:uid="{00000000-0005-0000-0000-00005A410000}"/>
    <cellStyle name="Normal 2 6 4 4 3" xfId="469" xr:uid="{00000000-0005-0000-0000-00005B410000}"/>
    <cellStyle name="Normal 2 6 4 4 4" xfId="584" xr:uid="{00000000-0005-0000-0000-00005C410000}"/>
    <cellStyle name="Normal 2 6 4 4 5" xfId="53836" xr:uid="{00000000-0005-0000-0000-00005D410000}"/>
    <cellStyle name="Normal 2 6 4 5" xfId="264" xr:uid="{00000000-0005-0000-0000-00005E410000}"/>
    <cellStyle name="Normal 2 6 4 6" xfId="387" xr:uid="{00000000-0005-0000-0000-00005F410000}"/>
    <cellStyle name="Normal 2 6 4 7" xfId="510" xr:uid="{00000000-0005-0000-0000-000060410000}"/>
    <cellStyle name="Normal 2 6 4 8" xfId="579" xr:uid="{00000000-0005-0000-0000-000061410000}"/>
    <cellStyle name="Normal 2 6 4 9" xfId="17100" xr:uid="{00000000-0005-0000-0000-000062410000}"/>
    <cellStyle name="Normal 2 6 5" xfId="118" xr:uid="{00000000-0005-0000-0000-000063410000}"/>
    <cellStyle name="Normal 2 6 5 10" xfId="53715" xr:uid="{00000000-0005-0000-0000-000064410000}"/>
    <cellStyle name="Normal 2 6 5 11" xfId="53760" xr:uid="{00000000-0005-0000-0000-000065410000}"/>
    <cellStyle name="Normal 2 6 5 2" xfId="155" xr:uid="{00000000-0005-0000-0000-000066410000}"/>
    <cellStyle name="Normal 2 6 5 2 2" xfId="196" xr:uid="{00000000-0005-0000-0000-000067410000}"/>
    <cellStyle name="Normal 2 6 5 2 2 2" xfId="332" xr:uid="{00000000-0005-0000-0000-000068410000}"/>
    <cellStyle name="Normal 2 6 5 2 2 3" xfId="455" xr:uid="{00000000-0005-0000-0000-000069410000}"/>
    <cellStyle name="Normal 2 6 5 2 2 4" xfId="587" xr:uid="{00000000-0005-0000-0000-00006A410000}"/>
    <cellStyle name="Normal 2 6 5 2 2 5" xfId="53822" xr:uid="{00000000-0005-0000-0000-00006B410000}"/>
    <cellStyle name="Normal 2 6 5 2 3" xfId="237" xr:uid="{00000000-0005-0000-0000-00006C410000}"/>
    <cellStyle name="Normal 2 6 5 2 3 2" xfId="373" xr:uid="{00000000-0005-0000-0000-00006D410000}"/>
    <cellStyle name="Normal 2 6 5 2 3 3" xfId="496" xr:uid="{00000000-0005-0000-0000-00006E410000}"/>
    <cellStyle name="Normal 2 6 5 2 3 4" xfId="588" xr:uid="{00000000-0005-0000-0000-00006F410000}"/>
    <cellStyle name="Normal 2 6 5 2 3 5" xfId="53863" xr:uid="{00000000-0005-0000-0000-000070410000}"/>
    <cellStyle name="Normal 2 6 5 2 4" xfId="291" xr:uid="{00000000-0005-0000-0000-000071410000}"/>
    <cellStyle name="Normal 2 6 5 2 5" xfId="414" xr:uid="{00000000-0005-0000-0000-000072410000}"/>
    <cellStyle name="Normal 2 6 5 2 6" xfId="537" xr:uid="{00000000-0005-0000-0000-000073410000}"/>
    <cellStyle name="Normal 2 6 5 2 7" xfId="586" xr:uid="{00000000-0005-0000-0000-000074410000}"/>
    <cellStyle name="Normal 2 6 5 2 8" xfId="53738" xr:uid="{00000000-0005-0000-0000-000075410000}"/>
    <cellStyle name="Normal 2 6 5 2 9" xfId="53761" xr:uid="{00000000-0005-0000-0000-000076410000}"/>
    <cellStyle name="Normal 2 6 5 3" xfId="173" xr:uid="{00000000-0005-0000-0000-000077410000}"/>
    <cellStyle name="Normal 2 6 5 3 2" xfId="309" xr:uid="{00000000-0005-0000-0000-000078410000}"/>
    <cellStyle name="Normal 2 6 5 3 3" xfId="432" xr:uid="{00000000-0005-0000-0000-000079410000}"/>
    <cellStyle name="Normal 2 6 5 3 4" xfId="589" xr:uid="{00000000-0005-0000-0000-00007A410000}"/>
    <cellStyle name="Normal 2 6 5 3 5" xfId="53799" xr:uid="{00000000-0005-0000-0000-00007B410000}"/>
    <cellStyle name="Normal 2 6 5 4" xfId="214" xr:uid="{00000000-0005-0000-0000-00007C410000}"/>
    <cellStyle name="Normal 2 6 5 4 2" xfId="350" xr:uid="{00000000-0005-0000-0000-00007D410000}"/>
    <cellStyle name="Normal 2 6 5 4 3" xfId="473" xr:uid="{00000000-0005-0000-0000-00007E410000}"/>
    <cellStyle name="Normal 2 6 5 4 4" xfId="590" xr:uid="{00000000-0005-0000-0000-00007F410000}"/>
    <cellStyle name="Normal 2 6 5 4 5" xfId="53840" xr:uid="{00000000-0005-0000-0000-000080410000}"/>
    <cellStyle name="Normal 2 6 5 5" xfId="268" xr:uid="{00000000-0005-0000-0000-000081410000}"/>
    <cellStyle name="Normal 2 6 5 6" xfId="391" xr:uid="{00000000-0005-0000-0000-000082410000}"/>
    <cellStyle name="Normal 2 6 5 7" xfId="514" xr:uid="{00000000-0005-0000-0000-000083410000}"/>
    <cellStyle name="Normal 2 6 5 8" xfId="585" xr:uid="{00000000-0005-0000-0000-000084410000}"/>
    <cellStyle name="Normal 2 6 5 9" xfId="17104" xr:uid="{00000000-0005-0000-0000-000085410000}"/>
    <cellStyle name="Normal 2 6 6" xfId="122" xr:uid="{00000000-0005-0000-0000-000086410000}"/>
    <cellStyle name="Normal 2 6 6 10" xfId="53719" xr:uid="{00000000-0005-0000-0000-000087410000}"/>
    <cellStyle name="Normal 2 6 6 11" xfId="53762" xr:uid="{00000000-0005-0000-0000-000088410000}"/>
    <cellStyle name="Normal 2 6 6 2" xfId="159" xr:uid="{00000000-0005-0000-0000-000089410000}"/>
    <cellStyle name="Normal 2 6 6 2 2" xfId="200" xr:uid="{00000000-0005-0000-0000-00008A410000}"/>
    <cellStyle name="Normal 2 6 6 2 2 2" xfId="336" xr:uid="{00000000-0005-0000-0000-00008B410000}"/>
    <cellStyle name="Normal 2 6 6 2 2 3" xfId="459" xr:uid="{00000000-0005-0000-0000-00008C410000}"/>
    <cellStyle name="Normal 2 6 6 2 2 4" xfId="593" xr:uid="{00000000-0005-0000-0000-00008D410000}"/>
    <cellStyle name="Normal 2 6 6 2 2 5" xfId="53826" xr:uid="{00000000-0005-0000-0000-00008E410000}"/>
    <cellStyle name="Normal 2 6 6 2 3" xfId="241" xr:uid="{00000000-0005-0000-0000-00008F410000}"/>
    <cellStyle name="Normal 2 6 6 2 3 2" xfId="377" xr:uid="{00000000-0005-0000-0000-000090410000}"/>
    <cellStyle name="Normal 2 6 6 2 3 3" xfId="500" xr:uid="{00000000-0005-0000-0000-000091410000}"/>
    <cellStyle name="Normal 2 6 6 2 3 4" xfId="594" xr:uid="{00000000-0005-0000-0000-000092410000}"/>
    <cellStyle name="Normal 2 6 6 2 3 5" xfId="53867" xr:uid="{00000000-0005-0000-0000-000093410000}"/>
    <cellStyle name="Normal 2 6 6 2 4" xfId="295" xr:uid="{00000000-0005-0000-0000-000094410000}"/>
    <cellStyle name="Normal 2 6 6 2 5" xfId="418" xr:uid="{00000000-0005-0000-0000-000095410000}"/>
    <cellStyle name="Normal 2 6 6 2 6" xfId="541" xr:uid="{00000000-0005-0000-0000-000096410000}"/>
    <cellStyle name="Normal 2 6 6 2 7" xfId="592" xr:uid="{00000000-0005-0000-0000-000097410000}"/>
    <cellStyle name="Normal 2 6 6 2 8" xfId="53742" xr:uid="{00000000-0005-0000-0000-000098410000}"/>
    <cellStyle name="Normal 2 6 6 2 9" xfId="53763" xr:uid="{00000000-0005-0000-0000-000099410000}"/>
    <cellStyle name="Normal 2 6 6 3" xfId="177" xr:uid="{00000000-0005-0000-0000-00009A410000}"/>
    <cellStyle name="Normal 2 6 6 3 2" xfId="313" xr:uid="{00000000-0005-0000-0000-00009B410000}"/>
    <cellStyle name="Normal 2 6 6 3 3" xfId="436" xr:uid="{00000000-0005-0000-0000-00009C410000}"/>
    <cellStyle name="Normal 2 6 6 3 4" xfId="595" xr:uid="{00000000-0005-0000-0000-00009D410000}"/>
    <cellStyle name="Normal 2 6 6 3 5" xfId="53803" xr:uid="{00000000-0005-0000-0000-00009E410000}"/>
    <cellStyle name="Normal 2 6 6 4" xfId="218" xr:uid="{00000000-0005-0000-0000-00009F410000}"/>
    <cellStyle name="Normal 2 6 6 4 2" xfId="354" xr:uid="{00000000-0005-0000-0000-0000A0410000}"/>
    <cellStyle name="Normal 2 6 6 4 3" xfId="477" xr:uid="{00000000-0005-0000-0000-0000A1410000}"/>
    <cellStyle name="Normal 2 6 6 4 4" xfId="596" xr:uid="{00000000-0005-0000-0000-0000A2410000}"/>
    <cellStyle name="Normal 2 6 6 4 5" xfId="53844" xr:uid="{00000000-0005-0000-0000-0000A3410000}"/>
    <cellStyle name="Normal 2 6 6 5" xfId="272" xr:uid="{00000000-0005-0000-0000-0000A4410000}"/>
    <cellStyle name="Normal 2 6 6 6" xfId="395" xr:uid="{00000000-0005-0000-0000-0000A5410000}"/>
    <cellStyle name="Normal 2 6 6 7" xfId="518" xr:uid="{00000000-0005-0000-0000-0000A6410000}"/>
    <cellStyle name="Normal 2 6 6 8" xfId="591" xr:uid="{00000000-0005-0000-0000-0000A7410000}"/>
    <cellStyle name="Normal 2 6 6 9" xfId="53702" xr:uid="{00000000-0005-0000-0000-0000A8410000}"/>
    <cellStyle name="Normal 2 6 7" xfId="145" xr:uid="{00000000-0005-0000-0000-0000A9410000}"/>
    <cellStyle name="Normal 2 6 7 2" xfId="186" xr:uid="{00000000-0005-0000-0000-0000AA410000}"/>
    <cellStyle name="Normal 2 6 7 2 2" xfId="322" xr:uid="{00000000-0005-0000-0000-0000AB410000}"/>
    <cellStyle name="Normal 2 6 7 2 3" xfId="445" xr:uid="{00000000-0005-0000-0000-0000AC410000}"/>
    <cellStyle name="Normal 2 6 7 2 4" xfId="598" xr:uid="{00000000-0005-0000-0000-0000AD410000}"/>
    <cellStyle name="Normal 2 6 7 2 5" xfId="53812" xr:uid="{00000000-0005-0000-0000-0000AE410000}"/>
    <cellStyle name="Normal 2 6 7 3" xfId="227" xr:uid="{00000000-0005-0000-0000-0000AF410000}"/>
    <cellStyle name="Normal 2 6 7 3 2" xfId="363" xr:uid="{00000000-0005-0000-0000-0000B0410000}"/>
    <cellStyle name="Normal 2 6 7 3 3" xfId="486" xr:uid="{00000000-0005-0000-0000-0000B1410000}"/>
    <cellStyle name="Normal 2 6 7 3 4" xfId="599" xr:uid="{00000000-0005-0000-0000-0000B2410000}"/>
    <cellStyle name="Normal 2 6 7 3 5" xfId="53853" xr:uid="{00000000-0005-0000-0000-0000B3410000}"/>
    <cellStyle name="Normal 2 6 7 4" xfId="281" xr:uid="{00000000-0005-0000-0000-0000B4410000}"/>
    <cellStyle name="Normal 2 6 7 5" xfId="404" xr:uid="{00000000-0005-0000-0000-0000B5410000}"/>
    <cellStyle name="Normal 2 6 7 6" xfId="527" xr:uid="{00000000-0005-0000-0000-0000B6410000}"/>
    <cellStyle name="Normal 2 6 7 7" xfId="597" xr:uid="{00000000-0005-0000-0000-0000B7410000}"/>
    <cellStyle name="Normal 2 6 7 8" xfId="53728" xr:uid="{00000000-0005-0000-0000-0000B8410000}"/>
    <cellStyle name="Normal 2 6 7 9" xfId="53764" xr:uid="{00000000-0005-0000-0000-0000B9410000}"/>
    <cellStyle name="Normal 2 6 8" xfId="137" xr:uid="{00000000-0005-0000-0000-0000BA410000}"/>
    <cellStyle name="Normal 2 6 8 2" xfId="181" xr:uid="{00000000-0005-0000-0000-0000BB410000}"/>
    <cellStyle name="Normal 2 6 8 2 2" xfId="317" xr:uid="{00000000-0005-0000-0000-0000BC410000}"/>
    <cellStyle name="Normal 2 6 8 2 3" xfId="440" xr:uid="{00000000-0005-0000-0000-0000BD410000}"/>
    <cellStyle name="Normal 2 6 8 2 4" xfId="601" xr:uid="{00000000-0005-0000-0000-0000BE410000}"/>
    <cellStyle name="Normal 2 6 8 2 5" xfId="53807" xr:uid="{00000000-0005-0000-0000-0000BF410000}"/>
    <cellStyle name="Normal 2 6 8 3" xfId="222" xr:uid="{00000000-0005-0000-0000-0000C0410000}"/>
    <cellStyle name="Normal 2 6 8 3 2" xfId="358" xr:uid="{00000000-0005-0000-0000-0000C1410000}"/>
    <cellStyle name="Normal 2 6 8 3 3" xfId="481" xr:uid="{00000000-0005-0000-0000-0000C2410000}"/>
    <cellStyle name="Normal 2 6 8 3 4" xfId="602" xr:uid="{00000000-0005-0000-0000-0000C3410000}"/>
    <cellStyle name="Normal 2 6 8 3 5" xfId="53848" xr:uid="{00000000-0005-0000-0000-0000C4410000}"/>
    <cellStyle name="Normal 2 6 8 4" xfId="276" xr:uid="{00000000-0005-0000-0000-0000C5410000}"/>
    <cellStyle name="Normal 2 6 8 5" xfId="399" xr:uid="{00000000-0005-0000-0000-0000C6410000}"/>
    <cellStyle name="Normal 2 6 8 6" xfId="522" xr:uid="{00000000-0005-0000-0000-0000C7410000}"/>
    <cellStyle name="Normal 2 6 8 7" xfId="600" xr:uid="{00000000-0005-0000-0000-0000C8410000}"/>
    <cellStyle name="Normal 2 6 8 8" xfId="53723" xr:uid="{00000000-0005-0000-0000-0000C9410000}"/>
    <cellStyle name="Normal 2 6 8 9" xfId="53765" xr:uid="{00000000-0005-0000-0000-0000CA410000}"/>
    <cellStyle name="Normal 2 6 9" xfId="163" xr:uid="{00000000-0005-0000-0000-0000CB410000}"/>
    <cellStyle name="Normal 2 6 9 2" xfId="299" xr:uid="{00000000-0005-0000-0000-0000CC410000}"/>
    <cellStyle name="Normal 2 6 9 3" xfId="422" xr:uid="{00000000-0005-0000-0000-0000CD410000}"/>
    <cellStyle name="Normal 2 6 9 4" xfId="603" xr:uid="{00000000-0005-0000-0000-0000CE410000}"/>
    <cellStyle name="Normal 2 6 9 5" xfId="53789" xr:uid="{00000000-0005-0000-0000-0000CF410000}"/>
    <cellStyle name="Normal 2 7" xfId="127" xr:uid="{00000000-0005-0000-0000-0000D0410000}"/>
    <cellStyle name="Normal 2 7 2" xfId="17105" xr:uid="{00000000-0005-0000-0000-0000D1410000}"/>
    <cellStyle name="Normal 2 7 2 2" xfId="17106" xr:uid="{00000000-0005-0000-0000-0000D2410000}"/>
    <cellStyle name="Normal 2 7 3" xfId="17107" xr:uid="{00000000-0005-0000-0000-0000D3410000}"/>
    <cellStyle name="Normal 2 8" xfId="17108" xr:uid="{00000000-0005-0000-0000-0000D4410000}"/>
    <cellStyle name="Normal 2 8 2" xfId="17109" xr:uid="{00000000-0005-0000-0000-0000D5410000}"/>
    <cellStyle name="Normal 2 8 2 2" xfId="17110" xr:uid="{00000000-0005-0000-0000-0000D6410000}"/>
    <cellStyle name="Normal 2 8 3" xfId="17111" xr:uid="{00000000-0005-0000-0000-0000D7410000}"/>
    <cellStyle name="Normal 2 9" xfId="17112" xr:uid="{00000000-0005-0000-0000-0000D8410000}"/>
    <cellStyle name="Normal 2 9 2" xfId="17113" xr:uid="{00000000-0005-0000-0000-0000D9410000}"/>
    <cellStyle name="Normal 2_Action Item List 01.27.10" xfId="17114" xr:uid="{00000000-0005-0000-0000-0000DA410000}"/>
    <cellStyle name="Normal 20" xfId="17115" xr:uid="{00000000-0005-0000-0000-0000DB410000}"/>
    <cellStyle name="Normal 20 2" xfId="17116" xr:uid="{00000000-0005-0000-0000-0000DC410000}"/>
    <cellStyle name="Normal 20 2 2" xfId="17117" xr:uid="{00000000-0005-0000-0000-0000DD410000}"/>
    <cellStyle name="Normal 20 2 2 2" xfId="17118" xr:uid="{00000000-0005-0000-0000-0000DE410000}"/>
    <cellStyle name="Normal 20 2 2 2 2" xfId="17119" xr:uid="{00000000-0005-0000-0000-0000DF410000}"/>
    <cellStyle name="Normal 20 2 2 3" xfId="17120" xr:uid="{00000000-0005-0000-0000-0000E0410000}"/>
    <cellStyle name="Normal 20 2 2 3 2" xfId="17121" xr:uid="{00000000-0005-0000-0000-0000E1410000}"/>
    <cellStyle name="Normal 20 2 2 3 2 2" xfId="17122" xr:uid="{00000000-0005-0000-0000-0000E2410000}"/>
    <cellStyle name="Normal 20 2 2 3 3" xfId="17123" xr:uid="{00000000-0005-0000-0000-0000E3410000}"/>
    <cellStyle name="Normal 20 2 2 4" xfId="17124" xr:uid="{00000000-0005-0000-0000-0000E4410000}"/>
    <cellStyle name="Normal 20 2 2 4 2" xfId="17125" xr:uid="{00000000-0005-0000-0000-0000E5410000}"/>
    <cellStyle name="Normal 20 2 2 4 2 2" xfId="17126" xr:uid="{00000000-0005-0000-0000-0000E6410000}"/>
    <cellStyle name="Normal 20 2 2 4 3" xfId="17127" xr:uid="{00000000-0005-0000-0000-0000E7410000}"/>
    <cellStyle name="Normal 20 2 2 5" xfId="17128" xr:uid="{00000000-0005-0000-0000-0000E8410000}"/>
    <cellStyle name="Normal 20 2 3" xfId="17129" xr:uid="{00000000-0005-0000-0000-0000E9410000}"/>
    <cellStyle name="Normal 20 2 3 2" xfId="17130" xr:uid="{00000000-0005-0000-0000-0000EA410000}"/>
    <cellStyle name="Normal 20 2 3 2 2" xfId="17131" xr:uid="{00000000-0005-0000-0000-0000EB410000}"/>
    <cellStyle name="Normal 20 2 3 3" xfId="17132" xr:uid="{00000000-0005-0000-0000-0000EC410000}"/>
    <cellStyle name="Normal 20 2 4" xfId="17133" xr:uid="{00000000-0005-0000-0000-0000ED410000}"/>
    <cellStyle name="Normal 20 2 4 2" xfId="17134" xr:uid="{00000000-0005-0000-0000-0000EE410000}"/>
    <cellStyle name="Normal 20 2 4 2 2" xfId="17135" xr:uid="{00000000-0005-0000-0000-0000EF410000}"/>
    <cellStyle name="Normal 20 2 4 3" xfId="17136" xr:uid="{00000000-0005-0000-0000-0000F0410000}"/>
    <cellStyle name="Normal 20 2 5" xfId="17137" xr:uid="{00000000-0005-0000-0000-0000F1410000}"/>
    <cellStyle name="Normal 20 2 5 2" xfId="17138" xr:uid="{00000000-0005-0000-0000-0000F2410000}"/>
    <cellStyle name="Normal 20 2 5 2 2" xfId="17139" xr:uid="{00000000-0005-0000-0000-0000F3410000}"/>
    <cellStyle name="Normal 20 2 5 3" xfId="17140" xr:uid="{00000000-0005-0000-0000-0000F4410000}"/>
    <cellStyle name="Normal 20 2 6" xfId="17141" xr:uid="{00000000-0005-0000-0000-0000F5410000}"/>
    <cellStyle name="Normal 20 3" xfId="17142" xr:uid="{00000000-0005-0000-0000-0000F6410000}"/>
    <cellStyle name="Normal 20 3 2" xfId="17143" xr:uid="{00000000-0005-0000-0000-0000F7410000}"/>
    <cellStyle name="Normal 20 3 2 2" xfId="17144" xr:uid="{00000000-0005-0000-0000-0000F8410000}"/>
    <cellStyle name="Normal 20 3 3" xfId="17145" xr:uid="{00000000-0005-0000-0000-0000F9410000}"/>
    <cellStyle name="Normal 20 3 3 2" xfId="17146" xr:uid="{00000000-0005-0000-0000-0000FA410000}"/>
    <cellStyle name="Normal 20 3 3 2 2" xfId="17147" xr:uid="{00000000-0005-0000-0000-0000FB410000}"/>
    <cellStyle name="Normal 20 3 3 3" xfId="17148" xr:uid="{00000000-0005-0000-0000-0000FC410000}"/>
    <cellStyle name="Normal 20 3 4" xfId="17149" xr:uid="{00000000-0005-0000-0000-0000FD410000}"/>
    <cellStyle name="Normal 20 3 4 2" xfId="17150" xr:uid="{00000000-0005-0000-0000-0000FE410000}"/>
    <cellStyle name="Normal 20 3 4 2 2" xfId="17151" xr:uid="{00000000-0005-0000-0000-0000FF410000}"/>
    <cellStyle name="Normal 20 3 4 3" xfId="17152" xr:uid="{00000000-0005-0000-0000-000000420000}"/>
    <cellStyle name="Normal 20 3 5" xfId="17153" xr:uid="{00000000-0005-0000-0000-000001420000}"/>
    <cellStyle name="Normal 20 4" xfId="17154" xr:uid="{00000000-0005-0000-0000-000002420000}"/>
    <cellStyle name="Normal 20 4 2" xfId="17155" xr:uid="{00000000-0005-0000-0000-000003420000}"/>
    <cellStyle name="Normal 20 4 2 2" xfId="17156" xr:uid="{00000000-0005-0000-0000-000004420000}"/>
    <cellStyle name="Normal 20 4 2 2 2" xfId="17157" xr:uid="{00000000-0005-0000-0000-000005420000}"/>
    <cellStyle name="Normal 20 4 2 3" xfId="17158" xr:uid="{00000000-0005-0000-0000-000006420000}"/>
    <cellStyle name="Normal 20 4 2 3 2" xfId="17159" xr:uid="{00000000-0005-0000-0000-000007420000}"/>
    <cellStyle name="Normal 20 4 2 3 2 2" xfId="17160" xr:uid="{00000000-0005-0000-0000-000008420000}"/>
    <cellStyle name="Normal 20 4 2 3 3" xfId="17161" xr:uid="{00000000-0005-0000-0000-000009420000}"/>
    <cellStyle name="Normal 20 4 2 4" xfId="17162" xr:uid="{00000000-0005-0000-0000-00000A420000}"/>
    <cellStyle name="Normal 20 4 3" xfId="17163" xr:uid="{00000000-0005-0000-0000-00000B420000}"/>
    <cellStyle name="Normal 20 4 3 2" xfId="17164" xr:uid="{00000000-0005-0000-0000-00000C420000}"/>
    <cellStyle name="Normal 20 4 3 2 2" xfId="17165" xr:uid="{00000000-0005-0000-0000-00000D420000}"/>
    <cellStyle name="Normal 20 4 3 3" xfId="17166" xr:uid="{00000000-0005-0000-0000-00000E420000}"/>
    <cellStyle name="Normal 20 4 4" xfId="17167" xr:uid="{00000000-0005-0000-0000-00000F420000}"/>
    <cellStyle name="Normal 20 4 4 2" xfId="17168" xr:uid="{00000000-0005-0000-0000-000010420000}"/>
    <cellStyle name="Normal 20 4 4 2 2" xfId="17169" xr:uid="{00000000-0005-0000-0000-000011420000}"/>
    <cellStyle name="Normal 20 4 4 3" xfId="17170" xr:uid="{00000000-0005-0000-0000-000012420000}"/>
    <cellStyle name="Normal 20 4 5" xfId="17171" xr:uid="{00000000-0005-0000-0000-000013420000}"/>
    <cellStyle name="Normal 20 4 5 2" xfId="17172" xr:uid="{00000000-0005-0000-0000-000014420000}"/>
    <cellStyle name="Normal 20 4 5 2 2" xfId="17173" xr:uid="{00000000-0005-0000-0000-000015420000}"/>
    <cellStyle name="Normal 20 4 5 3" xfId="17174" xr:uid="{00000000-0005-0000-0000-000016420000}"/>
    <cellStyle name="Normal 20 4 6" xfId="17175" xr:uid="{00000000-0005-0000-0000-000017420000}"/>
    <cellStyle name="Normal 20 5" xfId="17176" xr:uid="{00000000-0005-0000-0000-000018420000}"/>
    <cellStyle name="Normal 200" xfId="17177" xr:uid="{00000000-0005-0000-0000-000019420000}"/>
    <cellStyle name="Normal 200 2" xfId="17178" xr:uid="{00000000-0005-0000-0000-00001A420000}"/>
    <cellStyle name="Normal 200 2 2" xfId="17179" xr:uid="{00000000-0005-0000-0000-00001B420000}"/>
    <cellStyle name="Normal 200 2 2 2" xfId="17180" xr:uid="{00000000-0005-0000-0000-00001C420000}"/>
    <cellStyle name="Normal 200 2 2 2 2" xfId="17181" xr:uid="{00000000-0005-0000-0000-00001D420000}"/>
    <cellStyle name="Normal 200 2 2 3" xfId="17182" xr:uid="{00000000-0005-0000-0000-00001E420000}"/>
    <cellStyle name="Normal 200 2 2 3 2" xfId="17183" xr:uid="{00000000-0005-0000-0000-00001F420000}"/>
    <cellStyle name="Normal 200 2 2 3 2 2" xfId="17184" xr:uid="{00000000-0005-0000-0000-000020420000}"/>
    <cellStyle name="Normal 200 2 2 3 3" xfId="17185" xr:uid="{00000000-0005-0000-0000-000021420000}"/>
    <cellStyle name="Normal 200 2 2 4" xfId="17186" xr:uid="{00000000-0005-0000-0000-000022420000}"/>
    <cellStyle name="Normal 200 2 2 4 2" xfId="17187" xr:uid="{00000000-0005-0000-0000-000023420000}"/>
    <cellStyle name="Normal 200 2 2 4 2 2" xfId="17188" xr:uid="{00000000-0005-0000-0000-000024420000}"/>
    <cellStyle name="Normal 200 2 2 4 3" xfId="17189" xr:uid="{00000000-0005-0000-0000-000025420000}"/>
    <cellStyle name="Normal 200 2 2 5" xfId="17190" xr:uid="{00000000-0005-0000-0000-000026420000}"/>
    <cellStyle name="Normal 200 2 3" xfId="17191" xr:uid="{00000000-0005-0000-0000-000027420000}"/>
    <cellStyle name="Normal 200 2 3 2" xfId="17192" xr:uid="{00000000-0005-0000-0000-000028420000}"/>
    <cellStyle name="Normal 200 2 3 2 2" xfId="17193" xr:uid="{00000000-0005-0000-0000-000029420000}"/>
    <cellStyle name="Normal 200 2 3 2 2 2" xfId="17194" xr:uid="{00000000-0005-0000-0000-00002A420000}"/>
    <cellStyle name="Normal 200 2 3 2 3" xfId="17195" xr:uid="{00000000-0005-0000-0000-00002B420000}"/>
    <cellStyle name="Normal 200 2 3 2 3 2" xfId="17196" xr:uid="{00000000-0005-0000-0000-00002C420000}"/>
    <cellStyle name="Normal 200 2 3 2 3 2 2" xfId="17197" xr:uid="{00000000-0005-0000-0000-00002D420000}"/>
    <cellStyle name="Normal 200 2 3 2 3 3" xfId="17198" xr:uid="{00000000-0005-0000-0000-00002E420000}"/>
    <cellStyle name="Normal 200 2 3 2 4" xfId="17199" xr:uid="{00000000-0005-0000-0000-00002F420000}"/>
    <cellStyle name="Normal 200 2 3 3" xfId="17200" xr:uid="{00000000-0005-0000-0000-000030420000}"/>
    <cellStyle name="Normal 200 2 3 3 2" xfId="17201" xr:uid="{00000000-0005-0000-0000-000031420000}"/>
    <cellStyle name="Normal 200 2 3 3 2 2" xfId="17202" xr:uid="{00000000-0005-0000-0000-000032420000}"/>
    <cellStyle name="Normal 200 2 3 3 3" xfId="17203" xr:uid="{00000000-0005-0000-0000-000033420000}"/>
    <cellStyle name="Normal 200 2 3 4" xfId="17204" xr:uid="{00000000-0005-0000-0000-000034420000}"/>
    <cellStyle name="Normal 200 2 3 4 2" xfId="17205" xr:uid="{00000000-0005-0000-0000-000035420000}"/>
    <cellStyle name="Normal 200 2 3 4 2 2" xfId="17206" xr:uid="{00000000-0005-0000-0000-000036420000}"/>
    <cellStyle name="Normal 200 2 3 4 3" xfId="17207" xr:uid="{00000000-0005-0000-0000-000037420000}"/>
    <cellStyle name="Normal 200 2 3 5" xfId="17208" xr:uid="{00000000-0005-0000-0000-000038420000}"/>
    <cellStyle name="Normal 200 2 3 5 2" xfId="17209" xr:uid="{00000000-0005-0000-0000-000039420000}"/>
    <cellStyle name="Normal 200 2 3 5 2 2" xfId="17210" xr:uid="{00000000-0005-0000-0000-00003A420000}"/>
    <cellStyle name="Normal 200 2 3 5 3" xfId="17211" xr:uid="{00000000-0005-0000-0000-00003B420000}"/>
    <cellStyle name="Normal 200 2 3 6" xfId="17212" xr:uid="{00000000-0005-0000-0000-00003C420000}"/>
    <cellStyle name="Normal 200 2 4" xfId="17213" xr:uid="{00000000-0005-0000-0000-00003D420000}"/>
    <cellStyle name="Normal 200 2 4 2" xfId="17214" xr:uid="{00000000-0005-0000-0000-00003E420000}"/>
    <cellStyle name="Normal 200 2 4 2 2" xfId="17215" xr:uid="{00000000-0005-0000-0000-00003F420000}"/>
    <cellStyle name="Normal 200 2 4 3" xfId="17216" xr:uid="{00000000-0005-0000-0000-000040420000}"/>
    <cellStyle name="Normal 200 2 5" xfId="17217" xr:uid="{00000000-0005-0000-0000-000041420000}"/>
    <cellStyle name="Normal 200 2 5 2" xfId="17218" xr:uid="{00000000-0005-0000-0000-000042420000}"/>
    <cellStyle name="Normal 200 2 5 2 2" xfId="17219" xr:uid="{00000000-0005-0000-0000-000043420000}"/>
    <cellStyle name="Normal 200 2 5 3" xfId="17220" xr:uid="{00000000-0005-0000-0000-000044420000}"/>
    <cellStyle name="Normal 200 2 6" xfId="17221" xr:uid="{00000000-0005-0000-0000-000045420000}"/>
    <cellStyle name="Normal 200 2 6 2" xfId="17222" xr:uid="{00000000-0005-0000-0000-000046420000}"/>
    <cellStyle name="Normal 200 2 6 2 2" xfId="17223" xr:uid="{00000000-0005-0000-0000-000047420000}"/>
    <cellStyle name="Normal 200 2 6 3" xfId="17224" xr:uid="{00000000-0005-0000-0000-000048420000}"/>
    <cellStyle name="Normal 200 2 7" xfId="17225" xr:uid="{00000000-0005-0000-0000-000049420000}"/>
    <cellStyle name="Normal 200 3" xfId="17226" xr:uid="{00000000-0005-0000-0000-00004A420000}"/>
    <cellStyle name="Normal 200 3 2" xfId="17227" xr:uid="{00000000-0005-0000-0000-00004B420000}"/>
    <cellStyle name="Normal 200 3 2 2" xfId="17228" xr:uid="{00000000-0005-0000-0000-00004C420000}"/>
    <cellStyle name="Normal 200 3 3" xfId="17229" xr:uid="{00000000-0005-0000-0000-00004D420000}"/>
    <cellStyle name="Normal 200 3 3 2" xfId="17230" xr:uid="{00000000-0005-0000-0000-00004E420000}"/>
    <cellStyle name="Normal 200 3 3 2 2" xfId="17231" xr:uid="{00000000-0005-0000-0000-00004F420000}"/>
    <cellStyle name="Normal 200 3 3 3" xfId="17232" xr:uid="{00000000-0005-0000-0000-000050420000}"/>
    <cellStyle name="Normal 200 3 4" xfId="17233" xr:uid="{00000000-0005-0000-0000-000051420000}"/>
    <cellStyle name="Normal 200 3 4 2" xfId="17234" xr:uid="{00000000-0005-0000-0000-000052420000}"/>
    <cellStyle name="Normal 200 3 4 2 2" xfId="17235" xr:uid="{00000000-0005-0000-0000-000053420000}"/>
    <cellStyle name="Normal 200 3 4 3" xfId="17236" xr:uid="{00000000-0005-0000-0000-000054420000}"/>
    <cellStyle name="Normal 200 3 5" xfId="17237" xr:uid="{00000000-0005-0000-0000-000055420000}"/>
    <cellStyle name="Normal 200 4" xfId="17238" xr:uid="{00000000-0005-0000-0000-000056420000}"/>
    <cellStyle name="Normal 200 4 2" xfId="17239" xr:uid="{00000000-0005-0000-0000-000057420000}"/>
    <cellStyle name="Normal 200 4 2 2" xfId="17240" xr:uid="{00000000-0005-0000-0000-000058420000}"/>
    <cellStyle name="Normal 200 4 2 2 2" xfId="17241" xr:uid="{00000000-0005-0000-0000-000059420000}"/>
    <cellStyle name="Normal 200 4 2 3" xfId="17242" xr:uid="{00000000-0005-0000-0000-00005A420000}"/>
    <cellStyle name="Normal 200 4 2 3 2" xfId="17243" xr:uid="{00000000-0005-0000-0000-00005B420000}"/>
    <cellStyle name="Normal 200 4 2 3 2 2" xfId="17244" xr:uid="{00000000-0005-0000-0000-00005C420000}"/>
    <cellStyle name="Normal 200 4 2 3 3" xfId="17245" xr:uid="{00000000-0005-0000-0000-00005D420000}"/>
    <cellStyle name="Normal 200 4 2 4" xfId="17246" xr:uid="{00000000-0005-0000-0000-00005E420000}"/>
    <cellStyle name="Normal 200 4 3" xfId="17247" xr:uid="{00000000-0005-0000-0000-00005F420000}"/>
    <cellStyle name="Normal 200 4 3 2" xfId="17248" xr:uid="{00000000-0005-0000-0000-000060420000}"/>
    <cellStyle name="Normal 200 4 3 2 2" xfId="17249" xr:uid="{00000000-0005-0000-0000-000061420000}"/>
    <cellStyle name="Normal 200 4 3 3" xfId="17250" xr:uid="{00000000-0005-0000-0000-000062420000}"/>
    <cellStyle name="Normal 200 4 4" xfId="17251" xr:uid="{00000000-0005-0000-0000-000063420000}"/>
    <cellStyle name="Normal 200 4 4 2" xfId="17252" xr:uid="{00000000-0005-0000-0000-000064420000}"/>
    <cellStyle name="Normal 200 4 4 2 2" xfId="17253" xr:uid="{00000000-0005-0000-0000-000065420000}"/>
    <cellStyle name="Normal 200 4 4 3" xfId="17254" xr:uid="{00000000-0005-0000-0000-000066420000}"/>
    <cellStyle name="Normal 200 4 5" xfId="17255" xr:uid="{00000000-0005-0000-0000-000067420000}"/>
    <cellStyle name="Normal 200 4 5 2" xfId="17256" xr:uid="{00000000-0005-0000-0000-000068420000}"/>
    <cellStyle name="Normal 200 4 5 2 2" xfId="17257" xr:uid="{00000000-0005-0000-0000-000069420000}"/>
    <cellStyle name="Normal 200 4 5 3" xfId="17258" xr:uid="{00000000-0005-0000-0000-00006A420000}"/>
    <cellStyle name="Normal 200 4 6" xfId="17259" xr:uid="{00000000-0005-0000-0000-00006B420000}"/>
    <cellStyle name="Normal 200 5" xfId="17260" xr:uid="{00000000-0005-0000-0000-00006C420000}"/>
    <cellStyle name="Normal 200 5 2" xfId="17261" xr:uid="{00000000-0005-0000-0000-00006D420000}"/>
    <cellStyle name="Normal 200 5 2 2" xfId="17262" xr:uid="{00000000-0005-0000-0000-00006E420000}"/>
    <cellStyle name="Normal 200 5 3" xfId="17263" xr:uid="{00000000-0005-0000-0000-00006F420000}"/>
    <cellStyle name="Normal 200 6" xfId="17264" xr:uid="{00000000-0005-0000-0000-000070420000}"/>
    <cellStyle name="Normal 200 6 2" xfId="17265" xr:uid="{00000000-0005-0000-0000-000071420000}"/>
    <cellStyle name="Normal 200 6 2 2" xfId="17266" xr:uid="{00000000-0005-0000-0000-000072420000}"/>
    <cellStyle name="Normal 200 6 3" xfId="17267" xr:uid="{00000000-0005-0000-0000-000073420000}"/>
    <cellStyle name="Normal 200 7" xfId="17268" xr:uid="{00000000-0005-0000-0000-000074420000}"/>
    <cellStyle name="Normal 200 7 2" xfId="17269" xr:uid="{00000000-0005-0000-0000-000075420000}"/>
    <cellStyle name="Normal 200 7 2 2" xfId="17270" xr:uid="{00000000-0005-0000-0000-000076420000}"/>
    <cellStyle name="Normal 200 7 3" xfId="17271" xr:uid="{00000000-0005-0000-0000-000077420000}"/>
    <cellStyle name="Normal 200 8" xfId="17272" xr:uid="{00000000-0005-0000-0000-000078420000}"/>
    <cellStyle name="Normal 201" xfId="17273" xr:uid="{00000000-0005-0000-0000-000079420000}"/>
    <cellStyle name="Normal 201 2" xfId="17274" xr:uid="{00000000-0005-0000-0000-00007A420000}"/>
    <cellStyle name="Normal 201 2 2" xfId="17275" xr:uid="{00000000-0005-0000-0000-00007B420000}"/>
    <cellStyle name="Normal 201 2 2 2" xfId="17276" xr:uid="{00000000-0005-0000-0000-00007C420000}"/>
    <cellStyle name="Normal 201 2 2 2 2" xfId="17277" xr:uid="{00000000-0005-0000-0000-00007D420000}"/>
    <cellStyle name="Normal 201 2 2 3" xfId="17278" xr:uid="{00000000-0005-0000-0000-00007E420000}"/>
    <cellStyle name="Normal 201 2 2 3 2" xfId="17279" xr:uid="{00000000-0005-0000-0000-00007F420000}"/>
    <cellStyle name="Normal 201 2 2 3 2 2" xfId="17280" xr:uid="{00000000-0005-0000-0000-000080420000}"/>
    <cellStyle name="Normal 201 2 2 3 3" xfId="17281" xr:uid="{00000000-0005-0000-0000-000081420000}"/>
    <cellStyle name="Normal 201 2 2 4" xfId="17282" xr:uid="{00000000-0005-0000-0000-000082420000}"/>
    <cellStyle name="Normal 201 2 2 4 2" xfId="17283" xr:uid="{00000000-0005-0000-0000-000083420000}"/>
    <cellStyle name="Normal 201 2 2 4 2 2" xfId="17284" xr:uid="{00000000-0005-0000-0000-000084420000}"/>
    <cellStyle name="Normal 201 2 2 4 3" xfId="17285" xr:uid="{00000000-0005-0000-0000-000085420000}"/>
    <cellStyle name="Normal 201 2 2 5" xfId="17286" xr:uid="{00000000-0005-0000-0000-000086420000}"/>
    <cellStyle name="Normal 201 2 3" xfId="17287" xr:uid="{00000000-0005-0000-0000-000087420000}"/>
    <cellStyle name="Normal 201 2 3 2" xfId="17288" xr:uid="{00000000-0005-0000-0000-000088420000}"/>
    <cellStyle name="Normal 201 2 3 2 2" xfId="17289" xr:uid="{00000000-0005-0000-0000-000089420000}"/>
    <cellStyle name="Normal 201 2 3 2 2 2" xfId="17290" xr:uid="{00000000-0005-0000-0000-00008A420000}"/>
    <cellStyle name="Normal 201 2 3 2 3" xfId="17291" xr:uid="{00000000-0005-0000-0000-00008B420000}"/>
    <cellStyle name="Normal 201 2 3 2 3 2" xfId="17292" xr:uid="{00000000-0005-0000-0000-00008C420000}"/>
    <cellStyle name="Normal 201 2 3 2 3 2 2" xfId="17293" xr:uid="{00000000-0005-0000-0000-00008D420000}"/>
    <cellStyle name="Normal 201 2 3 2 3 3" xfId="17294" xr:uid="{00000000-0005-0000-0000-00008E420000}"/>
    <cellStyle name="Normal 201 2 3 2 4" xfId="17295" xr:uid="{00000000-0005-0000-0000-00008F420000}"/>
    <cellStyle name="Normal 201 2 3 3" xfId="17296" xr:uid="{00000000-0005-0000-0000-000090420000}"/>
    <cellStyle name="Normal 201 2 3 3 2" xfId="17297" xr:uid="{00000000-0005-0000-0000-000091420000}"/>
    <cellStyle name="Normal 201 2 3 3 2 2" xfId="17298" xr:uid="{00000000-0005-0000-0000-000092420000}"/>
    <cellStyle name="Normal 201 2 3 3 3" xfId="17299" xr:uid="{00000000-0005-0000-0000-000093420000}"/>
    <cellStyle name="Normal 201 2 3 4" xfId="17300" xr:uid="{00000000-0005-0000-0000-000094420000}"/>
    <cellStyle name="Normal 201 2 3 4 2" xfId="17301" xr:uid="{00000000-0005-0000-0000-000095420000}"/>
    <cellStyle name="Normal 201 2 3 4 2 2" xfId="17302" xr:uid="{00000000-0005-0000-0000-000096420000}"/>
    <cellStyle name="Normal 201 2 3 4 3" xfId="17303" xr:uid="{00000000-0005-0000-0000-000097420000}"/>
    <cellStyle name="Normal 201 2 3 5" xfId="17304" xr:uid="{00000000-0005-0000-0000-000098420000}"/>
    <cellStyle name="Normal 201 2 3 5 2" xfId="17305" xr:uid="{00000000-0005-0000-0000-000099420000}"/>
    <cellStyle name="Normal 201 2 3 5 2 2" xfId="17306" xr:uid="{00000000-0005-0000-0000-00009A420000}"/>
    <cellStyle name="Normal 201 2 3 5 3" xfId="17307" xr:uid="{00000000-0005-0000-0000-00009B420000}"/>
    <cellStyle name="Normal 201 2 3 6" xfId="17308" xr:uid="{00000000-0005-0000-0000-00009C420000}"/>
    <cellStyle name="Normal 201 2 4" xfId="17309" xr:uid="{00000000-0005-0000-0000-00009D420000}"/>
    <cellStyle name="Normal 201 2 4 2" xfId="17310" xr:uid="{00000000-0005-0000-0000-00009E420000}"/>
    <cellStyle name="Normal 201 2 4 2 2" xfId="17311" xr:uid="{00000000-0005-0000-0000-00009F420000}"/>
    <cellStyle name="Normal 201 2 4 3" xfId="17312" xr:uid="{00000000-0005-0000-0000-0000A0420000}"/>
    <cellStyle name="Normal 201 2 5" xfId="17313" xr:uid="{00000000-0005-0000-0000-0000A1420000}"/>
    <cellStyle name="Normal 201 2 5 2" xfId="17314" xr:uid="{00000000-0005-0000-0000-0000A2420000}"/>
    <cellStyle name="Normal 201 2 5 2 2" xfId="17315" xr:uid="{00000000-0005-0000-0000-0000A3420000}"/>
    <cellStyle name="Normal 201 2 5 3" xfId="17316" xr:uid="{00000000-0005-0000-0000-0000A4420000}"/>
    <cellStyle name="Normal 201 2 6" xfId="17317" xr:uid="{00000000-0005-0000-0000-0000A5420000}"/>
    <cellStyle name="Normal 201 2 6 2" xfId="17318" xr:uid="{00000000-0005-0000-0000-0000A6420000}"/>
    <cellStyle name="Normal 201 2 6 2 2" xfId="17319" xr:uid="{00000000-0005-0000-0000-0000A7420000}"/>
    <cellStyle name="Normal 201 2 6 3" xfId="17320" xr:uid="{00000000-0005-0000-0000-0000A8420000}"/>
    <cellStyle name="Normal 201 2 7" xfId="17321" xr:uid="{00000000-0005-0000-0000-0000A9420000}"/>
    <cellStyle name="Normal 201 3" xfId="17322" xr:uid="{00000000-0005-0000-0000-0000AA420000}"/>
    <cellStyle name="Normal 201 3 2" xfId="17323" xr:uid="{00000000-0005-0000-0000-0000AB420000}"/>
    <cellStyle name="Normal 201 3 2 2" xfId="17324" xr:uid="{00000000-0005-0000-0000-0000AC420000}"/>
    <cellStyle name="Normal 201 3 3" xfId="17325" xr:uid="{00000000-0005-0000-0000-0000AD420000}"/>
    <cellStyle name="Normal 201 3 3 2" xfId="17326" xr:uid="{00000000-0005-0000-0000-0000AE420000}"/>
    <cellStyle name="Normal 201 3 3 2 2" xfId="17327" xr:uid="{00000000-0005-0000-0000-0000AF420000}"/>
    <cellStyle name="Normal 201 3 3 3" xfId="17328" xr:uid="{00000000-0005-0000-0000-0000B0420000}"/>
    <cellStyle name="Normal 201 3 4" xfId="17329" xr:uid="{00000000-0005-0000-0000-0000B1420000}"/>
    <cellStyle name="Normal 201 3 4 2" xfId="17330" xr:uid="{00000000-0005-0000-0000-0000B2420000}"/>
    <cellStyle name="Normal 201 3 4 2 2" xfId="17331" xr:uid="{00000000-0005-0000-0000-0000B3420000}"/>
    <cellStyle name="Normal 201 3 4 3" xfId="17332" xr:uid="{00000000-0005-0000-0000-0000B4420000}"/>
    <cellStyle name="Normal 201 3 5" xfId="17333" xr:uid="{00000000-0005-0000-0000-0000B5420000}"/>
    <cellStyle name="Normal 201 4" xfId="17334" xr:uid="{00000000-0005-0000-0000-0000B6420000}"/>
    <cellStyle name="Normal 201 4 2" xfId="17335" xr:uid="{00000000-0005-0000-0000-0000B7420000}"/>
    <cellStyle name="Normal 201 4 2 2" xfId="17336" xr:uid="{00000000-0005-0000-0000-0000B8420000}"/>
    <cellStyle name="Normal 201 4 2 2 2" xfId="17337" xr:uid="{00000000-0005-0000-0000-0000B9420000}"/>
    <cellStyle name="Normal 201 4 2 3" xfId="17338" xr:uid="{00000000-0005-0000-0000-0000BA420000}"/>
    <cellStyle name="Normal 201 4 2 3 2" xfId="17339" xr:uid="{00000000-0005-0000-0000-0000BB420000}"/>
    <cellStyle name="Normal 201 4 2 3 2 2" xfId="17340" xr:uid="{00000000-0005-0000-0000-0000BC420000}"/>
    <cellStyle name="Normal 201 4 2 3 3" xfId="17341" xr:uid="{00000000-0005-0000-0000-0000BD420000}"/>
    <cellStyle name="Normal 201 4 2 4" xfId="17342" xr:uid="{00000000-0005-0000-0000-0000BE420000}"/>
    <cellStyle name="Normal 201 4 3" xfId="17343" xr:uid="{00000000-0005-0000-0000-0000BF420000}"/>
    <cellStyle name="Normal 201 4 3 2" xfId="17344" xr:uid="{00000000-0005-0000-0000-0000C0420000}"/>
    <cellStyle name="Normal 201 4 3 2 2" xfId="17345" xr:uid="{00000000-0005-0000-0000-0000C1420000}"/>
    <cellStyle name="Normal 201 4 3 3" xfId="17346" xr:uid="{00000000-0005-0000-0000-0000C2420000}"/>
    <cellStyle name="Normal 201 4 4" xfId="17347" xr:uid="{00000000-0005-0000-0000-0000C3420000}"/>
    <cellStyle name="Normal 201 4 4 2" xfId="17348" xr:uid="{00000000-0005-0000-0000-0000C4420000}"/>
    <cellStyle name="Normal 201 4 4 2 2" xfId="17349" xr:uid="{00000000-0005-0000-0000-0000C5420000}"/>
    <cellStyle name="Normal 201 4 4 3" xfId="17350" xr:uid="{00000000-0005-0000-0000-0000C6420000}"/>
    <cellStyle name="Normal 201 4 5" xfId="17351" xr:uid="{00000000-0005-0000-0000-0000C7420000}"/>
    <cellStyle name="Normal 201 4 5 2" xfId="17352" xr:uid="{00000000-0005-0000-0000-0000C8420000}"/>
    <cellStyle name="Normal 201 4 5 2 2" xfId="17353" xr:uid="{00000000-0005-0000-0000-0000C9420000}"/>
    <cellStyle name="Normal 201 4 5 3" xfId="17354" xr:uid="{00000000-0005-0000-0000-0000CA420000}"/>
    <cellStyle name="Normal 201 4 6" xfId="17355" xr:uid="{00000000-0005-0000-0000-0000CB420000}"/>
    <cellStyle name="Normal 201 5" xfId="17356" xr:uid="{00000000-0005-0000-0000-0000CC420000}"/>
    <cellStyle name="Normal 201 5 2" xfId="17357" xr:uid="{00000000-0005-0000-0000-0000CD420000}"/>
    <cellStyle name="Normal 201 5 2 2" xfId="17358" xr:uid="{00000000-0005-0000-0000-0000CE420000}"/>
    <cellStyle name="Normal 201 5 3" xfId="17359" xr:uid="{00000000-0005-0000-0000-0000CF420000}"/>
    <cellStyle name="Normal 201 6" xfId="17360" xr:uid="{00000000-0005-0000-0000-0000D0420000}"/>
    <cellStyle name="Normal 201 6 2" xfId="17361" xr:uid="{00000000-0005-0000-0000-0000D1420000}"/>
    <cellStyle name="Normal 201 6 2 2" xfId="17362" xr:uid="{00000000-0005-0000-0000-0000D2420000}"/>
    <cellStyle name="Normal 201 6 3" xfId="17363" xr:uid="{00000000-0005-0000-0000-0000D3420000}"/>
    <cellStyle name="Normal 201 7" xfId="17364" xr:uid="{00000000-0005-0000-0000-0000D4420000}"/>
    <cellStyle name="Normal 201 7 2" xfId="17365" xr:uid="{00000000-0005-0000-0000-0000D5420000}"/>
    <cellStyle name="Normal 201 7 2 2" xfId="17366" xr:uid="{00000000-0005-0000-0000-0000D6420000}"/>
    <cellStyle name="Normal 201 7 3" xfId="17367" xr:uid="{00000000-0005-0000-0000-0000D7420000}"/>
    <cellStyle name="Normal 201 8" xfId="17368" xr:uid="{00000000-0005-0000-0000-0000D8420000}"/>
    <cellStyle name="Normal 202" xfId="17369" xr:uid="{00000000-0005-0000-0000-0000D9420000}"/>
    <cellStyle name="Normal 202 2" xfId="17370" xr:uid="{00000000-0005-0000-0000-0000DA420000}"/>
    <cellStyle name="Normal 202 2 2" xfId="17371" xr:uid="{00000000-0005-0000-0000-0000DB420000}"/>
    <cellStyle name="Normal 202 2 2 2" xfId="17372" xr:uid="{00000000-0005-0000-0000-0000DC420000}"/>
    <cellStyle name="Normal 202 2 2 2 2" xfId="17373" xr:uid="{00000000-0005-0000-0000-0000DD420000}"/>
    <cellStyle name="Normal 202 2 2 3" xfId="17374" xr:uid="{00000000-0005-0000-0000-0000DE420000}"/>
    <cellStyle name="Normal 202 2 2 3 2" xfId="17375" xr:uid="{00000000-0005-0000-0000-0000DF420000}"/>
    <cellStyle name="Normal 202 2 2 3 2 2" xfId="17376" xr:uid="{00000000-0005-0000-0000-0000E0420000}"/>
    <cellStyle name="Normal 202 2 2 3 3" xfId="17377" xr:uid="{00000000-0005-0000-0000-0000E1420000}"/>
    <cellStyle name="Normal 202 2 2 4" xfId="17378" xr:uid="{00000000-0005-0000-0000-0000E2420000}"/>
    <cellStyle name="Normal 202 2 2 4 2" xfId="17379" xr:uid="{00000000-0005-0000-0000-0000E3420000}"/>
    <cellStyle name="Normal 202 2 2 4 2 2" xfId="17380" xr:uid="{00000000-0005-0000-0000-0000E4420000}"/>
    <cellStyle name="Normal 202 2 2 4 3" xfId="17381" xr:uid="{00000000-0005-0000-0000-0000E5420000}"/>
    <cellStyle name="Normal 202 2 2 5" xfId="17382" xr:uid="{00000000-0005-0000-0000-0000E6420000}"/>
    <cellStyle name="Normal 202 2 3" xfId="17383" xr:uid="{00000000-0005-0000-0000-0000E7420000}"/>
    <cellStyle name="Normal 202 2 3 2" xfId="17384" xr:uid="{00000000-0005-0000-0000-0000E8420000}"/>
    <cellStyle name="Normal 202 2 3 2 2" xfId="17385" xr:uid="{00000000-0005-0000-0000-0000E9420000}"/>
    <cellStyle name="Normal 202 2 3 2 2 2" xfId="17386" xr:uid="{00000000-0005-0000-0000-0000EA420000}"/>
    <cellStyle name="Normal 202 2 3 2 3" xfId="17387" xr:uid="{00000000-0005-0000-0000-0000EB420000}"/>
    <cellStyle name="Normal 202 2 3 2 3 2" xfId="17388" xr:uid="{00000000-0005-0000-0000-0000EC420000}"/>
    <cellStyle name="Normal 202 2 3 2 3 2 2" xfId="17389" xr:uid="{00000000-0005-0000-0000-0000ED420000}"/>
    <cellStyle name="Normal 202 2 3 2 3 3" xfId="17390" xr:uid="{00000000-0005-0000-0000-0000EE420000}"/>
    <cellStyle name="Normal 202 2 3 2 4" xfId="17391" xr:uid="{00000000-0005-0000-0000-0000EF420000}"/>
    <cellStyle name="Normal 202 2 3 3" xfId="17392" xr:uid="{00000000-0005-0000-0000-0000F0420000}"/>
    <cellStyle name="Normal 202 2 3 3 2" xfId="17393" xr:uid="{00000000-0005-0000-0000-0000F1420000}"/>
    <cellStyle name="Normal 202 2 3 3 2 2" xfId="17394" xr:uid="{00000000-0005-0000-0000-0000F2420000}"/>
    <cellStyle name="Normal 202 2 3 3 3" xfId="17395" xr:uid="{00000000-0005-0000-0000-0000F3420000}"/>
    <cellStyle name="Normal 202 2 3 4" xfId="17396" xr:uid="{00000000-0005-0000-0000-0000F4420000}"/>
    <cellStyle name="Normal 202 2 3 4 2" xfId="17397" xr:uid="{00000000-0005-0000-0000-0000F5420000}"/>
    <cellStyle name="Normal 202 2 3 4 2 2" xfId="17398" xr:uid="{00000000-0005-0000-0000-0000F6420000}"/>
    <cellStyle name="Normal 202 2 3 4 3" xfId="17399" xr:uid="{00000000-0005-0000-0000-0000F7420000}"/>
    <cellStyle name="Normal 202 2 3 5" xfId="17400" xr:uid="{00000000-0005-0000-0000-0000F8420000}"/>
    <cellStyle name="Normal 202 2 3 5 2" xfId="17401" xr:uid="{00000000-0005-0000-0000-0000F9420000}"/>
    <cellStyle name="Normal 202 2 3 5 2 2" xfId="17402" xr:uid="{00000000-0005-0000-0000-0000FA420000}"/>
    <cellStyle name="Normal 202 2 3 5 3" xfId="17403" xr:uid="{00000000-0005-0000-0000-0000FB420000}"/>
    <cellStyle name="Normal 202 2 3 6" xfId="17404" xr:uid="{00000000-0005-0000-0000-0000FC420000}"/>
    <cellStyle name="Normal 202 2 4" xfId="17405" xr:uid="{00000000-0005-0000-0000-0000FD420000}"/>
    <cellStyle name="Normal 202 2 4 2" xfId="17406" xr:uid="{00000000-0005-0000-0000-0000FE420000}"/>
    <cellStyle name="Normal 202 2 4 2 2" xfId="17407" xr:uid="{00000000-0005-0000-0000-0000FF420000}"/>
    <cellStyle name="Normal 202 2 4 3" xfId="17408" xr:uid="{00000000-0005-0000-0000-000000430000}"/>
    <cellStyle name="Normal 202 2 5" xfId="17409" xr:uid="{00000000-0005-0000-0000-000001430000}"/>
    <cellStyle name="Normal 202 2 5 2" xfId="17410" xr:uid="{00000000-0005-0000-0000-000002430000}"/>
    <cellStyle name="Normal 202 2 5 2 2" xfId="17411" xr:uid="{00000000-0005-0000-0000-000003430000}"/>
    <cellStyle name="Normal 202 2 5 3" xfId="17412" xr:uid="{00000000-0005-0000-0000-000004430000}"/>
    <cellStyle name="Normal 202 2 6" xfId="17413" xr:uid="{00000000-0005-0000-0000-000005430000}"/>
    <cellStyle name="Normal 202 2 6 2" xfId="17414" xr:uid="{00000000-0005-0000-0000-000006430000}"/>
    <cellStyle name="Normal 202 2 6 2 2" xfId="17415" xr:uid="{00000000-0005-0000-0000-000007430000}"/>
    <cellStyle name="Normal 202 2 6 3" xfId="17416" xr:uid="{00000000-0005-0000-0000-000008430000}"/>
    <cellStyle name="Normal 202 2 7" xfId="17417" xr:uid="{00000000-0005-0000-0000-000009430000}"/>
    <cellStyle name="Normal 202 3" xfId="17418" xr:uid="{00000000-0005-0000-0000-00000A430000}"/>
    <cellStyle name="Normal 202 3 2" xfId="17419" xr:uid="{00000000-0005-0000-0000-00000B430000}"/>
    <cellStyle name="Normal 202 3 2 2" xfId="17420" xr:uid="{00000000-0005-0000-0000-00000C430000}"/>
    <cellStyle name="Normal 202 3 3" xfId="17421" xr:uid="{00000000-0005-0000-0000-00000D430000}"/>
    <cellStyle name="Normal 202 3 3 2" xfId="17422" xr:uid="{00000000-0005-0000-0000-00000E430000}"/>
    <cellStyle name="Normal 202 3 3 2 2" xfId="17423" xr:uid="{00000000-0005-0000-0000-00000F430000}"/>
    <cellStyle name="Normal 202 3 3 3" xfId="17424" xr:uid="{00000000-0005-0000-0000-000010430000}"/>
    <cellStyle name="Normal 202 3 4" xfId="17425" xr:uid="{00000000-0005-0000-0000-000011430000}"/>
    <cellStyle name="Normal 202 3 4 2" xfId="17426" xr:uid="{00000000-0005-0000-0000-000012430000}"/>
    <cellStyle name="Normal 202 3 4 2 2" xfId="17427" xr:uid="{00000000-0005-0000-0000-000013430000}"/>
    <cellStyle name="Normal 202 3 4 3" xfId="17428" xr:uid="{00000000-0005-0000-0000-000014430000}"/>
    <cellStyle name="Normal 202 3 5" xfId="17429" xr:uid="{00000000-0005-0000-0000-000015430000}"/>
    <cellStyle name="Normal 202 4" xfId="17430" xr:uid="{00000000-0005-0000-0000-000016430000}"/>
    <cellStyle name="Normal 202 4 2" xfId="17431" xr:uid="{00000000-0005-0000-0000-000017430000}"/>
    <cellStyle name="Normal 202 4 2 2" xfId="17432" xr:uid="{00000000-0005-0000-0000-000018430000}"/>
    <cellStyle name="Normal 202 4 2 2 2" xfId="17433" xr:uid="{00000000-0005-0000-0000-000019430000}"/>
    <cellStyle name="Normal 202 4 2 3" xfId="17434" xr:uid="{00000000-0005-0000-0000-00001A430000}"/>
    <cellStyle name="Normal 202 4 2 3 2" xfId="17435" xr:uid="{00000000-0005-0000-0000-00001B430000}"/>
    <cellStyle name="Normal 202 4 2 3 2 2" xfId="17436" xr:uid="{00000000-0005-0000-0000-00001C430000}"/>
    <cellStyle name="Normal 202 4 2 3 3" xfId="17437" xr:uid="{00000000-0005-0000-0000-00001D430000}"/>
    <cellStyle name="Normal 202 4 2 4" xfId="17438" xr:uid="{00000000-0005-0000-0000-00001E430000}"/>
    <cellStyle name="Normal 202 4 3" xfId="17439" xr:uid="{00000000-0005-0000-0000-00001F430000}"/>
    <cellStyle name="Normal 202 4 3 2" xfId="17440" xr:uid="{00000000-0005-0000-0000-000020430000}"/>
    <cellStyle name="Normal 202 4 3 2 2" xfId="17441" xr:uid="{00000000-0005-0000-0000-000021430000}"/>
    <cellStyle name="Normal 202 4 3 3" xfId="17442" xr:uid="{00000000-0005-0000-0000-000022430000}"/>
    <cellStyle name="Normal 202 4 4" xfId="17443" xr:uid="{00000000-0005-0000-0000-000023430000}"/>
    <cellStyle name="Normal 202 4 4 2" xfId="17444" xr:uid="{00000000-0005-0000-0000-000024430000}"/>
    <cellStyle name="Normal 202 4 4 2 2" xfId="17445" xr:uid="{00000000-0005-0000-0000-000025430000}"/>
    <cellStyle name="Normal 202 4 4 3" xfId="17446" xr:uid="{00000000-0005-0000-0000-000026430000}"/>
    <cellStyle name="Normal 202 4 5" xfId="17447" xr:uid="{00000000-0005-0000-0000-000027430000}"/>
    <cellStyle name="Normal 202 4 5 2" xfId="17448" xr:uid="{00000000-0005-0000-0000-000028430000}"/>
    <cellStyle name="Normal 202 4 5 2 2" xfId="17449" xr:uid="{00000000-0005-0000-0000-000029430000}"/>
    <cellStyle name="Normal 202 4 5 3" xfId="17450" xr:uid="{00000000-0005-0000-0000-00002A430000}"/>
    <cellStyle name="Normal 202 4 6" xfId="17451" xr:uid="{00000000-0005-0000-0000-00002B430000}"/>
    <cellStyle name="Normal 202 5" xfId="17452" xr:uid="{00000000-0005-0000-0000-00002C430000}"/>
    <cellStyle name="Normal 202 5 2" xfId="17453" xr:uid="{00000000-0005-0000-0000-00002D430000}"/>
    <cellStyle name="Normal 202 5 2 2" xfId="17454" xr:uid="{00000000-0005-0000-0000-00002E430000}"/>
    <cellStyle name="Normal 202 5 3" xfId="17455" xr:uid="{00000000-0005-0000-0000-00002F430000}"/>
    <cellStyle name="Normal 202 6" xfId="17456" xr:uid="{00000000-0005-0000-0000-000030430000}"/>
    <cellStyle name="Normal 202 6 2" xfId="17457" xr:uid="{00000000-0005-0000-0000-000031430000}"/>
    <cellStyle name="Normal 202 6 2 2" xfId="17458" xr:uid="{00000000-0005-0000-0000-000032430000}"/>
    <cellStyle name="Normal 202 6 3" xfId="17459" xr:uid="{00000000-0005-0000-0000-000033430000}"/>
    <cellStyle name="Normal 202 7" xfId="17460" xr:uid="{00000000-0005-0000-0000-000034430000}"/>
    <cellStyle name="Normal 202 7 2" xfId="17461" xr:uid="{00000000-0005-0000-0000-000035430000}"/>
    <cellStyle name="Normal 202 7 2 2" xfId="17462" xr:uid="{00000000-0005-0000-0000-000036430000}"/>
    <cellStyle name="Normal 202 7 3" xfId="17463" xr:uid="{00000000-0005-0000-0000-000037430000}"/>
    <cellStyle name="Normal 202 8" xfId="17464" xr:uid="{00000000-0005-0000-0000-000038430000}"/>
    <cellStyle name="Normal 203" xfId="17465" xr:uid="{00000000-0005-0000-0000-000039430000}"/>
    <cellStyle name="Normal 203 2" xfId="17466" xr:uid="{00000000-0005-0000-0000-00003A430000}"/>
    <cellStyle name="Normal 203 2 2" xfId="17467" xr:uid="{00000000-0005-0000-0000-00003B430000}"/>
    <cellStyle name="Normal 203 2 2 2" xfId="17468" xr:uid="{00000000-0005-0000-0000-00003C430000}"/>
    <cellStyle name="Normal 203 2 2 2 2" xfId="17469" xr:uid="{00000000-0005-0000-0000-00003D430000}"/>
    <cellStyle name="Normal 203 2 2 3" xfId="17470" xr:uid="{00000000-0005-0000-0000-00003E430000}"/>
    <cellStyle name="Normal 203 2 2 3 2" xfId="17471" xr:uid="{00000000-0005-0000-0000-00003F430000}"/>
    <cellStyle name="Normal 203 2 2 3 2 2" xfId="17472" xr:uid="{00000000-0005-0000-0000-000040430000}"/>
    <cellStyle name="Normal 203 2 2 3 3" xfId="17473" xr:uid="{00000000-0005-0000-0000-000041430000}"/>
    <cellStyle name="Normal 203 2 2 4" xfId="17474" xr:uid="{00000000-0005-0000-0000-000042430000}"/>
    <cellStyle name="Normal 203 2 2 4 2" xfId="17475" xr:uid="{00000000-0005-0000-0000-000043430000}"/>
    <cellStyle name="Normal 203 2 2 4 2 2" xfId="17476" xr:uid="{00000000-0005-0000-0000-000044430000}"/>
    <cellStyle name="Normal 203 2 2 4 3" xfId="17477" xr:uid="{00000000-0005-0000-0000-000045430000}"/>
    <cellStyle name="Normal 203 2 2 5" xfId="17478" xr:uid="{00000000-0005-0000-0000-000046430000}"/>
    <cellStyle name="Normal 203 2 3" xfId="17479" xr:uid="{00000000-0005-0000-0000-000047430000}"/>
    <cellStyle name="Normal 203 2 3 2" xfId="17480" xr:uid="{00000000-0005-0000-0000-000048430000}"/>
    <cellStyle name="Normal 203 2 3 2 2" xfId="17481" xr:uid="{00000000-0005-0000-0000-000049430000}"/>
    <cellStyle name="Normal 203 2 3 2 2 2" xfId="17482" xr:uid="{00000000-0005-0000-0000-00004A430000}"/>
    <cellStyle name="Normal 203 2 3 2 3" xfId="17483" xr:uid="{00000000-0005-0000-0000-00004B430000}"/>
    <cellStyle name="Normal 203 2 3 2 3 2" xfId="17484" xr:uid="{00000000-0005-0000-0000-00004C430000}"/>
    <cellStyle name="Normal 203 2 3 2 3 2 2" xfId="17485" xr:uid="{00000000-0005-0000-0000-00004D430000}"/>
    <cellStyle name="Normal 203 2 3 2 3 3" xfId="17486" xr:uid="{00000000-0005-0000-0000-00004E430000}"/>
    <cellStyle name="Normal 203 2 3 2 4" xfId="17487" xr:uid="{00000000-0005-0000-0000-00004F430000}"/>
    <cellStyle name="Normal 203 2 3 3" xfId="17488" xr:uid="{00000000-0005-0000-0000-000050430000}"/>
    <cellStyle name="Normal 203 2 3 3 2" xfId="17489" xr:uid="{00000000-0005-0000-0000-000051430000}"/>
    <cellStyle name="Normal 203 2 3 3 2 2" xfId="17490" xr:uid="{00000000-0005-0000-0000-000052430000}"/>
    <cellStyle name="Normal 203 2 3 3 3" xfId="17491" xr:uid="{00000000-0005-0000-0000-000053430000}"/>
    <cellStyle name="Normal 203 2 3 4" xfId="17492" xr:uid="{00000000-0005-0000-0000-000054430000}"/>
    <cellStyle name="Normal 203 2 3 4 2" xfId="17493" xr:uid="{00000000-0005-0000-0000-000055430000}"/>
    <cellStyle name="Normal 203 2 3 4 2 2" xfId="17494" xr:uid="{00000000-0005-0000-0000-000056430000}"/>
    <cellStyle name="Normal 203 2 3 4 3" xfId="17495" xr:uid="{00000000-0005-0000-0000-000057430000}"/>
    <cellStyle name="Normal 203 2 3 5" xfId="17496" xr:uid="{00000000-0005-0000-0000-000058430000}"/>
    <cellStyle name="Normal 203 2 3 5 2" xfId="17497" xr:uid="{00000000-0005-0000-0000-000059430000}"/>
    <cellStyle name="Normal 203 2 3 5 2 2" xfId="17498" xr:uid="{00000000-0005-0000-0000-00005A430000}"/>
    <cellStyle name="Normal 203 2 3 5 3" xfId="17499" xr:uid="{00000000-0005-0000-0000-00005B430000}"/>
    <cellStyle name="Normal 203 2 3 6" xfId="17500" xr:uid="{00000000-0005-0000-0000-00005C430000}"/>
    <cellStyle name="Normal 203 2 4" xfId="17501" xr:uid="{00000000-0005-0000-0000-00005D430000}"/>
    <cellStyle name="Normal 203 2 4 2" xfId="17502" xr:uid="{00000000-0005-0000-0000-00005E430000}"/>
    <cellStyle name="Normal 203 2 4 2 2" xfId="17503" xr:uid="{00000000-0005-0000-0000-00005F430000}"/>
    <cellStyle name="Normal 203 2 4 3" xfId="17504" xr:uid="{00000000-0005-0000-0000-000060430000}"/>
    <cellStyle name="Normal 203 2 5" xfId="17505" xr:uid="{00000000-0005-0000-0000-000061430000}"/>
    <cellStyle name="Normal 203 2 5 2" xfId="17506" xr:uid="{00000000-0005-0000-0000-000062430000}"/>
    <cellStyle name="Normal 203 2 5 2 2" xfId="17507" xr:uid="{00000000-0005-0000-0000-000063430000}"/>
    <cellStyle name="Normal 203 2 5 3" xfId="17508" xr:uid="{00000000-0005-0000-0000-000064430000}"/>
    <cellStyle name="Normal 203 2 6" xfId="17509" xr:uid="{00000000-0005-0000-0000-000065430000}"/>
    <cellStyle name="Normal 203 2 6 2" xfId="17510" xr:uid="{00000000-0005-0000-0000-000066430000}"/>
    <cellStyle name="Normal 203 2 6 2 2" xfId="17511" xr:uid="{00000000-0005-0000-0000-000067430000}"/>
    <cellStyle name="Normal 203 2 6 3" xfId="17512" xr:uid="{00000000-0005-0000-0000-000068430000}"/>
    <cellStyle name="Normal 203 2 7" xfId="17513" xr:uid="{00000000-0005-0000-0000-000069430000}"/>
    <cellStyle name="Normal 203 3" xfId="17514" xr:uid="{00000000-0005-0000-0000-00006A430000}"/>
    <cellStyle name="Normal 203 3 2" xfId="17515" xr:uid="{00000000-0005-0000-0000-00006B430000}"/>
    <cellStyle name="Normal 203 3 2 2" xfId="17516" xr:uid="{00000000-0005-0000-0000-00006C430000}"/>
    <cellStyle name="Normal 203 3 3" xfId="17517" xr:uid="{00000000-0005-0000-0000-00006D430000}"/>
    <cellStyle name="Normal 203 3 3 2" xfId="17518" xr:uid="{00000000-0005-0000-0000-00006E430000}"/>
    <cellStyle name="Normal 203 3 3 2 2" xfId="17519" xr:uid="{00000000-0005-0000-0000-00006F430000}"/>
    <cellStyle name="Normal 203 3 3 3" xfId="17520" xr:uid="{00000000-0005-0000-0000-000070430000}"/>
    <cellStyle name="Normal 203 3 4" xfId="17521" xr:uid="{00000000-0005-0000-0000-000071430000}"/>
    <cellStyle name="Normal 203 3 4 2" xfId="17522" xr:uid="{00000000-0005-0000-0000-000072430000}"/>
    <cellStyle name="Normal 203 3 4 2 2" xfId="17523" xr:uid="{00000000-0005-0000-0000-000073430000}"/>
    <cellStyle name="Normal 203 3 4 3" xfId="17524" xr:uid="{00000000-0005-0000-0000-000074430000}"/>
    <cellStyle name="Normal 203 3 5" xfId="17525" xr:uid="{00000000-0005-0000-0000-000075430000}"/>
    <cellStyle name="Normal 203 4" xfId="17526" xr:uid="{00000000-0005-0000-0000-000076430000}"/>
    <cellStyle name="Normal 203 4 2" xfId="17527" xr:uid="{00000000-0005-0000-0000-000077430000}"/>
    <cellStyle name="Normal 203 4 2 2" xfId="17528" xr:uid="{00000000-0005-0000-0000-000078430000}"/>
    <cellStyle name="Normal 203 4 2 2 2" xfId="17529" xr:uid="{00000000-0005-0000-0000-000079430000}"/>
    <cellStyle name="Normal 203 4 2 3" xfId="17530" xr:uid="{00000000-0005-0000-0000-00007A430000}"/>
    <cellStyle name="Normal 203 4 2 3 2" xfId="17531" xr:uid="{00000000-0005-0000-0000-00007B430000}"/>
    <cellStyle name="Normal 203 4 2 3 2 2" xfId="17532" xr:uid="{00000000-0005-0000-0000-00007C430000}"/>
    <cellStyle name="Normal 203 4 2 3 3" xfId="17533" xr:uid="{00000000-0005-0000-0000-00007D430000}"/>
    <cellStyle name="Normal 203 4 2 4" xfId="17534" xr:uid="{00000000-0005-0000-0000-00007E430000}"/>
    <cellStyle name="Normal 203 4 3" xfId="17535" xr:uid="{00000000-0005-0000-0000-00007F430000}"/>
    <cellStyle name="Normal 203 4 3 2" xfId="17536" xr:uid="{00000000-0005-0000-0000-000080430000}"/>
    <cellStyle name="Normal 203 4 3 2 2" xfId="17537" xr:uid="{00000000-0005-0000-0000-000081430000}"/>
    <cellStyle name="Normal 203 4 3 3" xfId="17538" xr:uid="{00000000-0005-0000-0000-000082430000}"/>
    <cellStyle name="Normal 203 4 4" xfId="17539" xr:uid="{00000000-0005-0000-0000-000083430000}"/>
    <cellStyle name="Normal 203 4 4 2" xfId="17540" xr:uid="{00000000-0005-0000-0000-000084430000}"/>
    <cellStyle name="Normal 203 4 4 2 2" xfId="17541" xr:uid="{00000000-0005-0000-0000-000085430000}"/>
    <cellStyle name="Normal 203 4 4 3" xfId="17542" xr:uid="{00000000-0005-0000-0000-000086430000}"/>
    <cellStyle name="Normal 203 4 5" xfId="17543" xr:uid="{00000000-0005-0000-0000-000087430000}"/>
    <cellStyle name="Normal 203 4 5 2" xfId="17544" xr:uid="{00000000-0005-0000-0000-000088430000}"/>
    <cellStyle name="Normal 203 4 5 2 2" xfId="17545" xr:uid="{00000000-0005-0000-0000-000089430000}"/>
    <cellStyle name="Normal 203 4 5 3" xfId="17546" xr:uid="{00000000-0005-0000-0000-00008A430000}"/>
    <cellStyle name="Normal 203 4 6" xfId="17547" xr:uid="{00000000-0005-0000-0000-00008B430000}"/>
    <cellStyle name="Normal 203 5" xfId="17548" xr:uid="{00000000-0005-0000-0000-00008C430000}"/>
    <cellStyle name="Normal 203 5 2" xfId="17549" xr:uid="{00000000-0005-0000-0000-00008D430000}"/>
    <cellStyle name="Normal 203 5 2 2" xfId="17550" xr:uid="{00000000-0005-0000-0000-00008E430000}"/>
    <cellStyle name="Normal 203 5 3" xfId="17551" xr:uid="{00000000-0005-0000-0000-00008F430000}"/>
    <cellStyle name="Normal 203 6" xfId="17552" xr:uid="{00000000-0005-0000-0000-000090430000}"/>
    <cellStyle name="Normal 203 6 2" xfId="17553" xr:uid="{00000000-0005-0000-0000-000091430000}"/>
    <cellStyle name="Normal 203 6 2 2" xfId="17554" xr:uid="{00000000-0005-0000-0000-000092430000}"/>
    <cellStyle name="Normal 203 6 3" xfId="17555" xr:uid="{00000000-0005-0000-0000-000093430000}"/>
    <cellStyle name="Normal 203 7" xfId="17556" xr:uid="{00000000-0005-0000-0000-000094430000}"/>
    <cellStyle name="Normal 203 7 2" xfId="17557" xr:uid="{00000000-0005-0000-0000-000095430000}"/>
    <cellStyle name="Normal 203 7 2 2" xfId="17558" xr:uid="{00000000-0005-0000-0000-000096430000}"/>
    <cellStyle name="Normal 203 7 3" xfId="17559" xr:uid="{00000000-0005-0000-0000-000097430000}"/>
    <cellStyle name="Normal 203 8" xfId="17560" xr:uid="{00000000-0005-0000-0000-000098430000}"/>
    <cellStyle name="Normal 204" xfId="17561" xr:uid="{00000000-0005-0000-0000-000099430000}"/>
    <cellStyle name="Normal 204 2" xfId="17562" xr:uid="{00000000-0005-0000-0000-00009A430000}"/>
    <cellStyle name="Normal 204 2 2" xfId="17563" xr:uid="{00000000-0005-0000-0000-00009B430000}"/>
    <cellStyle name="Normal 204 2 2 2" xfId="17564" xr:uid="{00000000-0005-0000-0000-00009C430000}"/>
    <cellStyle name="Normal 204 2 3" xfId="17565" xr:uid="{00000000-0005-0000-0000-00009D430000}"/>
    <cellStyle name="Normal 204 2 3 2" xfId="17566" xr:uid="{00000000-0005-0000-0000-00009E430000}"/>
    <cellStyle name="Normal 204 2 3 2 2" xfId="17567" xr:uid="{00000000-0005-0000-0000-00009F430000}"/>
    <cellStyle name="Normal 204 2 3 3" xfId="17568" xr:uid="{00000000-0005-0000-0000-0000A0430000}"/>
    <cellStyle name="Normal 204 2 4" xfId="17569" xr:uid="{00000000-0005-0000-0000-0000A1430000}"/>
    <cellStyle name="Normal 204 2 4 2" xfId="17570" xr:uid="{00000000-0005-0000-0000-0000A2430000}"/>
    <cellStyle name="Normal 204 2 4 2 2" xfId="17571" xr:uid="{00000000-0005-0000-0000-0000A3430000}"/>
    <cellStyle name="Normal 204 2 4 3" xfId="17572" xr:uid="{00000000-0005-0000-0000-0000A4430000}"/>
    <cellStyle name="Normal 204 2 5" xfId="17573" xr:uid="{00000000-0005-0000-0000-0000A5430000}"/>
    <cellStyle name="Normal 204 3" xfId="17574" xr:uid="{00000000-0005-0000-0000-0000A6430000}"/>
    <cellStyle name="Normal 204 3 2" xfId="17575" xr:uid="{00000000-0005-0000-0000-0000A7430000}"/>
    <cellStyle name="Normal 204 3 2 2" xfId="17576" xr:uid="{00000000-0005-0000-0000-0000A8430000}"/>
    <cellStyle name="Normal 204 3 2 2 2" xfId="17577" xr:uid="{00000000-0005-0000-0000-0000A9430000}"/>
    <cellStyle name="Normal 204 3 2 3" xfId="17578" xr:uid="{00000000-0005-0000-0000-0000AA430000}"/>
    <cellStyle name="Normal 204 3 2 3 2" xfId="17579" xr:uid="{00000000-0005-0000-0000-0000AB430000}"/>
    <cellStyle name="Normal 204 3 2 3 2 2" xfId="17580" xr:uid="{00000000-0005-0000-0000-0000AC430000}"/>
    <cellStyle name="Normal 204 3 2 3 3" xfId="17581" xr:uid="{00000000-0005-0000-0000-0000AD430000}"/>
    <cellStyle name="Normal 204 3 2 4" xfId="17582" xr:uid="{00000000-0005-0000-0000-0000AE430000}"/>
    <cellStyle name="Normal 204 3 3" xfId="17583" xr:uid="{00000000-0005-0000-0000-0000AF430000}"/>
    <cellStyle name="Normal 204 3 3 2" xfId="17584" xr:uid="{00000000-0005-0000-0000-0000B0430000}"/>
    <cellStyle name="Normal 204 3 3 2 2" xfId="17585" xr:uid="{00000000-0005-0000-0000-0000B1430000}"/>
    <cellStyle name="Normal 204 3 3 3" xfId="17586" xr:uid="{00000000-0005-0000-0000-0000B2430000}"/>
    <cellStyle name="Normal 204 3 4" xfId="17587" xr:uid="{00000000-0005-0000-0000-0000B3430000}"/>
    <cellStyle name="Normal 204 3 4 2" xfId="17588" xr:uid="{00000000-0005-0000-0000-0000B4430000}"/>
    <cellStyle name="Normal 204 3 4 2 2" xfId="17589" xr:uid="{00000000-0005-0000-0000-0000B5430000}"/>
    <cellStyle name="Normal 204 3 4 3" xfId="17590" xr:uid="{00000000-0005-0000-0000-0000B6430000}"/>
    <cellStyle name="Normal 204 3 5" xfId="17591" xr:uid="{00000000-0005-0000-0000-0000B7430000}"/>
    <cellStyle name="Normal 204 3 5 2" xfId="17592" xr:uid="{00000000-0005-0000-0000-0000B8430000}"/>
    <cellStyle name="Normal 204 3 5 2 2" xfId="17593" xr:uid="{00000000-0005-0000-0000-0000B9430000}"/>
    <cellStyle name="Normal 204 3 5 3" xfId="17594" xr:uid="{00000000-0005-0000-0000-0000BA430000}"/>
    <cellStyle name="Normal 204 3 6" xfId="17595" xr:uid="{00000000-0005-0000-0000-0000BB430000}"/>
    <cellStyle name="Normal 204 4" xfId="17596" xr:uid="{00000000-0005-0000-0000-0000BC430000}"/>
    <cellStyle name="Normal 204 4 2" xfId="17597" xr:uid="{00000000-0005-0000-0000-0000BD430000}"/>
    <cellStyle name="Normal 204 4 2 2" xfId="17598" xr:uid="{00000000-0005-0000-0000-0000BE430000}"/>
    <cellStyle name="Normal 204 4 3" xfId="17599" xr:uid="{00000000-0005-0000-0000-0000BF430000}"/>
    <cellStyle name="Normal 204 5" xfId="17600" xr:uid="{00000000-0005-0000-0000-0000C0430000}"/>
    <cellStyle name="Normal 204 5 2" xfId="17601" xr:uid="{00000000-0005-0000-0000-0000C1430000}"/>
    <cellStyle name="Normal 204 5 2 2" xfId="17602" xr:uid="{00000000-0005-0000-0000-0000C2430000}"/>
    <cellStyle name="Normal 204 5 3" xfId="17603" xr:uid="{00000000-0005-0000-0000-0000C3430000}"/>
    <cellStyle name="Normal 204 6" xfId="17604" xr:uid="{00000000-0005-0000-0000-0000C4430000}"/>
    <cellStyle name="Normal 204 6 2" xfId="17605" xr:uid="{00000000-0005-0000-0000-0000C5430000}"/>
    <cellStyle name="Normal 204 6 2 2" xfId="17606" xr:uid="{00000000-0005-0000-0000-0000C6430000}"/>
    <cellStyle name="Normal 204 6 3" xfId="17607" xr:uid="{00000000-0005-0000-0000-0000C7430000}"/>
    <cellStyle name="Normal 204 7" xfId="17608" xr:uid="{00000000-0005-0000-0000-0000C8430000}"/>
    <cellStyle name="Normal 205" xfId="17609" xr:uid="{00000000-0005-0000-0000-0000C9430000}"/>
    <cellStyle name="Normal 205 2" xfId="17610" xr:uid="{00000000-0005-0000-0000-0000CA430000}"/>
    <cellStyle name="Normal 205 2 2" xfId="17611" xr:uid="{00000000-0005-0000-0000-0000CB430000}"/>
    <cellStyle name="Normal 205 2 2 2" xfId="17612" xr:uid="{00000000-0005-0000-0000-0000CC430000}"/>
    <cellStyle name="Normal 205 2 3" xfId="17613" xr:uid="{00000000-0005-0000-0000-0000CD430000}"/>
    <cellStyle name="Normal 205 2 3 2" xfId="17614" xr:uid="{00000000-0005-0000-0000-0000CE430000}"/>
    <cellStyle name="Normal 205 2 3 2 2" xfId="17615" xr:uid="{00000000-0005-0000-0000-0000CF430000}"/>
    <cellStyle name="Normal 205 2 3 3" xfId="17616" xr:uid="{00000000-0005-0000-0000-0000D0430000}"/>
    <cellStyle name="Normal 205 2 4" xfId="17617" xr:uid="{00000000-0005-0000-0000-0000D1430000}"/>
    <cellStyle name="Normal 205 2 4 2" xfId="17618" xr:uid="{00000000-0005-0000-0000-0000D2430000}"/>
    <cellStyle name="Normal 205 2 4 2 2" xfId="17619" xr:uid="{00000000-0005-0000-0000-0000D3430000}"/>
    <cellStyle name="Normal 205 2 4 3" xfId="17620" xr:uid="{00000000-0005-0000-0000-0000D4430000}"/>
    <cellStyle name="Normal 205 2 5" xfId="17621" xr:uid="{00000000-0005-0000-0000-0000D5430000}"/>
    <cellStyle name="Normal 205 3" xfId="17622" xr:uid="{00000000-0005-0000-0000-0000D6430000}"/>
    <cellStyle name="Normal 205 3 2" xfId="17623" xr:uid="{00000000-0005-0000-0000-0000D7430000}"/>
    <cellStyle name="Normal 205 3 2 2" xfId="17624" xr:uid="{00000000-0005-0000-0000-0000D8430000}"/>
    <cellStyle name="Normal 205 3 2 2 2" xfId="17625" xr:uid="{00000000-0005-0000-0000-0000D9430000}"/>
    <cellStyle name="Normal 205 3 2 3" xfId="17626" xr:uid="{00000000-0005-0000-0000-0000DA430000}"/>
    <cellStyle name="Normal 205 3 2 3 2" xfId="17627" xr:uid="{00000000-0005-0000-0000-0000DB430000}"/>
    <cellStyle name="Normal 205 3 2 3 2 2" xfId="17628" xr:uid="{00000000-0005-0000-0000-0000DC430000}"/>
    <cellStyle name="Normal 205 3 2 3 3" xfId="17629" xr:uid="{00000000-0005-0000-0000-0000DD430000}"/>
    <cellStyle name="Normal 205 3 2 4" xfId="17630" xr:uid="{00000000-0005-0000-0000-0000DE430000}"/>
    <cellStyle name="Normal 205 3 3" xfId="17631" xr:uid="{00000000-0005-0000-0000-0000DF430000}"/>
    <cellStyle name="Normal 205 3 3 2" xfId="17632" xr:uid="{00000000-0005-0000-0000-0000E0430000}"/>
    <cellStyle name="Normal 205 3 3 2 2" xfId="17633" xr:uid="{00000000-0005-0000-0000-0000E1430000}"/>
    <cellStyle name="Normal 205 3 3 3" xfId="17634" xr:uid="{00000000-0005-0000-0000-0000E2430000}"/>
    <cellStyle name="Normal 205 3 4" xfId="17635" xr:uid="{00000000-0005-0000-0000-0000E3430000}"/>
    <cellStyle name="Normal 205 3 4 2" xfId="17636" xr:uid="{00000000-0005-0000-0000-0000E4430000}"/>
    <cellStyle name="Normal 205 3 4 2 2" xfId="17637" xr:uid="{00000000-0005-0000-0000-0000E5430000}"/>
    <cellStyle name="Normal 205 3 4 3" xfId="17638" xr:uid="{00000000-0005-0000-0000-0000E6430000}"/>
    <cellStyle name="Normal 205 3 5" xfId="17639" xr:uid="{00000000-0005-0000-0000-0000E7430000}"/>
    <cellStyle name="Normal 205 3 5 2" xfId="17640" xr:uid="{00000000-0005-0000-0000-0000E8430000}"/>
    <cellStyle name="Normal 205 3 5 2 2" xfId="17641" xr:uid="{00000000-0005-0000-0000-0000E9430000}"/>
    <cellStyle name="Normal 205 3 5 3" xfId="17642" xr:uid="{00000000-0005-0000-0000-0000EA430000}"/>
    <cellStyle name="Normal 205 3 6" xfId="17643" xr:uid="{00000000-0005-0000-0000-0000EB430000}"/>
    <cellStyle name="Normal 205 4" xfId="17644" xr:uid="{00000000-0005-0000-0000-0000EC430000}"/>
    <cellStyle name="Normal 205 4 2" xfId="17645" xr:uid="{00000000-0005-0000-0000-0000ED430000}"/>
    <cellStyle name="Normal 205 4 2 2" xfId="17646" xr:uid="{00000000-0005-0000-0000-0000EE430000}"/>
    <cellStyle name="Normal 205 4 3" xfId="17647" xr:uid="{00000000-0005-0000-0000-0000EF430000}"/>
    <cellStyle name="Normal 205 5" xfId="17648" xr:uid="{00000000-0005-0000-0000-0000F0430000}"/>
    <cellStyle name="Normal 205 5 2" xfId="17649" xr:uid="{00000000-0005-0000-0000-0000F1430000}"/>
    <cellStyle name="Normal 205 5 2 2" xfId="17650" xr:uid="{00000000-0005-0000-0000-0000F2430000}"/>
    <cellStyle name="Normal 205 5 3" xfId="17651" xr:uid="{00000000-0005-0000-0000-0000F3430000}"/>
    <cellStyle name="Normal 205 6" xfId="17652" xr:uid="{00000000-0005-0000-0000-0000F4430000}"/>
    <cellStyle name="Normal 205 6 2" xfId="17653" xr:uid="{00000000-0005-0000-0000-0000F5430000}"/>
    <cellStyle name="Normal 205 6 2 2" xfId="17654" xr:uid="{00000000-0005-0000-0000-0000F6430000}"/>
    <cellStyle name="Normal 205 6 3" xfId="17655" xr:uid="{00000000-0005-0000-0000-0000F7430000}"/>
    <cellStyle name="Normal 205 7" xfId="17656" xr:uid="{00000000-0005-0000-0000-0000F8430000}"/>
    <cellStyle name="Normal 206" xfId="17657" xr:uid="{00000000-0005-0000-0000-0000F9430000}"/>
    <cellStyle name="Normal 206 2" xfId="17658" xr:uid="{00000000-0005-0000-0000-0000FA430000}"/>
    <cellStyle name="Normal 206 2 2" xfId="17659" xr:uid="{00000000-0005-0000-0000-0000FB430000}"/>
    <cellStyle name="Normal 206 2 2 2" xfId="17660" xr:uid="{00000000-0005-0000-0000-0000FC430000}"/>
    <cellStyle name="Normal 206 2 3" xfId="17661" xr:uid="{00000000-0005-0000-0000-0000FD430000}"/>
    <cellStyle name="Normal 206 2 3 2" xfId="17662" xr:uid="{00000000-0005-0000-0000-0000FE430000}"/>
    <cellStyle name="Normal 206 2 3 2 2" xfId="17663" xr:uid="{00000000-0005-0000-0000-0000FF430000}"/>
    <cellStyle name="Normal 206 2 3 3" xfId="17664" xr:uid="{00000000-0005-0000-0000-000000440000}"/>
    <cellStyle name="Normal 206 2 4" xfId="17665" xr:uid="{00000000-0005-0000-0000-000001440000}"/>
    <cellStyle name="Normal 206 2 4 2" xfId="17666" xr:uid="{00000000-0005-0000-0000-000002440000}"/>
    <cellStyle name="Normal 206 2 4 2 2" xfId="17667" xr:uid="{00000000-0005-0000-0000-000003440000}"/>
    <cellStyle name="Normal 206 2 4 3" xfId="17668" xr:uid="{00000000-0005-0000-0000-000004440000}"/>
    <cellStyle name="Normal 206 2 5" xfId="17669" xr:uid="{00000000-0005-0000-0000-000005440000}"/>
    <cellStyle name="Normal 206 3" xfId="17670" xr:uid="{00000000-0005-0000-0000-000006440000}"/>
    <cellStyle name="Normal 206 3 2" xfId="17671" xr:uid="{00000000-0005-0000-0000-000007440000}"/>
    <cellStyle name="Normal 206 3 2 2" xfId="17672" xr:uid="{00000000-0005-0000-0000-000008440000}"/>
    <cellStyle name="Normal 206 3 2 2 2" xfId="17673" xr:uid="{00000000-0005-0000-0000-000009440000}"/>
    <cellStyle name="Normal 206 3 2 3" xfId="17674" xr:uid="{00000000-0005-0000-0000-00000A440000}"/>
    <cellStyle name="Normal 206 3 2 3 2" xfId="17675" xr:uid="{00000000-0005-0000-0000-00000B440000}"/>
    <cellStyle name="Normal 206 3 2 3 2 2" xfId="17676" xr:uid="{00000000-0005-0000-0000-00000C440000}"/>
    <cellStyle name="Normal 206 3 2 3 3" xfId="17677" xr:uid="{00000000-0005-0000-0000-00000D440000}"/>
    <cellStyle name="Normal 206 3 2 4" xfId="17678" xr:uid="{00000000-0005-0000-0000-00000E440000}"/>
    <cellStyle name="Normal 206 3 3" xfId="17679" xr:uid="{00000000-0005-0000-0000-00000F440000}"/>
    <cellStyle name="Normal 206 3 3 2" xfId="17680" xr:uid="{00000000-0005-0000-0000-000010440000}"/>
    <cellStyle name="Normal 206 3 3 2 2" xfId="17681" xr:uid="{00000000-0005-0000-0000-000011440000}"/>
    <cellStyle name="Normal 206 3 3 3" xfId="17682" xr:uid="{00000000-0005-0000-0000-000012440000}"/>
    <cellStyle name="Normal 206 3 4" xfId="17683" xr:uid="{00000000-0005-0000-0000-000013440000}"/>
    <cellStyle name="Normal 206 3 4 2" xfId="17684" xr:uid="{00000000-0005-0000-0000-000014440000}"/>
    <cellStyle name="Normal 206 3 4 2 2" xfId="17685" xr:uid="{00000000-0005-0000-0000-000015440000}"/>
    <cellStyle name="Normal 206 3 4 3" xfId="17686" xr:uid="{00000000-0005-0000-0000-000016440000}"/>
    <cellStyle name="Normal 206 3 5" xfId="17687" xr:uid="{00000000-0005-0000-0000-000017440000}"/>
    <cellStyle name="Normal 206 3 5 2" xfId="17688" xr:uid="{00000000-0005-0000-0000-000018440000}"/>
    <cellStyle name="Normal 206 3 5 2 2" xfId="17689" xr:uid="{00000000-0005-0000-0000-000019440000}"/>
    <cellStyle name="Normal 206 3 5 3" xfId="17690" xr:uid="{00000000-0005-0000-0000-00001A440000}"/>
    <cellStyle name="Normal 206 3 6" xfId="17691" xr:uid="{00000000-0005-0000-0000-00001B440000}"/>
    <cellStyle name="Normal 206 4" xfId="17692" xr:uid="{00000000-0005-0000-0000-00001C440000}"/>
    <cellStyle name="Normal 206 4 2" xfId="17693" xr:uid="{00000000-0005-0000-0000-00001D440000}"/>
    <cellStyle name="Normal 206 4 2 2" xfId="17694" xr:uid="{00000000-0005-0000-0000-00001E440000}"/>
    <cellStyle name="Normal 206 4 3" xfId="17695" xr:uid="{00000000-0005-0000-0000-00001F440000}"/>
    <cellStyle name="Normal 206 5" xfId="17696" xr:uid="{00000000-0005-0000-0000-000020440000}"/>
    <cellStyle name="Normal 206 5 2" xfId="17697" xr:uid="{00000000-0005-0000-0000-000021440000}"/>
    <cellStyle name="Normal 206 5 2 2" xfId="17698" xr:uid="{00000000-0005-0000-0000-000022440000}"/>
    <cellStyle name="Normal 206 5 3" xfId="17699" xr:uid="{00000000-0005-0000-0000-000023440000}"/>
    <cellStyle name="Normal 206 6" xfId="17700" xr:uid="{00000000-0005-0000-0000-000024440000}"/>
    <cellStyle name="Normal 206 6 2" xfId="17701" xr:uid="{00000000-0005-0000-0000-000025440000}"/>
    <cellStyle name="Normal 206 6 2 2" xfId="17702" xr:uid="{00000000-0005-0000-0000-000026440000}"/>
    <cellStyle name="Normal 206 6 3" xfId="17703" xr:uid="{00000000-0005-0000-0000-000027440000}"/>
    <cellStyle name="Normal 206 7" xfId="17704" xr:uid="{00000000-0005-0000-0000-000028440000}"/>
    <cellStyle name="Normal 207" xfId="17705" xr:uid="{00000000-0005-0000-0000-000029440000}"/>
    <cellStyle name="Normal 207 2" xfId="17706" xr:uid="{00000000-0005-0000-0000-00002A440000}"/>
    <cellStyle name="Normal 207 2 2" xfId="17707" xr:uid="{00000000-0005-0000-0000-00002B440000}"/>
    <cellStyle name="Normal 207 2 2 2" xfId="17708" xr:uid="{00000000-0005-0000-0000-00002C440000}"/>
    <cellStyle name="Normal 207 2 3" xfId="17709" xr:uid="{00000000-0005-0000-0000-00002D440000}"/>
    <cellStyle name="Normal 207 2 3 2" xfId="17710" xr:uid="{00000000-0005-0000-0000-00002E440000}"/>
    <cellStyle name="Normal 207 2 3 2 2" xfId="17711" xr:uid="{00000000-0005-0000-0000-00002F440000}"/>
    <cellStyle name="Normal 207 2 3 3" xfId="17712" xr:uid="{00000000-0005-0000-0000-000030440000}"/>
    <cellStyle name="Normal 207 2 4" xfId="17713" xr:uid="{00000000-0005-0000-0000-000031440000}"/>
    <cellStyle name="Normal 207 2 4 2" xfId="17714" xr:uid="{00000000-0005-0000-0000-000032440000}"/>
    <cellStyle name="Normal 207 2 4 2 2" xfId="17715" xr:uid="{00000000-0005-0000-0000-000033440000}"/>
    <cellStyle name="Normal 207 2 4 3" xfId="17716" xr:uid="{00000000-0005-0000-0000-000034440000}"/>
    <cellStyle name="Normal 207 2 5" xfId="17717" xr:uid="{00000000-0005-0000-0000-000035440000}"/>
    <cellStyle name="Normal 207 3" xfId="17718" xr:uid="{00000000-0005-0000-0000-000036440000}"/>
    <cellStyle name="Normal 207 3 2" xfId="17719" xr:uid="{00000000-0005-0000-0000-000037440000}"/>
    <cellStyle name="Normal 207 3 2 2" xfId="17720" xr:uid="{00000000-0005-0000-0000-000038440000}"/>
    <cellStyle name="Normal 207 3 2 2 2" xfId="17721" xr:uid="{00000000-0005-0000-0000-000039440000}"/>
    <cellStyle name="Normal 207 3 2 3" xfId="17722" xr:uid="{00000000-0005-0000-0000-00003A440000}"/>
    <cellStyle name="Normal 207 3 2 3 2" xfId="17723" xr:uid="{00000000-0005-0000-0000-00003B440000}"/>
    <cellStyle name="Normal 207 3 2 3 2 2" xfId="17724" xr:uid="{00000000-0005-0000-0000-00003C440000}"/>
    <cellStyle name="Normal 207 3 2 3 3" xfId="17725" xr:uid="{00000000-0005-0000-0000-00003D440000}"/>
    <cellStyle name="Normal 207 3 2 4" xfId="17726" xr:uid="{00000000-0005-0000-0000-00003E440000}"/>
    <cellStyle name="Normal 207 3 3" xfId="17727" xr:uid="{00000000-0005-0000-0000-00003F440000}"/>
    <cellStyle name="Normal 207 3 3 2" xfId="17728" xr:uid="{00000000-0005-0000-0000-000040440000}"/>
    <cellStyle name="Normal 207 3 3 2 2" xfId="17729" xr:uid="{00000000-0005-0000-0000-000041440000}"/>
    <cellStyle name="Normal 207 3 3 3" xfId="17730" xr:uid="{00000000-0005-0000-0000-000042440000}"/>
    <cellStyle name="Normal 207 3 4" xfId="17731" xr:uid="{00000000-0005-0000-0000-000043440000}"/>
    <cellStyle name="Normal 207 3 4 2" xfId="17732" xr:uid="{00000000-0005-0000-0000-000044440000}"/>
    <cellStyle name="Normal 207 3 4 2 2" xfId="17733" xr:uid="{00000000-0005-0000-0000-000045440000}"/>
    <cellStyle name="Normal 207 3 4 3" xfId="17734" xr:uid="{00000000-0005-0000-0000-000046440000}"/>
    <cellStyle name="Normal 207 3 5" xfId="17735" xr:uid="{00000000-0005-0000-0000-000047440000}"/>
    <cellStyle name="Normal 207 3 5 2" xfId="17736" xr:uid="{00000000-0005-0000-0000-000048440000}"/>
    <cellStyle name="Normal 207 3 5 2 2" xfId="17737" xr:uid="{00000000-0005-0000-0000-000049440000}"/>
    <cellStyle name="Normal 207 3 5 3" xfId="17738" xr:uid="{00000000-0005-0000-0000-00004A440000}"/>
    <cellStyle name="Normal 207 3 6" xfId="17739" xr:uid="{00000000-0005-0000-0000-00004B440000}"/>
    <cellStyle name="Normal 207 4" xfId="17740" xr:uid="{00000000-0005-0000-0000-00004C440000}"/>
    <cellStyle name="Normal 207 4 2" xfId="17741" xr:uid="{00000000-0005-0000-0000-00004D440000}"/>
    <cellStyle name="Normal 207 4 2 2" xfId="17742" xr:uid="{00000000-0005-0000-0000-00004E440000}"/>
    <cellStyle name="Normal 207 4 3" xfId="17743" xr:uid="{00000000-0005-0000-0000-00004F440000}"/>
    <cellStyle name="Normal 207 5" xfId="17744" xr:uid="{00000000-0005-0000-0000-000050440000}"/>
    <cellStyle name="Normal 207 5 2" xfId="17745" xr:uid="{00000000-0005-0000-0000-000051440000}"/>
    <cellStyle name="Normal 207 5 2 2" xfId="17746" xr:uid="{00000000-0005-0000-0000-000052440000}"/>
    <cellStyle name="Normal 207 5 3" xfId="17747" xr:uid="{00000000-0005-0000-0000-000053440000}"/>
    <cellStyle name="Normal 207 6" xfId="17748" xr:uid="{00000000-0005-0000-0000-000054440000}"/>
    <cellStyle name="Normal 207 6 2" xfId="17749" xr:uid="{00000000-0005-0000-0000-000055440000}"/>
    <cellStyle name="Normal 207 6 2 2" xfId="17750" xr:uid="{00000000-0005-0000-0000-000056440000}"/>
    <cellStyle name="Normal 207 6 3" xfId="17751" xr:uid="{00000000-0005-0000-0000-000057440000}"/>
    <cellStyle name="Normal 207 7" xfId="17752" xr:uid="{00000000-0005-0000-0000-000058440000}"/>
    <cellStyle name="Normal 208" xfId="17753" xr:uid="{00000000-0005-0000-0000-000059440000}"/>
    <cellStyle name="Normal 208 2" xfId="17754" xr:uid="{00000000-0005-0000-0000-00005A440000}"/>
    <cellStyle name="Normal 208 2 2" xfId="17755" xr:uid="{00000000-0005-0000-0000-00005B440000}"/>
    <cellStyle name="Normal 208 2 2 2" xfId="17756" xr:uid="{00000000-0005-0000-0000-00005C440000}"/>
    <cellStyle name="Normal 208 2 3" xfId="17757" xr:uid="{00000000-0005-0000-0000-00005D440000}"/>
    <cellStyle name="Normal 208 2 3 2" xfId="17758" xr:uid="{00000000-0005-0000-0000-00005E440000}"/>
    <cellStyle name="Normal 208 2 3 2 2" xfId="17759" xr:uid="{00000000-0005-0000-0000-00005F440000}"/>
    <cellStyle name="Normal 208 2 3 3" xfId="17760" xr:uid="{00000000-0005-0000-0000-000060440000}"/>
    <cellStyle name="Normal 208 2 4" xfId="17761" xr:uid="{00000000-0005-0000-0000-000061440000}"/>
    <cellStyle name="Normal 208 2 4 2" xfId="17762" xr:uid="{00000000-0005-0000-0000-000062440000}"/>
    <cellStyle name="Normal 208 2 4 2 2" xfId="17763" xr:uid="{00000000-0005-0000-0000-000063440000}"/>
    <cellStyle name="Normal 208 2 4 3" xfId="17764" xr:uid="{00000000-0005-0000-0000-000064440000}"/>
    <cellStyle name="Normal 208 2 5" xfId="17765" xr:uid="{00000000-0005-0000-0000-000065440000}"/>
    <cellStyle name="Normal 208 3" xfId="17766" xr:uid="{00000000-0005-0000-0000-000066440000}"/>
    <cellStyle name="Normal 208 3 2" xfId="17767" xr:uid="{00000000-0005-0000-0000-000067440000}"/>
    <cellStyle name="Normal 208 3 2 2" xfId="17768" xr:uid="{00000000-0005-0000-0000-000068440000}"/>
    <cellStyle name="Normal 208 3 2 2 2" xfId="17769" xr:uid="{00000000-0005-0000-0000-000069440000}"/>
    <cellStyle name="Normal 208 3 2 3" xfId="17770" xr:uid="{00000000-0005-0000-0000-00006A440000}"/>
    <cellStyle name="Normal 208 3 2 3 2" xfId="17771" xr:uid="{00000000-0005-0000-0000-00006B440000}"/>
    <cellStyle name="Normal 208 3 2 3 2 2" xfId="17772" xr:uid="{00000000-0005-0000-0000-00006C440000}"/>
    <cellStyle name="Normal 208 3 2 3 3" xfId="17773" xr:uid="{00000000-0005-0000-0000-00006D440000}"/>
    <cellStyle name="Normal 208 3 2 4" xfId="17774" xr:uid="{00000000-0005-0000-0000-00006E440000}"/>
    <cellStyle name="Normal 208 3 3" xfId="17775" xr:uid="{00000000-0005-0000-0000-00006F440000}"/>
    <cellStyle name="Normal 208 3 3 2" xfId="17776" xr:uid="{00000000-0005-0000-0000-000070440000}"/>
    <cellStyle name="Normal 208 3 3 2 2" xfId="17777" xr:uid="{00000000-0005-0000-0000-000071440000}"/>
    <cellStyle name="Normal 208 3 3 3" xfId="17778" xr:uid="{00000000-0005-0000-0000-000072440000}"/>
    <cellStyle name="Normal 208 3 4" xfId="17779" xr:uid="{00000000-0005-0000-0000-000073440000}"/>
    <cellStyle name="Normal 208 3 4 2" xfId="17780" xr:uid="{00000000-0005-0000-0000-000074440000}"/>
    <cellStyle name="Normal 208 3 4 2 2" xfId="17781" xr:uid="{00000000-0005-0000-0000-000075440000}"/>
    <cellStyle name="Normal 208 3 4 3" xfId="17782" xr:uid="{00000000-0005-0000-0000-000076440000}"/>
    <cellStyle name="Normal 208 3 5" xfId="17783" xr:uid="{00000000-0005-0000-0000-000077440000}"/>
    <cellStyle name="Normal 208 3 5 2" xfId="17784" xr:uid="{00000000-0005-0000-0000-000078440000}"/>
    <cellStyle name="Normal 208 3 5 2 2" xfId="17785" xr:uid="{00000000-0005-0000-0000-000079440000}"/>
    <cellStyle name="Normal 208 3 5 3" xfId="17786" xr:uid="{00000000-0005-0000-0000-00007A440000}"/>
    <cellStyle name="Normal 208 3 6" xfId="17787" xr:uid="{00000000-0005-0000-0000-00007B440000}"/>
    <cellStyle name="Normal 208 4" xfId="17788" xr:uid="{00000000-0005-0000-0000-00007C440000}"/>
    <cellStyle name="Normal 208 4 2" xfId="17789" xr:uid="{00000000-0005-0000-0000-00007D440000}"/>
    <cellStyle name="Normal 208 4 2 2" xfId="17790" xr:uid="{00000000-0005-0000-0000-00007E440000}"/>
    <cellStyle name="Normal 208 4 3" xfId="17791" xr:uid="{00000000-0005-0000-0000-00007F440000}"/>
    <cellStyle name="Normal 208 5" xfId="17792" xr:uid="{00000000-0005-0000-0000-000080440000}"/>
    <cellStyle name="Normal 208 5 2" xfId="17793" xr:uid="{00000000-0005-0000-0000-000081440000}"/>
    <cellStyle name="Normal 208 5 2 2" xfId="17794" xr:uid="{00000000-0005-0000-0000-000082440000}"/>
    <cellStyle name="Normal 208 5 3" xfId="17795" xr:uid="{00000000-0005-0000-0000-000083440000}"/>
    <cellStyle name="Normal 208 6" xfId="17796" xr:uid="{00000000-0005-0000-0000-000084440000}"/>
    <cellStyle name="Normal 208 6 2" xfId="17797" xr:uid="{00000000-0005-0000-0000-000085440000}"/>
    <cellStyle name="Normal 208 6 2 2" xfId="17798" xr:uid="{00000000-0005-0000-0000-000086440000}"/>
    <cellStyle name="Normal 208 6 3" xfId="17799" xr:uid="{00000000-0005-0000-0000-000087440000}"/>
    <cellStyle name="Normal 208 7" xfId="17800" xr:uid="{00000000-0005-0000-0000-000088440000}"/>
    <cellStyle name="Normal 209" xfId="17801" xr:uid="{00000000-0005-0000-0000-000089440000}"/>
    <cellStyle name="Normal 209 2" xfId="17802" xr:uid="{00000000-0005-0000-0000-00008A440000}"/>
    <cellStyle name="Normal 209 2 2" xfId="17803" xr:uid="{00000000-0005-0000-0000-00008B440000}"/>
    <cellStyle name="Normal 209 2 2 2" xfId="17804" xr:uid="{00000000-0005-0000-0000-00008C440000}"/>
    <cellStyle name="Normal 209 2 3" xfId="17805" xr:uid="{00000000-0005-0000-0000-00008D440000}"/>
    <cellStyle name="Normal 209 2 3 2" xfId="17806" xr:uid="{00000000-0005-0000-0000-00008E440000}"/>
    <cellStyle name="Normal 209 2 3 2 2" xfId="17807" xr:uid="{00000000-0005-0000-0000-00008F440000}"/>
    <cellStyle name="Normal 209 2 3 3" xfId="17808" xr:uid="{00000000-0005-0000-0000-000090440000}"/>
    <cellStyle name="Normal 209 2 4" xfId="17809" xr:uid="{00000000-0005-0000-0000-000091440000}"/>
    <cellStyle name="Normal 209 2 4 2" xfId="17810" xr:uid="{00000000-0005-0000-0000-000092440000}"/>
    <cellStyle name="Normal 209 2 4 2 2" xfId="17811" xr:uid="{00000000-0005-0000-0000-000093440000}"/>
    <cellStyle name="Normal 209 2 4 3" xfId="17812" xr:uid="{00000000-0005-0000-0000-000094440000}"/>
    <cellStyle name="Normal 209 2 5" xfId="17813" xr:uid="{00000000-0005-0000-0000-000095440000}"/>
    <cellStyle name="Normal 209 3" xfId="17814" xr:uid="{00000000-0005-0000-0000-000096440000}"/>
    <cellStyle name="Normal 209 3 2" xfId="17815" xr:uid="{00000000-0005-0000-0000-000097440000}"/>
    <cellStyle name="Normal 209 3 2 2" xfId="17816" xr:uid="{00000000-0005-0000-0000-000098440000}"/>
    <cellStyle name="Normal 209 3 2 2 2" xfId="17817" xr:uid="{00000000-0005-0000-0000-000099440000}"/>
    <cellStyle name="Normal 209 3 2 3" xfId="17818" xr:uid="{00000000-0005-0000-0000-00009A440000}"/>
    <cellStyle name="Normal 209 3 2 3 2" xfId="17819" xr:uid="{00000000-0005-0000-0000-00009B440000}"/>
    <cellStyle name="Normal 209 3 2 3 2 2" xfId="17820" xr:uid="{00000000-0005-0000-0000-00009C440000}"/>
    <cellStyle name="Normal 209 3 2 3 3" xfId="17821" xr:uid="{00000000-0005-0000-0000-00009D440000}"/>
    <cellStyle name="Normal 209 3 2 4" xfId="17822" xr:uid="{00000000-0005-0000-0000-00009E440000}"/>
    <cellStyle name="Normal 209 3 3" xfId="17823" xr:uid="{00000000-0005-0000-0000-00009F440000}"/>
    <cellStyle name="Normal 209 3 3 2" xfId="17824" xr:uid="{00000000-0005-0000-0000-0000A0440000}"/>
    <cellStyle name="Normal 209 3 3 2 2" xfId="17825" xr:uid="{00000000-0005-0000-0000-0000A1440000}"/>
    <cellStyle name="Normal 209 3 3 3" xfId="17826" xr:uid="{00000000-0005-0000-0000-0000A2440000}"/>
    <cellStyle name="Normal 209 3 4" xfId="17827" xr:uid="{00000000-0005-0000-0000-0000A3440000}"/>
    <cellStyle name="Normal 209 3 4 2" xfId="17828" xr:uid="{00000000-0005-0000-0000-0000A4440000}"/>
    <cellStyle name="Normal 209 3 4 2 2" xfId="17829" xr:uid="{00000000-0005-0000-0000-0000A5440000}"/>
    <cellStyle name="Normal 209 3 4 3" xfId="17830" xr:uid="{00000000-0005-0000-0000-0000A6440000}"/>
    <cellStyle name="Normal 209 3 5" xfId="17831" xr:uid="{00000000-0005-0000-0000-0000A7440000}"/>
    <cellStyle name="Normal 209 3 5 2" xfId="17832" xr:uid="{00000000-0005-0000-0000-0000A8440000}"/>
    <cellStyle name="Normal 209 3 5 2 2" xfId="17833" xr:uid="{00000000-0005-0000-0000-0000A9440000}"/>
    <cellStyle name="Normal 209 3 5 3" xfId="17834" xr:uid="{00000000-0005-0000-0000-0000AA440000}"/>
    <cellStyle name="Normal 209 3 6" xfId="17835" xr:uid="{00000000-0005-0000-0000-0000AB440000}"/>
    <cellStyle name="Normal 209 4" xfId="17836" xr:uid="{00000000-0005-0000-0000-0000AC440000}"/>
    <cellStyle name="Normal 209 4 2" xfId="17837" xr:uid="{00000000-0005-0000-0000-0000AD440000}"/>
    <cellStyle name="Normal 209 4 2 2" xfId="17838" xr:uid="{00000000-0005-0000-0000-0000AE440000}"/>
    <cellStyle name="Normal 209 4 3" xfId="17839" xr:uid="{00000000-0005-0000-0000-0000AF440000}"/>
    <cellStyle name="Normal 209 5" xfId="17840" xr:uid="{00000000-0005-0000-0000-0000B0440000}"/>
    <cellStyle name="Normal 209 5 2" xfId="17841" xr:uid="{00000000-0005-0000-0000-0000B1440000}"/>
    <cellStyle name="Normal 209 5 2 2" xfId="17842" xr:uid="{00000000-0005-0000-0000-0000B2440000}"/>
    <cellStyle name="Normal 209 5 3" xfId="17843" xr:uid="{00000000-0005-0000-0000-0000B3440000}"/>
    <cellStyle name="Normal 209 6" xfId="17844" xr:uid="{00000000-0005-0000-0000-0000B4440000}"/>
    <cellStyle name="Normal 209 6 2" xfId="17845" xr:uid="{00000000-0005-0000-0000-0000B5440000}"/>
    <cellStyle name="Normal 209 6 2 2" xfId="17846" xr:uid="{00000000-0005-0000-0000-0000B6440000}"/>
    <cellStyle name="Normal 209 6 3" xfId="17847" xr:uid="{00000000-0005-0000-0000-0000B7440000}"/>
    <cellStyle name="Normal 209 7" xfId="17848" xr:uid="{00000000-0005-0000-0000-0000B8440000}"/>
    <cellStyle name="Normal 21" xfId="17849" xr:uid="{00000000-0005-0000-0000-0000B9440000}"/>
    <cellStyle name="Normal 21 2" xfId="17850" xr:uid="{00000000-0005-0000-0000-0000BA440000}"/>
    <cellStyle name="Normal 21 2 2" xfId="17851" xr:uid="{00000000-0005-0000-0000-0000BB440000}"/>
    <cellStyle name="Normal 21 2 2 2" xfId="17852" xr:uid="{00000000-0005-0000-0000-0000BC440000}"/>
    <cellStyle name="Normal 21 2 2 2 2" xfId="17853" xr:uid="{00000000-0005-0000-0000-0000BD440000}"/>
    <cellStyle name="Normal 21 2 2 3" xfId="17854" xr:uid="{00000000-0005-0000-0000-0000BE440000}"/>
    <cellStyle name="Normal 21 2 2 3 2" xfId="17855" xr:uid="{00000000-0005-0000-0000-0000BF440000}"/>
    <cellStyle name="Normal 21 2 2 3 2 2" xfId="17856" xr:uid="{00000000-0005-0000-0000-0000C0440000}"/>
    <cellStyle name="Normal 21 2 2 3 3" xfId="17857" xr:uid="{00000000-0005-0000-0000-0000C1440000}"/>
    <cellStyle name="Normal 21 2 2 4" xfId="17858" xr:uid="{00000000-0005-0000-0000-0000C2440000}"/>
    <cellStyle name="Normal 21 2 2 4 2" xfId="17859" xr:uid="{00000000-0005-0000-0000-0000C3440000}"/>
    <cellStyle name="Normal 21 2 2 4 2 2" xfId="17860" xr:uid="{00000000-0005-0000-0000-0000C4440000}"/>
    <cellStyle name="Normal 21 2 2 4 3" xfId="17861" xr:uid="{00000000-0005-0000-0000-0000C5440000}"/>
    <cellStyle name="Normal 21 2 2 5" xfId="17862" xr:uid="{00000000-0005-0000-0000-0000C6440000}"/>
    <cellStyle name="Normal 21 2 3" xfId="17863" xr:uid="{00000000-0005-0000-0000-0000C7440000}"/>
    <cellStyle name="Normal 21 2 3 2" xfId="17864" xr:uid="{00000000-0005-0000-0000-0000C8440000}"/>
    <cellStyle name="Normal 21 2 3 2 2" xfId="17865" xr:uid="{00000000-0005-0000-0000-0000C9440000}"/>
    <cellStyle name="Normal 21 2 3 3" xfId="17866" xr:uid="{00000000-0005-0000-0000-0000CA440000}"/>
    <cellStyle name="Normal 21 2 4" xfId="17867" xr:uid="{00000000-0005-0000-0000-0000CB440000}"/>
    <cellStyle name="Normal 21 2 4 2" xfId="17868" xr:uid="{00000000-0005-0000-0000-0000CC440000}"/>
    <cellStyle name="Normal 21 2 4 2 2" xfId="17869" xr:uid="{00000000-0005-0000-0000-0000CD440000}"/>
    <cellStyle name="Normal 21 2 4 3" xfId="17870" xr:uid="{00000000-0005-0000-0000-0000CE440000}"/>
    <cellStyle name="Normal 21 2 5" xfId="17871" xr:uid="{00000000-0005-0000-0000-0000CF440000}"/>
    <cellStyle name="Normal 21 2 5 2" xfId="17872" xr:uid="{00000000-0005-0000-0000-0000D0440000}"/>
    <cellStyle name="Normal 21 2 5 2 2" xfId="17873" xr:uid="{00000000-0005-0000-0000-0000D1440000}"/>
    <cellStyle name="Normal 21 2 5 3" xfId="17874" xr:uid="{00000000-0005-0000-0000-0000D2440000}"/>
    <cellStyle name="Normal 21 2 6" xfId="17875" xr:uid="{00000000-0005-0000-0000-0000D3440000}"/>
    <cellStyle name="Normal 21 3" xfId="17876" xr:uid="{00000000-0005-0000-0000-0000D4440000}"/>
    <cellStyle name="Normal 21 3 2" xfId="17877" xr:uid="{00000000-0005-0000-0000-0000D5440000}"/>
    <cellStyle name="Normal 21 3 2 2" xfId="17878" xr:uid="{00000000-0005-0000-0000-0000D6440000}"/>
    <cellStyle name="Normal 21 3 3" xfId="17879" xr:uid="{00000000-0005-0000-0000-0000D7440000}"/>
    <cellStyle name="Normal 21 3 3 2" xfId="17880" xr:uid="{00000000-0005-0000-0000-0000D8440000}"/>
    <cellStyle name="Normal 21 3 3 2 2" xfId="17881" xr:uid="{00000000-0005-0000-0000-0000D9440000}"/>
    <cellStyle name="Normal 21 3 3 3" xfId="17882" xr:uid="{00000000-0005-0000-0000-0000DA440000}"/>
    <cellStyle name="Normal 21 3 4" xfId="17883" xr:uid="{00000000-0005-0000-0000-0000DB440000}"/>
    <cellStyle name="Normal 21 3 4 2" xfId="17884" xr:uid="{00000000-0005-0000-0000-0000DC440000}"/>
    <cellStyle name="Normal 21 3 4 2 2" xfId="17885" xr:uid="{00000000-0005-0000-0000-0000DD440000}"/>
    <cellStyle name="Normal 21 3 4 3" xfId="17886" xr:uid="{00000000-0005-0000-0000-0000DE440000}"/>
    <cellStyle name="Normal 21 3 5" xfId="17887" xr:uid="{00000000-0005-0000-0000-0000DF440000}"/>
    <cellStyle name="Normal 21 4" xfId="17888" xr:uid="{00000000-0005-0000-0000-0000E0440000}"/>
    <cellStyle name="Normal 21 4 2" xfId="17889" xr:uid="{00000000-0005-0000-0000-0000E1440000}"/>
    <cellStyle name="Normal 21 4 2 2" xfId="17890" xr:uid="{00000000-0005-0000-0000-0000E2440000}"/>
    <cellStyle name="Normal 21 4 2 2 2" xfId="17891" xr:uid="{00000000-0005-0000-0000-0000E3440000}"/>
    <cellStyle name="Normal 21 4 2 3" xfId="17892" xr:uid="{00000000-0005-0000-0000-0000E4440000}"/>
    <cellStyle name="Normal 21 4 2 3 2" xfId="17893" xr:uid="{00000000-0005-0000-0000-0000E5440000}"/>
    <cellStyle name="Normal 21 4 2 3 2 2" xfId="17894" xr:uid="{00000000-0005-0000-0000-0000E6440000}"/>
    <cellStyle name="Normal 21 4 2 3 3" xfId="17895" xr:uid="{00000000-0005-0000-0000-0000E7440000}"/>
    <cellStyle name="Normal 21 4 2 4" xfId="17896" xr:uid="{00000000-0005-0000-0000-0000E8440000}"/>
    <cellStyle name="Normal 21 4 3" xfId="17897" xr:uid="{00000000-0005-0000-0000-0000E9440000}"/>
    <cellStyle name="Normal 21 4 3 2" xfId="17898" xr:uid="{00000000-0005-0000-0000-0000EA440000}"/>
    <cellStyle name="Normal 21 4 3 2 2" xfId="17899" xr:uid="{00000000-0005-0000-0000-0000EB440000}"/>
    <cellStyle name="Normal 21 4 3 3" xfId="17900" xr:uid="{00000000-0005-0000-0000-0000EC440000}"/>
    <cellStyle name="Normal 21 4 4" xfId="17901" xr:uid="{00000000-0005-0000-0000-0000ED440000}"/>
    <cellStyle name="Normal 21 4 4 2" xfId="17902" xr:uid="{00000000-0005-0000-0000-0000EE440000}"/>
    <cellStyle name="Normal 21 4 4 2 2" xfId="17903" xr:uid="{00000000-0005-0000-0000-0000EF440000}"/>
    <cellStyle name="Normal 21 4 4 3" xfId="17904" xr:uid="{00000000-0005-0000-0000-0000F0440000}"/>
    <cellStyle name="Normal 21 4 5" xfId="17905" xr:uid="{00000000-0005-0000-0000-0000F1440000}"/>
    <cellStyle name="Normal 21 4 5 2" xfId="17906" xr:uid="{00000000-0005-0000-0000-0000F2440000}"/>
    <cellStyle name="Normal 21 4 5 2 2" xfId="17907" xr:uid="{00000000-0005-0000-0000-0000F3440000}"/>
    <cellStyle name="Normal 21 4 5 3" xfId="17908" xr:uid="{00000000-0005-0000-0000-0000F4440000}"/>
    <cellStyle name="Normal 21 4 6" xfId="17909" xr:uid="{00000000-0005-0000-0000-0000F5440000}"/>
    <cellStyle name="Normal 21 5" xfId="17910" xr:uid="{00000000-0005-0000-0000-0000F6440000}"/>
    <cellStyle name="Normal 210" xfId="17911" xr:uid="{00000000-0005-0000-0000-0000F7440000}"/>
    <cellStyle name="Normal 210 2" xfId="17912" xr:uid="{00000000-0005-0000-0000-0000F8440000}"/>
    <cellStyle name="Normal 210 2 2" xfId="17913" xr:uid="{00000000-0005-0000-0000-0000F9440000}"/>
    <cellStyle name="Normal 210 2 2 2" xfId="17914" xr:uid="{00000000-0005-0000-0000-0000FA440000}"/>
    <cellStyle name="Normal 210 2 3" xfId="17915" xr:uid="{00000000-0005-0000-0000-0000FB440000}"/>
    <cellStyle name="Normal 210 2 3 2" xfId="17916" xr:uid="{00000000-0005-0000-0000-0000FC440000}"/>
    <cellStyle name="Normal 210 2 3 2 2" xfId="17917" xr:uid="{00000000-0005-0000-0000-0000FD440000}"/>
    <cellStyle name="Normal 210 2 3 3" xfId="17918" xr:uid="{00000000-0005-0000-0000-0000FE440000}"/>
    <cellStyle name="Normal 210 2 4" xfId="17919" xr:uid="{00000000-0005-0000-0000-0000FF440000}"/>
    <cellStyle name="Normal 210 2 4 2" xfId="17920" xr:uid="{00000000-0005-0000-0000-000000450000}"/>
    <cellStyle name="Normal 210 2 4 2 2" xfId="17921" xr:uid="{00000000-0005-0000-0000-000001450000}"/>
    <cellStyle name="Normal 210 2 4 3" xfId="17922" xr:uid="{00000000-0005-0000-0000-000002450000}"/>
    <cellStyle name="Normal 210 2 5" xfId="17923" xr:uid="{00000000-0005-0000-0000-000003450000}"/>
    <cellStyle name="Normal 210 3" xfId="17924" xr:uid="{00000000-0005-0000-0000-000004450000}"/>
    <cellStyle name="Normal 210 3 2" xfId="17925" xr:uid="{00000000-0005-0000-0000-000005450000}"/>
    <cellStyle name="Normal 210 3 2 2" xfId="17926" xr:uid="{00000000-0005-0000-0000-000006450000}"/>
    <cellStyle name="Normal 210 3 2 2 2" xfId="17927" xr:uid="{00000000-0005-0000-0000-000007450000}"/>
    <cellStyle name="Normal 210 3 2 3" xfId="17928" xr:uid="{00000000-0005-0000-0000-000008450000}"/>
    <cellStyle name="Normal 210 3 2 3 2" xfId="17929" xr:uid="{00000000-0005-0000-0000-000009450000}"/>
    <cellStyle name="Normal 210 3 2 3 2 2" xfId="17930" xr:uid="{00000000-0005-0000-0000-00000A450000}"/>
    <cellStyle name="Normal 210 3 2 3 3" xfId="17931" xr:uid="{00000000-0005-0000-0000-00000B450000}"/>
    <cellStyle name="Normal 210 3 2 4" xfId="17932" xr:uid="{00000000-0005-0000-0000-00000C450000}"/>
    <cellStyle name="Normal 210 3 3" xfId="17933" xr:uid="{00000000-0005-0000-0000-00000D450000}"/>
    <cellStyle name="Normal 210 3 3 2" xfId="17934" xr:uid="{00000000-0005-0000-0000-00000E450000}"/>
    <cellStyle name="Normal 210 3 3 2 2" xfId="17935" xr:uid="{00000000-0005-0000-0000-00000F450000}"/>
    <cellStyle name="Normal 210 3 3 3" xfId="17936" xr:uid="{00000000-0005-0000-0000-000010450000}"/>
    <cellStyle name="Normal 210 3 4" xfId="17937" xr:uid="{00000000-0005-0000-0000-000011450000}"/>
    <cellStyle name="Normal 210 3 4 2" xfId="17938" xr:uid="{00000000-0005-0000-0000-000012450000}"/>
    <cellStyle name="Normal 210 3 4 2 2" xfId="17939" xr:uid="{00000000-0005-0000-0000-000013450000}"/>
    <cellStyle name="Normal 210 3 4 3" xfId="17940" xr:uid="{00000000-0005-0000-0000-000014450000}"/>
    <cellStyle name="Normal 210 3 5" xfId="17941" xr:uid="{00000000-0005-0000-0000-000015450000}"/>
    <cellStyle name="Normal 210 3 5 2" xfId="17942" xr:uid="{00000000-0005-0000-0000-000016450000}"/>
    <cellStyle name="Normal 210 3 5 2 2" xfId="17943" xr:uid="{00000000-0005-0000-0000-000017450000}"/>
    <cellStyle name="Normal 210 3 5 3" xfId="17944" xr:uid="{00000000-0005-0000-0000-000018450000}"/>
    <cellStyle name="Normal 210 3 6" xfId="17945" xr:uid="{00000000-0005-0000-0000-000019450000}"/>
    <cellStyle name="Normal 210 4" xfId="17946" xr:uid="{00000000-0005-0000-0000-00001A450000}"/>
    <cellStyle name="Normal 210 4 2" xfId="17947" xr:uid="{00000000-0005-0000-0000-00001B450000}"/>
    <cellStyle name="Normal 210 4 2 2" xfId="17948" xr:uid="{00000000-0005-0000-0000-00001C450000}"/>
    <cellStyle name="Normal 210 4 3" xfId="17949" xr:uid="{00000000-0005-0000-0000-00001D450000}"/>
    <cellStyle name="Normal 210 5" xfId="17950" xr:uid="{00000000-0005-0000-0000-00001E450000}"/>
    <cellStyle name="Normal 210 5 2" xfId="17951" xr:uid="{00000000-0005-0000-0000-00001F450000}"/>
    <cellStyle name="Normal 210 5 2 2" xfId="17952" xr:uid="{00000000-0005-0000-0000-000020450000}"/>
    <cellStyle name="Normal 210 5 3" xfId="17953" xr:uid="{00000000-0005-0000-0000-000021450000}"/>
    <cellStyle name="Normal 210 6" xfId="17954" xr:uid="{00000000-0005-0000-0000-000022450000}"/>
    <cellStyle name="Normal 210 6 2" xfId="17955" xr:uid="{00000000-0005-0000-0000-000023450000}"/>
    <cellStyle name="Normal 210 6 2 2" xfId="17956" xr:uid="{00000000-0005-0000-0000-000024450000}"/>
    <cellStyle name="Normal 210 6 3" xfId="17957" xr:uid="{00000000-0005-0000-0000-000025450000}"/>
    <cellStyle name="Normal 210 7" xfId="17958" xr:uid="{00000000-0005-0000-0000-000026450000}"/>
    <cellStyle name="Normal 211" xfId="17959" xr:uid="{00000000-0005-0000-0000-000027450000}"/>
    <cellStyle name="Normal 211 2" xfId="17960" xr:uid="{00000000-0005-0000-0000-000028450000}"/>
    <cellStyle name="Normal 211 2 2" xfId="17961" xr:uid="{00000000-0005-0000-0000-000029450000}"/>
    <cellStyle name="Normal 211 2 2 2" xfId="17962" xr:uid="{00000000-0005-0000-0000-00002A450000}"/>
    <cellStyle name="Normal 211 2 3" xfId="17963" xr:uid="{00000000-0005-0000-0000-00002B450000}"/>
    <cellStyle name="Normal 211 2 3 2" xfId="17964" xr:uid="{00000000-0005-0000-0000-00002C450000}"/>
    <cellStyle name="Normal 211 2 3 2 2" xfId="17965" xr:uid="{00000000-0005-0000-0000-00002D450000}"/>
    <cellStyle name="Normal 211 2 3 3" xfId="17966" xr:uid="{00000000-0005-0000-0000-00002E450000}"/>
    <cellStyle name="Normal 211 2 4" xfId="17967" xr:uid="{00000000-0005-0000-0000-00002F450000}"/>
    <cellStyle name="Normal 211 2 4 2" xfId="17968" xr:uid="{00000000-0005-0000-0000-000030450000}"/>
    <cellStyle name="Normal 211 2 4 2 2" xfId="17969" xr:uid="{00000000-0005-0000-0000-000031450000}"/>
    <cellStyle name="Normal 211 2 4 3" xfId="17970" xr:uid="{00000000-0005-0000-0000-000032450000}"/>
    <cellStyle name="Normal 211 2 5" xfId="17971" xr:uid="{00000000-0005-0000-0000-000033450000}"/>
    <cellStyle name="Normal 211 3" xfId="17972" xr:uid="{00000000-0005-0000-0000-000034450000}"/>
    <cellStyle name="Normal 211 3 2" xfId="17973" xr:uid="{00000000-0005-0000-0000-000035450000}"/>
    <cellStyle name="Normal 211 3 2 2" xfId="17974" xr:uid="{00000000-0005-0000-0000-000036450000}"/>
    <cellStyle name="Normal 211 3 2 2 2" xfId="17975" xr:uid="{00000000-0005-0000-0000-000037450000}"/>
    <cellStyle name="Normal 211 3 2 3" xfId="17976" xr:uid="{00000000-0005-0000-0000-000038450000}"/>
    <cellStyle name="Normal 211 3 2 3 2" xfId="17977" xr:uid="{00000000-0005-0000-0000-000039450000}"/>
    <cellStyle name="Normal 211 3 2 3 2 2" xfId="17978" xr:uid="{00000000-0005-0000-0000-00003A450000}"/>
    <cellStyle name="Normal 211 3 2 3 3" xfId="17979" xr:uid="{00000000-0005-0000-0000-00003B450000}"/>
    <cellStyle name="Normal 211 3 2 4" xfId="17980" xr:uid="{00000000-0005-0000-0000-00003C450000}"/>
    <cellStyle name="Normal 211 3 3" xfId="17981" xr:uid="{00000000-0005-0000-0000-00003D450000}"/>
    <cellStyle name="Normal 211 3 3 2" xfId="17982" xr:uid="{00000000-0005-0000-0000-00003E450000}"/>
    <cellStyle name="Normal 211 3 3 2 2" xfId="17983" xr:uid="{00000000-0005-0000-0000-00003F450000}"/>
    <cellStyle name="Normal 211 3 3 3" xfId="17984" xr:uid="{00000000-0005-0000-0000-000040450000}"/>
    <cellStyle name="Normal 211 3 4" xfId="17985" xr:uid="{00000000-0005-0000-0000-000041450000}"/>
    <cellStyle name="Normal 211 3 4 2" xfId="17986" xr:uid="{00000000-0005-0000-0000-000042450000}"/>
    <cellStyle name="Normal 211 3 4 2 2" xfId="17987" xr:uid="{00000000-0005-0000-0000-000043450000}"/>
    <cellStyle name="Normal 211 3 4 3" xfId="17988" xr:uid="{00000000-0005-0000-0000-000044450000}"/>
    <cellStyle name="Normal 211 3 5" xfId="17989" xr:uid="{00000000-0005-0000-0000-000045450000}"/>
    <cellStyle name="Normal 211 3 5 2" xfId="17990" xr:uid="{00000000-0005-0000-0000-000046450000}"/>
    <cellStyle name="Normal 211 3 5 2 2" xfId="17991" xr:uid="{00000000-0005-0000-0000-000047450000}"/>
    <cellStyle name="Normal 211 3 5 3" xfId="17992" xr:uid="{00000000-0005-0000-0000-000048450000}"/>
    <cellStyle name="Normal 211 3 6" xfId="17993" xr:uid="{00000000-0005-0000-0000-000049450000}"/>
    <cellStyle name="Normal 211 4" xfId="17994" xr:uid="{00000000-0005-0000-0000-00004A450000}"/>
    <cellStyle name="Normal 211 4 2" xfId="17995" xr:uid="{00000000-0005-0000-0000-00004B450000}"/>
    <cellStyle name="Normal 211 4 2 2" xfId="17996" xr:uid="{00000000-0005-0000-0000-00004C450000}"/>
    <cellStyle name="Normal 211 4 3" xfId="17997" xr:uid="{00000000-0005-0000-0000-00004D450000}"/>
    <cellStyle name="Normal 211 5" xfId="17998" xr:uid="{00000000-0005-0000-0000-00004E450000}"/>
    <cellStyle name="Normal 211 5 2" xfId="17999" xr:uid="{00000000-0005-0000-0000-00004F450000}"/>
    <cellStyle name="Normal 211 5 2 2" xfId="18000" xr:uid="{00000000-0005-0000-0000-000050450000}"/>
    <cellStyle name="Normal 211 5 3" xfId="18001" xr:uid="{00000000-0005-0000-0000-000051450000}"/>
    <cellStyle name="Normal 211 6" xfId="18002" xr:uid="{00000000-0005-0000-0000-000052450000}"/>
    <cellStyle name="Normal 211 6 2" xfId="18003" xr:uid="{00000000-0005-0000-0000-000053450000}"/>
    <cellStyle name="Normal 211 6 2 2" xfId="18004" xr:uid="{00000000-0005-0000-0000-000054450000}"/>
    <cellStyle name="Normal 211 6 3" xfId="18005" xr:uid="{00000000-0005-0000-0000-000055450000}"/>
    <cellStyle name="Normal 211 7" xfId="18006" xr:uid="{00000000-0005-0000-0000-000056450000}"/>
    <cellStyle name="Normal 212" xfId="18007" xr:uid="{00000000-0005-0000-0000-000057450000}"/>
    <cellStyle name="Normal 212 2" xfId="18008" xr:uid="{00000000-0005-0000-0000-000058450000}"/>
    <cellStyle name="Normal 212 2 2" xfId="18009" xr:uid="{00000000-0005-0000-0000-000059450000}"/>
    <cellStyle name="Normal 212 2 2 2" xfId="18010" xr:uid="{00000000-0005-0000-0000-00005A450000}"/>
    <cellStyle name="Normal 212 2 3" xfId="18011" xr:uid="{00000000-0005-0000-0000-00005B450000}"/>
    <cellStyle name="Normal 212 2 3 2" xfId="18012" xr:uid="{00000000-0005-0000-0000-00005C450000}"/>
    <cellStyle name="Normal 212 2 3 2 2" xfId="18013" xr:uid="{00000000-0005-0000-0000-00005D450000}"/>
    <cellStyle name="Normal 212 2 3 3" xfId="18014" xr:uid="{00000000-0005-0000-0000-00005E450000}"/>
    <cellStyle name="Normal 212 2 4" xfId="18015" xr:uid="{00000000-0005-0000-0000-00005F450000}"/>
    <cellStyle name="Normal 212 2 4 2" xfId="18016" xr:uid="{00000000-0005-0000-0000-000060450000}"/>
    <cellStyle name="Normal 212 2 4 2 2" xfId="18017" xr:uid="{00000000-0005-0000-0000-000061450000}"/>
    <cellStyle name="Normal 212 2 4 3" xfId="18018" xr:uid="{00000000-0005-0000-0000-000062450000}"/>
    <cellStyle name="Normal 212 2 5" xfId="18019" xr:uid="{00000000-0005-0000-0000-000063450000}"/>
    <cellStyle name="Normal 212 3" xfId="18020" xr:uid="{00000000-0005-0000-0000-000064450000}"/>
    <cellStyle name="Normal 212 3 2" xfId="18021" xr:uid="{00000000-0005-0000-0000-000065450000}"/>
    <cellStyle name="Normal 212 3 2 2" xfId="18022" xr:uid="{00000000-0005-0000-0000-000066450000}"/>
    <cellStyle name="Normal 212 3 2 2 2" xfId="18023" xr:uid="{00000000-0005-0000-0000-000067450000}"/>
    <cellStyle name="Normal 212 3 2 3" xfId="18024" xr:uid="{00000000-0005-0000-0000-000068450000}"/>
    <cellStyle name="Normal 212 3 2 3 2" xfId="18025" xr:uid="{00000000-0005-0000-0000-000069450000}"/>
    <cellStyle name="Normal 212 3 2 3 2 2" xfId="18026" xr:uid="{00000000-0005-0000-0000-00006A450000}"/>
    <cellStyle name="Normal 212 3 2 3 3" xfId="18027" xr:uid="{00000000-0005-0000-0000-00006B450000}"/>
    <cellStyle name="Normal 212 3 2 4" xfId="18028" xr:uid="{00000000-0005-0000-0000-00006C450000}"/>
    <cellStyle name="Normal 212 3 3" xfId="18029" xr:uid="{00000000-0005-0000-0000-00006D450000}"/>
    <cellStyle name="Normal 212 3 3 2" xfId="18030" xr:uid="{00000000-0005-0000-0000-00006E450000}"/>
    <cellStyle name="Normal 212 3 3 2 2" xfId="18031" xr:uid="{00000000-0005-0000-0000-00006F450000}"/>
    <cellStyle name="Normal 212 3 3 3" xfId="18032" xr:uid="{00000000-0005-0000-0000-000070450000}"/>
    <cellStyle name="Normal 212 3 4" xfId="18033" xr:uid="{00000000-0005-0000-0000-000071450000}"/>
    <cellStyle name="Normal 212 3 4 2" xfId="18034" xr:uid="{00000000-0005-0000-0000-000072450000}"/>
    <cellStyle name="Normal 212 3 4 2 2" xfId="18035" xr:uid="{00000000-0005-0000-0000-000073450000}"/>
    <cellStyle name="Normal 212 3 4 3" xfId="18036" xr:uid="{00000000-0005-0000-0000-000074450000}"/>
    <cellStyle name="Normal 212 3 5" xfId="18037" xr:uid="{00000000-0005-0000-0000-000075450000}"/>
    <cellStyle name="Normal 212 3 5 2" xfId="18038" xr:uid="{00000000-0005-0000-0000-000076450000}"/>
    <cellStyle name="Normal 212 3 5 2 2" xfId="18039" xr:uid="{00000000-0005-0000-0000-000077450000}"/>
    <cellStyle name="Normal 212 3 5 3" xfId="18040" xr:uid="{00000000-0005-0000-0000-000078450000}"/>
    <cellStyle name="Normal 212 3 6" xfId="18041" xr:uid="{00000000-0005-0000-0000-000079450000}"/>
    <cellStyle name="Normal 212 4" xfId="18042" xr:uid="{00000000-0005-0000-0000-00007A450000}"/>
    <cellStyle name="Normal 212 4 2" xfId="18043" xr:uid="{00000000-0005-0000-0000-00007B450000}"/>
    <cellStyle name="Normal 212 4 2 2" xfId="18044" xr:uid="{00000000-0005-0000-0000-00007C450000}"/>
    <cellStyle name="Normal 212 4 3" xfId="18045" xr:uid="{00000000-0005-0000-0000-00007D450000}"/>
    <cellStyle name="Normal 212 5" xfId="18046" xr:uid="{00000000-0005-0000-0000-00007E450000}"/>
    <cellStyle name="Normal 212 5 2" xfId="18047" xr:uid="{00000000-0005-0000-0000-00007F450000}"/>
    <cellStyle name="Normal 212 5 2 2" xfId="18048" xr:uid="{00000000-0005-0000-0000-000080450000}"/>
    <cellStyle name="Normal 212 5 3" xfId="18049" xr:uid="{00000000-0005-0000-0000-000081450000}"/>
    <cellStyle name="Normal 212 6" xfId="18050" xr:uid="{00000000-0005-0000-0000-000082450000}"/>
    <cellStyle name="Normal 212 6 2" xfId="18051" xr:uid="{00000000-0005-0000-0000-000083450000}"/>
    <cellStyle name="Normal 212 6 2 2" xfId="18052" xr:uid="{00000000-0005-0000-0000-000084450000}"/>
    <cellStyle name="Normal 212 6 3" xfId="18053" xr:uid="{00000000-0005-0000-0000-000085450000}"/>
    <cellStyle name="Normal 212 7" xfId="18054" xr:uid="{00000000-0005-0000-0000-000086450000}"/>
    <cellStyle name="Normal 213" xfId="18055" xr:uid="{00000000-0005-0000-0000-000087450000}"/>
    <cellStyle name="Normal 213 2" xfId="18056" xr:uid="{00000000-0005-0000-0000-000088450000}"/>
    <cellStyle name="Normal 213 2 2" xfId="18057" xr:uid="{00000000-0005-0000-0000-000089450000}"/>
    <cellStyle name="Normal 213 2 2 2" xfId="18058" xr:uid="{00000000-0005-0000-0000-00008A450000}"/>
    <cellStyle name="Normal 213 2 3" xfId="18059" xr:uid="{00000000-0005-0000-0000-00008B450000}"/>
    <cellStyle name="Normal 213 2 3 2" xfId="18060" xr:uid="{00000000-0005-0000-0000-00008C450000}"/>
    <cellStyle name="Normal 213 2 3 2 2" xfId="18061" xr:uid="{00000000-0005-0000-0000-00008D450000}"/>
    <cellStyle name="Normal 213 2 3 3" xfId="18062" xr:uid="{00000000-0005-0000-0000-00008E450000}"/>
    <cellStyle name="Normal 213 2 4" xfId="18063" xr:uid="{00000000-0005-0000-0000-00008F450000}"/>
    <cellStyle name="Normal 213 2 4 2" xfId="18064" xr:uid="{00000000-0005-0000-0000-000090450000}"/>
    <cellStyle name="Normal 213 2 4 2 2" xfId="18065" xr:uid="{00000000-0005-0000-0000-000091450000}"/>
    <cellStyle name="Normal 213 2 4 3" xfId="18066" xr:uid="{00000000-0005-0000-0000-000092450000}"/>
    <cellStyle name="Normal 213 2 5" xfId="18067" xr:uid="{00000000-0005-0000-0000-000093450000}"/>
    <cellStyle name="Normal 213 3" xfId="18068" xr:uid="{00000000-0005-0000-0000-000094450000}"/>
    <cellStyle name="Normal 213 3 2" xfId="18069" xr:uid="{00000000-0005-0000-0000-000095450000}"/>
    <cellStyle name="Normal 213 3 2 2" xfId="18070" xr:uid="{00000000-0005-0000-0000-000096450000}"/>
    <cellStyle name="Normal 213 3 2 2 2" xfId="18071" xr:uid="{00000000-0005-0000-0000-000097450000}"/>
    <cellStyle name="Normal 213 3 2 3" xfId="18072" xr:uid="{00000000-0005-0000-0000-000098450000}"/>
    <cellStyle name="Normal 213 3 2 3 2" xfId="18073" xr:uid="{00000000-0005-0000-0000-000099450000}"/>
    <cellStyle name="Normal 213 3 2 3 2 2" xfId="18074" xr:uid="{00000000-0005-0000-0000-00009A450000}"/>
    <cellStyle name="Normal 213 3 2 3 3" xfId="18075" xr:uid="{00000000-0005-0000-0000-00009B450000}"/>
    <cellStyle name="Normal 213 3 2 4" xfId="18076" xr:uid="{00000000-0005-0000-0000-00009C450000}"/>
    <cellStyle name="Normal 213 3 3" xfId="18077" xr:uid="{00000000-0005-0000-0000-00009D450000}"/>
    <cellStyle name="Normal 213 3 3 2" xfId="18078" xr:uid="{00000000-0005-0000-0000-00009E450000}"/>
    <cellStyle name="Normal 213 3 3 2 2" xfId="18079" xr:uid="{00000000-0005-0000-0000-00009F450000}"/>
    <cellStyle name="Normal 213 3 3 3" xfId="18080" xr:uid="{00000000-0005-0000-0000-0000A0450000}"/>
    <cellStyle name="Normal 213 3 4" xfId="18081" xr:uid="{00000000-0005-0000-0000-0000A1450000}"/>
    <cellStyle name="Normal 213 3 4 2" xfId="18082" xr:uid="{00000000-0005-0000-0000-0000A2450000}"/>
    <cellStyle name="Normal 213 3 4 2 2" xfId="18083" xr:uid="{00000000-0005-0000-0000-0000A3450000}"/>
    <cellStyle name="Normal 213 3 4 3" xfId="18084" xr:uid="{00000000-0005-0000-0000-0000A4450000}"/>
    <cellStyle name="Normal 213 3 5" xfId="18085" xr:uid="{00000000-0005-0000-0000-0000A5450000}"/>
    <cellStyle name="Normal 213 3 5 2" xfId="18086" xr:uid="{00000000-0005-0000-0000-0000A6450000}"/>
    <cellStyle name="Normal 213 3 5 2 2" xfId="18087" xr:uid="{00000000-0005-0000-0000-0000A7450000}"/>
    <cellStyle name="Normal 213 3 5 3" xfId="18088" xr:uid="{00000000-0005-0000-0000-0000A8450000}"/>
    <cellStyle name="Normal 213 3 6" xfId="18089" xr:uid="{00000000-0005-0000-0000-0000A9450000}"/>
    <cellStyle name="Normal 213 4" xfId="18090" xr:uid="{00000000-0005-0000-0000-0000AA450000}"/>
    <cellStyle name="Normal 213 4 2" xfId="18091" xr:uid="{00000000-0005-0000-0000-0000AB450000}"/>
    <cellStyle name="Normal 213 4 2 2" xfId="18092" xr:uid="{00000000-0005-0000-0000-0000AC450000}"/>
    <cellStyle name="Normal 213 4 3" xfId="18093" xr:uid="{00000000-0005-0000-0000-0000AD450000}"/>
    <cellStyle name="Normal 213 5" xfId="18094" xr:uid="{00000000-0005-0000-0000-0000AE450000}"/>
    <cellStyle name="Normal 213 5 2" xfId="18095" xr:uid="{00000000-0005-0000-0000-0000AF450000}"/>
    <cellStyle name="Normal 213 5 2 2" xfId="18096" xr:uid="{00000000-0005-0000-0000-0000B0450000}"/>
    <cellStyle name="Normal 213 5 3" xfId="18097" xr:uid="{00000000-0005-0000-0000-0000B1450000}"/>
    <cellStyle name="Normal 213 6" xfId="18098" xr:uid="{00000000-0005-0000-0000-0000B2450000}"/>
    <cellStyle name="Normal 213 6 2" xfId="18099" xr:uid="{00000000-0005-0000-0000-0000B3450000}"/>
    <cellStyle name="Normal 213 6 2 2" xfId="18100" xr:uid="{00000000-0005-0000-0000-0000B4450000}"/>
    <cellStyle name="Normal 213 6 3" xfId="18101" xr:uid="{00000000-0005-0000-0000-0000B5450000}"/>
    <cellStyle name="Normal 213 7" xfId="18102" xr:uid="{00000000-0005-0000-0000-0000B6450000}"/>
    <cellStyle name="Normal 214" xfId="18103" xr:uid="{00000000-0005-0000-0000-0000B7450000}"/>
    <cellStyle name="Normal 214 2" xfId="18104" xr:uid="{00000000-0005-0000-0000-0000B8450000}"/>
    <cellStyle name="Normal 214 2 2" xfId="18105" xr:uid="{00000000-0005-0000-0000-0000B9450000}"/>
    <cellStyle name="Normal 214 2 2 2" xfId="18106" xr:uid="{00000000-0005-0000-0000-0000BA450000}"/>
    <cellStyle name="Normal 214 2 3" xfId="18107" xr:uid="{00000000-0005-0000-0000-0000BB450000}"/>
    <cellStyle name="Normal 214 2 3 2" xfId="18108" xr:uid="{00000000-0005-0000-0000-0000BC450000}"/>
    <cellStyle name="Normal 214 2 3 2 2" xfId="18109" xr:uid="{00000000-0005-0000-0000-0000BD450000}"/>
    <cellStyle name="Normal 214 2 3 3" xfId="18110" xr:uid="{00000000-0005-0000-0000-0000BE450000}"/>
    <cellStyle name="Normal 214 2 4" xfId="18111" xr:uid="{00000000-0005-0000-0000-0000BF450000}"/>
    <cellStyle name="Normal 214 2 4 2" xfId="18112" xr:uid="{00000000-0005-0000-0000-0000C0450000}"/>
    <cellStyle name="Normal 214 2 4 2 2" xfId="18113" xr:uid="{00000000-0005-0000-0000-0000C1450000}"/>
    <cellStyle name="Normal 214 2 4 3" xfId="18114" xr:uid="{00000000-0005-0000-0000-0000C2450000}"/>
    <cellStyle name="Normal 214 2 5" xfId="18115" xr:uid="{00000000-0005-0000-0000-0000C3450000}"/>
    <cellStyle name="Normal 214 3" xfId="18116" xr:uid="{00000000-0005-0000-0000-0000C4450000}"/>
    <cellStyle name="Normal 214 3 2" xfId="18117" xr:uid="{00000000-0005-0000-0000-0000C5450000}"/>
    <cellStyle name="Normal 214 3 2 2" xfId="18118" xr:uid="{00000000-0005-0000-0000-0000C6450000}"/>
    <cellStyle name="Normal 214 3 2 2 2" xfId="18119" xr:uid="{00000000-0005-0000-0000-0000C7450000}"/>
    <cellStyle name="Normal 214 3 2 3" xfId="18120" xr:uid="{00000000-0005-0000-0000-0000C8450000}"/>
    <cellStyle name="Normal 214 3 2 3 2" xfId="18121" xr:uid="{00000000-0005-0000-0000-0000C9450000}"/>
    <cellStyle name="Normal 214 3 2 3 2 2" xfId="18122" xr:uid="{00000000-0005-0000-0000-0000CA450000}"/>
    <cellStyle name="Normal 214 3 2 3 3" xfId="18123" xr:uid="{00000000-0005-0000-0000-0000CB450000}"/>
    <cellStyle name="Normal 214 3 2 4" xfId="18124" xr:uid="{00000000-0005-0000-0000-0000CC450000}"/>
    <cellStyle name="Normal 214 3 3" xfId="18125" xr:uid="{00000000-0005-0000-0000-0000CD450000}"/>
    <cellStyle name="Normal 214 3 3 2" xfId="18126" xr:uid="{00000000-0005-0000-0000-0000CE450000}"/>
    <cellStyle name="Normal 214 3 3 2 2" xfId="18127" xr:uid="{00000000-0005-0000-0000-0000CF450000}"/>
    <cellStyle name="Normal 214 3 3 3" xfId="18128" xr:uid="{00000000-0005-0000-0000-0000D0450000}"/>
    <cellStyle name="Normal 214 3 4" xfId="18129" xr:uid="{00000000-0005-0000-0000-0000D1450000}"/>
    <cellStyle name="Normal 214 3 4 2" xfId="18130" xr:uid="{00000000-0005-0000-0000-0000D2450000}"/>
    <cellStyle name="Normal 214 3 4 2 2" xfId="18131" xr:uid="{00000000-0005-0000-0000-0000D3450000}"/>
    <cellStyle name="Normal 214 3 4 3" xfId="18132" xr:uid="{00000000-0005-0000-0000-0000D4450000}"/>
    <cellStyle name="Normal 214 3 5" xfId="18133" xr:uid="{00000000-0005-0000-0000-0000D5450000}"/>
    <cellStyle name="Normal 214 3 5 2" xfId="18134" xr:uid="{00000000-0005-0000-0000-0000D6450000}"/>
    <cellStyle name="Normal 214 3 5 2 2" xfId="18135" xr:uid="{00000000-0005-0000-0000-0000D7450000}"/>
    <cellStyle name="Normal 214 3 5 3" xfId="18136" xr:uid="{00000000-0005-0000-0000-0000D8450000}"/>
    <cellStyle name="Normal 214 3 6" xfId="18137" xr:uid="{00000000-0005-0000-0000-0000D9450000}"/>
    <cellStyle name="Normal 214 4" xfId="18138" xr:uid="{00000000-0005-0000-0000-0000DA450000}"/>
    <cellStyle name="Normal 214 4 2" xfId="18139" xr:uid="{00000000-0005-0000-0000-0000DB450000}"/>
    <cellStyle name="Normal 214 4 2 2" xfId="18140" xr:uid="{00000000-0005-0000-0000-0000DC450000}"/>
    <cellStyle name="Normal 214 4 3" xfId="18141" xr:uid="{00000000-0005-0000-0000-0000DD450000}"/>
    <cellStyle name="Normal 214 5" xfId="18142" xr:uid="{00000000-0005-0000-0000-0000DE450000}"/>
    <cellStyle name="Normal 214 5 2" xfId="18143" xr:uid="{00000000-0005-0000-0000-0000DF450000}"/>
    <cellStyle name="Normal 214 5 2 2" xfId="18144" xr:uid="{00000000-0005-0000-0000-0000E0450000}"/>
    <cellStyle name="Normal 214 5 3" xfId="18145" xr:uid="{00000000-0005-0000-0000-0000E1450000}"/>
    <cellStyle name="Normal 214 6" xfId="18146" xr:uid="{00000000-0005-0000-0000-0000E2450000}"/>
    <cellStyle name="Normal 214 6 2" xfId="18147" xr:uid="{00000000-0005-0000-0000-0000E3450000}"/>
    <cellStyle name="Normal 214 6 2 2" xfId="18148" xr:uid="{00000000-0005-0000-0000-0000E4450000}"/>
    <cellStyle name="Normal 214 6 3" xfId="18149" xr:uid="{00000000-0005-0000-0000-0000E5450000}"/>
    <cellStyle name="Normal 214 7" xfId="18150" xr:uid="{00000000-0005-0000-0000-0000E6450000}"/>
    <cellStyle name="Normal 215" xfId="18151" xr:uid="{00000000-0005-0000-0000-0000E7450000}"/>
    <cellStyle name="Normal 215 2" xfId="18152" xr:uid="{00000000-0005-0000-0000-0000E8450000}"/>
    <cellStyle name="Normal 215 2 2" xfId="18153" xr:uid="{00000000-0005-0000-0000-0000E9450000}"/>
    <cellStyle name="Normal 215 2 2 2" xfId="18154" xr:uid="{00000000-0005-0000-0000-0000EA450000}"/>
    <cellStyle name="Normal 215 2 3" xfId="18155" xr:uid="{00000000-0005-0000-0000-0000EB450000}"/>
    <cellStyle name="Normal 215 2 3 2" xfId="18156" xr:uid="{00000000-0005-0000-0000-0000EC450000}"/>
    <cellStyle name="Normal 215 2 3 2 2" xfId="18157" xr:uid="{00000000-0005-0000-0000-0000ED450000}"/>
    <cellStyle name="Normal 215 2 3 3" xfId="18158" xr:uid="{00000000-0005-0000-0000-0000EE450000}"/>
    <cellStyle name="Normal 215 2 4" xfId="18159" xr:uid="{00000000-0005-0000-0000-0000EF450000}"/>
    <cellStyle name="Normal 215 2 4 2" xfId="18160" xr:uid="{00000000-0005-0000-0000-0000F0450000}"/>
    <cellStyle name="Normal 215 2 4 2 2" xfId="18161" xr:uid="{00000000-0005-0000-0000-0000F1450000}"/>
    <cellStyle name="Normal 215 2 4 3" xfId="18162" xr:uid="{00000000-0005-0000-0000-0000F2450000}"/>
    <cellStyle name="Normal 215 2 5" xfId="18163" xr:uid="{00000000-0005-0000-0000-0000F3450000}"/>
    <cellStyle name="Normal 215 3" xfId="18164" xr:uid="{00000000-0005-0000-0000-0000F4450000}"/>
    <cellStyle name="Normal 215 3 2" xfId="18165" xr:uid="{00000000-0005-0000-0000-0000F5450000}"/>
    <cellStyle name="Normal 215 3 2 2" xfId="18166" xr:uid="{00000000-0005-0000-0000-0000F6450000}"/>
    <cellStyle name="Normal 215 3 2 2 2" xfId="18167" xr:uid="{00000000-0005-0000-0000-0000F7450000}"/>
    <cellStyle name="Normal 215 3 2 3" xfId="18168" xr:uid="{00000000-0005-0000-0000-0000F8450000}"/>
    <cellStyle name="Normal 215 3 2 3 2" xfId="18169" xr:uid="{00000000-0005-0000-0000-0000F9450000}"/>
    <cellStyle name="Normal 215 3 2 3 2 2" xfId="18170" xr:uid="{00000000-0005-0000-0000-0000FA450000}"/>
    <cellStyle name="Normal 215 3 2 3 3" xfId="18171" xr:uid="{00000000-0005-0000-0000-0000FB450000}"/>
    <cellStyle name="Normal 215 3 2 4" xfId="18172" xr:uid="{00000000-0005-0000-0000-0000FC450000}"/>
    <cellStyle name="Normal 215 3 3" xfId="18173" xr:uid="{00000000-0005-0000-0000-0000FD450000}"/>
    <cellStyle name="Normal 215 3 3 2" xfId="18174" xr:uid="{00000000-0005-0000-0000-0000FE450000}"/>
    <cellStyle name="Normal 215 3 3 2 2" xfId="18175" xr:uid="{00000000-0005-0000-0000-0000FF450000}"/>
    <cellStyle name="Normal 215 3 3 3" xfId="18176" xr:uid="{00000000-0005-0000-0000-000000460000}"/>
    <cellStyle name="Normal 215 3 4" xfId="18177" xr:uid="{00000000-0005-0000-0000-000001460000}"/>
    <cellStyle name="Normal 215 3 4 2" xfId="18178" xr:uid="{00000000-0005-0000-0000-000002460000}"/>
    <cellStyle name="Normal 215 3 4 2 2" xfId="18179" xr:uid="{00000000-0005-0000-0000-000003460000}"/>
    <cellStyle name="Normal 215 3 4 3" xfId="18180" xr:uid="{00000000-0005-0000-0000-000004460000}"/>
    <cellStyle name="Normal 215 3 5" xfId="18181" xr:uid="{00000000-0005-0000-0000-000005460000}"/>
    <cellStyle name="Normal 215 3 5 2" xfId="18182" xr:uid="{00000000-0005-0000-0000-000006460000}"/>
    <cellStyle name="Normal 215 3 5 2 2" xfId="18183" xr:uid="{00000000-0005-0000-0000-000007460000}"/>
    <cellStyle name="Normal 215 3 5 3" xfId="18184" xr:uid="{00000000-0005-0000-0000-000008460000}"/>
    <cellStyle name="Normal 215 3 6" xfId="18185" xr:uid="{00000000-0005-0000-0000-000009460000}"/>
    <cellStyle name="Normal 215 4" xfId="18186" xr:uid="{00000000-0005-0000-0000-00000A460000}"/>
    <cellStyle name="Normal 215 4 2" xfId="18187" xr:uid="{00000000-0005-0000-0000-00000B460000}"/>
    <cellStyle name="Normal 215 4 2 2" xfId="18188" xr:uid="{00000000-0005-0000-0000-00000C460000}"/>
    <cellStyle name="Normal 215 4 3" xfId="18189" xr:uid="{00000000-0005-0000-0000-00000D460000}"/>
    <cellStyle name="Normal 215 5" xfId="18190" xr:uid="{00000000-0005-0000-0000-00000E460000}"/>
    <cellStyle name="Normal 215 5 2" xfId="18191" xr:uid="{00000000-0005-0000-0000-00000F460000}"/>
    <cellStyle name="Normal 215 5 2 2" xfId="18192" xr:uid="{00000000-0005-0000-0000-000010460000}"/>
    <cellStyle name="Normal 215 5 3" xfId="18193" xr:uid="{00000000-0005-0000-0000-000011460000}"/>
    <cellStyle name="Normal 215 6" xfId="18194" xr:uid="{00000000-0005-0000-0000-000012460000}"/>
    <cellStyle name="Normal 215 6 2" xfId="18195" xr:uid="{00000000-0005-0000-0000-000013460000}"/>
    <cellStyle name="Normal 215 6 2 2" xfId="18196" xr:uid="{00000000-0005-0000-0000-000014460000}"/>
    <cellStyle name="Normal 215 6 3" xfId="18197" xr:uid="{00000000-0005-0000-0000-000015460000}"/>
    <cellStyle name="Normal 215 7" xfId="18198" xr:uid="{00000000-0005-0000-0000-000016460000}"/>
    <cellStyle name="Normal 216" xfId="18199" xr:uid="{00000000-0005-0000-0000-000017460000}"/>
    <cellStyle name="Normal 216 2" xfId="18200" xr:uid="{00000000-0005-0000-0000-000018460000}"/>
    <cellStyle name="Normal 216 2 2" xfId="18201" xr:uid="{00000000-0005-0000-0000-000019460000}"/>
    <cellStyle name="Normal 216 2 2 2" xfId="18202" xr:uid="{00000000-0005-0000-0000-00001A460000}"/>
    <cellStyle name="Normal 216 2 3" xfId="18203" xr:uid="{00000000-0005-0000-0000-00001B460000}"/>
    <cellStyle name="Normal 216 2 3 2" xfId="18204" xr:uid="{00000000-0005-0000-0000-00001C460000}"/>
    <cellStyle name="Normal 216 2 3 2 2" xfId="18205" xr:uid="{00000000-0005-0000-0000-00001D460000}"/>
    <cellStyle name="Normal 216 2 3 3" xfId="18206" xr:uid="{00000000-0005-0000-0000-00001E460000}"/>
    <cellStyle name="Normal 216 2 4" xfId="18207" xr:uid="{00000000-0005-0000-0000-00001F460000}"/>
    <cellStyle name="Normal 216 2 4 2" xfId="18208" xr:uid="{00000000-0005-0000-0000-000020460000}"/>
    <cellStyle name="Normal 216 2 4 2 2" xfId="18209" xr:uid="{00000000-0005-0000-0000-000021460000}"/>
    <cellStyle name="Normal 216 2 4 3" xfId="18210" xr:uid="{00000000-0005-0000-0000-000022460000}"/>
    <cellStyle name="Normal 216 2 5" xfId="18211" xr:uid="{00000000-0005-0000-0000-000023460000}"/>
    <cellStyle name="Normal 216 3" xfId="18212" xr:uid="{00000000-0005-0000-0000-000024460000}"/>
    <cellStyle name="Normal 216 3 2" xfId="18213" xr:uid="{00000000-0005-0000-0000-000025460000}"/>
    <cellStyle name="Normal 216 3 2 2" xfId="18214" xr:uid="{00000000-0005-0000-0000-000026460000}"/>
    <cellStyle name="Normal 216 3 2 2 2" xfId="18215" xr:uid="{00000000-0005-0000-0000-000027460000}"/>
    <cellStyle name="Normal 216 3 2 3" xfId="18216" xr:uid="{00000000-0005-0000-0000-000028460000}"/>
    <cellStyle name="Normal 216 3 2 3 2" xfId="18217" xr:uid="{00000000-0005-0000-0000-000029460000}"/>
    <cellStyle name="Normal 216 3 2 3 2 2" xfId="18218" xr:uid="{00000000-0005-0000-0000-00002A460000}"/>
    <cellStyle name="Normal 216 3 2 3 3" xfId="18219" xr:uid="{00000000-0005-0000-0000-00002B460000}"/>
    <cellStyle name="Normal 216 3 2 4" xfId="18220" xr:uid="{00000000-0005-0000-0000-00002C460000}"/>
    <cellStyle name="Normal 216 3 3" xfId="18221" xr:uid="{00000000-0005-0000-0000-00002D460000}"/>
    <cellStyle name="Normal 216 3 3 2" xfId="18222" xr:uid="{00000000-0005-0000-0000-00002E460000}"/>
    <cellStyle name="Normal 216 3 3 2 2" xfId="18223" xr:uid="{00000000-0005-0000-0000-00002F460000}"/>
    <cellStyle name="Normal 216 3 3 3" xfId="18224" xr:uid="{00000000-0005-0000-0000-000030460000}"/>
    <cellStyle name="Normal 216 3 4" xfId="18225" xr:uid="{00000000-0005-0000-0000-000031460000}"/>
    <cellStyle name="Normal 216 3 4 2" xfId="18226" xr:uid="{00000000-0005-0000-0000-000032460000}"/>
    <cellStyle name="Normal 216 3 4 2 2" xfId="18227" xr:uid="{00000000-0005-0000-0000-000033460000}"/>
    <cellStyle name="Normal 216 3 4 3" xfId="18228" xr:uid="{00000000-0005-0000-0000-000034460000}"/>
    <cellStyle name="Normal 216 3 5" xfId="18229" xr:uid="{00000000-0005-0000-0000-000035460000}"/>
    <cellStyle name="Normal 216 3 5 2" xfId="18230" xr:uid="{00000000-0005-0000-0000-000036460000}"/>
    <cellStyle name="Normal 216 3 5 2 2" xfId="18231" xr:uid="{00000000-0005-0000-0000-000037460000}"/>
    <cellStyle name="Normal 216 3 5 3" xfId="18232" xr:uid="{00000000-0005-0000-0000-000038460000}"/>
    <cellStyle name="Normal 216 3 6" xfId="18233" xr:uid="{00000000-0005-0000-0000-000039460000}"/>
    <cellStyle name="Normal 216 4" xfId="18234" xr:uid="{00000000-0005-0000-0000-00003A460000}"/>
    <cellStyle name="Normal 216 4 2" xfId="18235" xr:uid="{00000000-0005-0000-0000-00003B460000}"/>
    <cellStyle name="Normal 216 4 2 2" xfId="18236" xr:uid="{00000000-0005-0000-0000-00003C460000}"/>
    <cellStyle name="Normal 216 4 3" xfId="18237" xr:uid="{00000000-0005-0000-0000-00003D460000}"/>
    <cellStyle name="Normal 216 5" xfId="18238" xr:uid="{00000000-0005-0000-0000-00003E460000}"/>
    <cellStyle name="Normal 216 5 2" xfId="18239" xr:uid="{00000000-0005-0000-0000-00003F460000}"/>
    <cellStyle name="Normal 216 5 2 2" xfId="18240" xr:uid="{00000000-0005-0000-0000-000040460000}"/>
    <cellStyle name="Normal 216 5 3" xfId="18241" xr:uid="{00000000-0005-0000-0000-000041460000}"/>
    <cellStyle name="Normal 216 6" xfId="18242" xr:uid="{00000000-0005-0000-0000-000042460000}"/>
    <cellStyle name="Normal 216 6 2" xfId="18243" xr:uid="{00000000-0005-0000-0000-000043460000}"/>
    <cellStyle name="Normal 216 6 2 2" xfId="18244" xr:uid="{00000000-0005-0000-0000-000044460000}"/>
    <cellStyle name="Normal 216 6 3" xfId="18245" xr:uid="{00000000-0005-0000-0000-000045460000}"/>
    <cellStyle name="Normal 216 7" xfId="18246" xr:uid="{00000000-0005-0000-0000-000046460000}"/>
    <cellStyle name="Normal 217" xfId="18247" xr:uid="{00000000-0005-0000-0000-000047460000}"/>
    <cellStyle name="Normal 217 2" xfId="18248" xr:uid="{00000000-0005-0000-0000-000048460000}"/>
    <cellStyle name="Normal 217 2 2" xfId="18249" xr:uid="{00000000-0005-0000-0000-000049460000}"/>
    <cellStyle name="Normal 217 2 2 2" xfId="18250" xr:uid="{00000000-0005-0000-0000-00004A460000}"/>
    <cellStyle name="Normal 217 2 2 2 2" xfId="18251" xr:uid="{00000000-0005-0000-0000-00004B460000}"/>
    <cellStyle name="Normal 217 2 2 3" xfId="18252" xr:uid="{00000000-0005-0000-0000-00004C460000}"/>
    <cellStyle name="Normal 217 2 2 3 2" xfId="18253" xr:uid="{00000000-0005-0000-0000-00004D460000}"/>
    <cellStyle name="Normal 217 2 2 3 2 2" xfId="18254" xr:uid="{00000000-0005-0000-0000-00004E460000}"/>
    <cellStyle name="Normal 217 2 2 3 3" xfId="18255" xr:uid="{00000000-0005-0000-0000-00004F460000}"/>
    <cellStyle name="Normal 217 2 2 4" xfId="18256" xr:uid="{00000000-0005-0000-0000-000050460000}"/>
    <cellStyle name="Normal 217 2 2 4 2" xfId="18257" xr:uid="{00000000-0005-0000-0000-000051460000}"/>
    <cellStyle name="Normal 217 2 2 4 2 2" xfId="18258" xr:uid="{00000000-0005-0000-0000-000052460000}"/>
    <cellStyle name="Normal 217 2 2 4 3" xfId="18259" xr:uid="{00000000-0005-0000-0000-000053460000}"/>
    <cellStyle name="Normal 217 2 2 5" xfId="18260" xr:uid="{00000000-0005-0000-0000-000054460000}"/>
    <cellStyle name="Normal 217 2 3" xfId="18261" xr:uid="{00000000-0005-0000-0000-000055460000}"/>
    <cellStyle name="Normal 217 2 3 2" xfId="18262" xr:uid="{00000000-0005-0000-0000-000056460000}"/>
    <cellStyle name="Normal 217 2 3 2 2" xfId="18263" xr:uid="{00000000-0005-0000-0000-000057460000}"/>
    <cellStyle name="Normal 217 2 3 2 2 2" xfId="18264" xr:uid="{00000000-0005-0000-0000-000058460000}"/>
    <cellStyle name="Normal 217 2 3 2 3" xfId="18265" xr:uid="{00000000-0005-0000-0000-000059460000}"/>
    <cellStyle name="Normal 217 2 3 2 3 2" xfId="18266" xr:uid="{00000000-0005-0000-0000-00005A460000}"/>
    <cellStyle name="Normal 217 2 3 2 3 2 2" xfId="18267" xr:uid="{00000000-0005-0000-0000-00005B460000}"/>
    <cellStyle name="Normal 217 2 3 2 3 3" xfId="18268" xr:uid="{00000000-0005-0000-0000-00005C460000}"/>
    <cellStyle name="Normal 217 2 3 2 4" xfId="18269" xr:uid="{00000000-0005-0000-0000-00005D460000}"/>
    <cellStyle name="Normal 217 2 3 3" xfId="18270" xr:uid="{00000000-0005-0000-0000-00005E460000}"/>
    <cellStyle name="Normal 217 2 3 3 2" xfId="18271" xr:uid="{00000000-0005-0000-0000-00005F460000}"/>
    <cellStyle name="Normal 217 2 3 3 2 2" xfId="18272" xr:uid="{00000000-0005-0000-0000-000060460000}"/>
    <cellStyle name="Normal 217 2 3 3 3" xfId="18273" xr:uid="{00000000-0005-0000-0000-000061460000}"/>
    <cellStyle name="Normal 217 2 3 4" xfId="18274" xr:uid="{00000000-0005-0000-0000-000062460000}"/>
    <cellStyle name="Normal 217 2 3 4 2" xfId="18275" xr:uid="{00000000-0005-0000-0000-000063460000}"/>
    <cellStyle name="Normal 217 2 3 4 2 2" xfId="18276" xr:uid="{00000000-0005-0000-0000-000064460000}"/>
    <cellStyle name="Normal 217 2 3 4 3" xfId="18277" xr:uid="{00000000-0005-0000-0000-000065460000}"/>
    <cellStyle name="Normal 217 2 3 5" xfId="18278" xr:uid="{00000000-0005-0000-0000-000066460000}"/>
    <cellStyle name="Normal 217 2 3 5 2" xfId="18279" xr:uid="{00000000-0005-0000-0000-000067460000}"/>
    <cellStyle name="Normal 217 2 3 5 2 2" xfId="18280" xr:uid="{00000000-0005-0000-0000-000068460000}"/>
    <cellStyle name="Normal 217 2 3 5 3" xfId="18281" xr:uid="{00000000-0005-0000-0000-000069460000}"/>
    <cellStyle name="Normal 217 2 3 6" xfId="18282" xr:uid="{00000000-0005-0000-0000-00006A460000}"/>
    <cellStyle name="Normal 217 2 4" xfId="18283" xr:uid="{00000000-0005-0000-0000-00006B460000}"/>
    <cellStyle name="Normal 217 2 4 2" xfId="18284" xr:uid="{00000000-0005-0000-0000-00006C460000}"/>
    <cellStyle name="Normal 217 2 4 2 2" xfId="18285" xr:uid="{00000000-0005-0000-0000-00006D460000}"/>
    <cellStyle name="Normal 217 2 4 3" xfId="18286" xr:uid="{00000000-0005-0000-0000-00006E460000}"/>
    <cellStyle name="Normal 217 2 5" xfId="18287" xr:uid="{00000000-0005-0000-0000-00006F460000}"/>
    <cellStyle name="Normal 217 2 5 2" xfId="18288" xr:uid="{00000000-0005-0000-0000-000070460000}"/>
    <cellStyle name="Normal 217 2 5 2 2" xfId="18289" xr:uid="{00000000-0005-0000-0000-000071460000}"/>
    <cellStyle name="Normal 217 2 5 3" xfId="18290" xr:uid="{00000000-0005-0000-0000-000072460000}"/>
    <cellStyle name="Normal 217 2 6" xfId="18291" xr:uid="{00000000-0005-0000-0000-000073460000}"/>
    <cellStyle name="Normal 217 2 6 2" xfId="18292" xr:uid="{00000000-0005-0000-0000-000074460000}"/>
    <cellStyle name="Normal 217 2 6 2 2" xfId="18293" xr:uid="{00000000-0005-0000-0000-000075460000}"/>
    <cellStyle name="Normal 217 2 6 3" xfId="18294" xr:uid="{00000000-0005-0000-0000-000076460000}"/>
    <cellStyle name="Normal 217 2 7" xfId="18295" xr:uid="{00000000-0005-0000-0000-000077460000}"/>
    <cellStyle name="Normal 217 3" xfId="18296" xr:uid="{00000000-0005-0000-0000-000078460000}"/>
    <cellStyle name="Normal 217 3 2" xfId="18297" xr:uid="{00000000-0005-0000-0000-000079460000}"/>
    <cellStyle name="Normal 217 3 2 2" xfId="18298" xr:uid="{00000000-0005-0000-0000-00007A460000}"/>
    <cellStyle name="Normal 217 3 3" xfId="18299" xr:uid="{00000000-0005-0000-0000-00007B460000}"/>
    <cellStyle name="Normal 217 3 3 2" xfId="18300" xr:uid="{00000000-0005-0000-0000-00007C460000}"/>
    <cellStyle name="Normal 217 3 3 2 2" xfId="18301" xr:uid="{00000000-0005-0000-0000-00007D460000}"/>
    <cellStyle name="Normal 217 3 3 3" xfId="18302" xr:uid="{00000000-0005-0000-0000-00007E460000}"/>
    <cellStyle name="Normal 217 3 4" xfId="18303" xr:uid="{00000000-0005-0000-0000-00007F460000}"/>
    <cellStyle name="Normal 217 3 4 2" xfId="18304" xr:uid="{00000000-0005-0000-0000-000080460000}"/>
    <cellStyle name="Normal 217 3 4 2 2" xfId="18305" xr:uid="{00000000-0005-0000-0000-000081460000}"/>
    <cellStyle name="Normal 217 3 4 3" xfId="18306" xr:uid="{00000000-0005-0000-0000-000082460000}"/>
    <cellStyle name="Normal 217 3 5" xfId="18307" xr:uid="{00000000-0005-0000-0000-000083460000}"/>
    <cellStyle name="Normal 217 4" xfId="18308" xr:uid="{00000000-0005-0000-0000-000084460000}"/>
    <cellStyle name="Normal 217 4 2" xfId="18309" xr:uid="{00000000-0005-0000-0000-000085460000}"/>
    <cellStyle name="Normal 217 4 2 2" xfId="18310" xr:uid="{00000000-0005-0000-0000-000086460000}"/>
    <cellStyle name="Normal 217 4 2 2 2" xfId="18311" xr:uid="{00000000-0005-0000-0000-000087460000}"/>
    <cellStyle name="Normal 217 4 2 3" xfId="18312" xr:uid="{00000000-0005-0000-0000-000088460000}"/>
    <cellStyle name="Normal 217 4 2 3 2" xfId="18313" xr:uid="{00000000-0005-0000-0000-000089460000}"/>
    <cellStyle name="Normal 217 4 2 3 2 2" xfId="18314" xr:uid="{00000000-0005-0000-0000-00008A460000}"/>
    <cellStyle name="Normal 217 4 2 3 3" xfId="18315" xr:uid="{00000000-0005-0000-0000-00008B460000}"/>
    <cellStyle name="Normal 217 4 2 4" xfId="18316" xr:uid="{00000000-0005-0000-0000-00008C460000}"/>
    <cellStyle name="Normal 217 4 3" xfId="18317" xr:uid="{00000000-0005-0000-0000-00008D460000}"/>
    <cellStyle name="Normal 217 4 3 2" xfId="18318" xr:uid="{00000000-0005-0000-0000-00008E460000}"/>
    <cellStyle name="Normal 217 4 3 2 2" xfId="18319" xr:uid="{00000000-0005-0000-0000-00008F460000}"/>
    <cellStyle name="Normal 217 4 3 3" xfId="18320" xr:uid="{00000000-0005-0000-0000-000090460000}"/>
    <cellStyle name="Normal 217 4 4" xfId="18321" xr:uid="{00000000-0005-0000-0000-000091460000}"/>
    <cellStyle name="Normal 217 4 4 2" xfId="18322" xr:uid="{00000000-0005-0000-0000-000092460000}"/>
    <cellStyle name="Normal 217 4 4 2 2" xfId="18323" xr:uid="{00000000-0005-0000-0000-000093460000}"/>
    <cellStyle name="Normal 217 4 4 3" xfId="18324" xr:uid="{00000000-0005-0000-0000-000094460000}"/>
    <cellStyle name="Normal 217 4 5" xfId="18325" xr:uid="{00000000-0005-0000-0000-000095460000}"/>
    <cellStyle name="Normal 217 4 5 2" xfId="18326" xr:uid="{00000000-0005-0000-0000-000096460000}"/>
    <cellStyle name="Normal 217 4 5 2 2" xfId="18327" xr:uid="{00000000-0005-0000-0000-000097460000}"/>
    <cellStyle name="Normal 217 4 5 3" xfId="18328" xr:uid="{00000000-0005-0000-0000-000098460000}"/>
    <cellStyle name="Normal 217 4 6" xfId="18329" xr:uid="{00000000-0005-0000-0000-000099460000}"/>
    <cellStyle name="Normal 217 5" xfId="18330" xr:uid="{00000000-0005-0000-0000-00009A460000}"/>
    <cellStyle name="Normal 217 5 2" xfId="18331" xr:uid="{00000000-0005-0000-0000-00009B460000}"/>
    <cellStyle name="Normal 217 5 2 2" xfId="18332" xr:uid="{00000000-0005-0000-0000-00009C460000}"/>
    <cellStyle name="Normal 217 5 3" xfId="18333" xr:uid="{00000000-0005-0000-0000-00009D460000}"/>
    <cellStyle name="Normal 217 6" xfId="18334" xr:uid="{00000000-0005-0000-0000-00009E460000}"/>
    <cellStyle name="Normal 217 6 2" xfId="18335" xr:uid="{00000000-0005-0000-0000-00009F460000}"/>
    <cellStyle name="Normal 217 6 2 2" xfId="18336" xr:uid="{00000000-0005-0000-0000-0000A0460000}"/>
    <cellStyle name="Normal 217 6 3" xfId="18337" xr:uid="{00000000-0005-0000-0000-0000A1460000}"/>
    <cellStyle name="Normal 217 7" xfId="18338" xr:uid="{00000000-0005-0000-0000-0000A2460000}"/>
    <cellStyle name="Normal 217 7 2" xfId="18339" xr:uid="{00000000-0005-0000-0000-0000A3460000}"/>
    <cellStyle name="Normal 217 7 2 2" xfId="18340" xr:uid="{00000000-0005-0000-0000-0000A4460000}"/>
    <cellStyle name="Normal 217 7 3" xfId="18341" xr:uid="{00000000-0005-0000-0000-0000A5460000}"/>
    <cellStyle name="Normal 217 8" xfId="18342" xr:uid="{00000000-0005-0000-0000-0000A6460000}"/>
    <cellStyle name="Normal 218" xfId="18343" xr:uid="{00000000-0005-0000-0000-0000A7460000}"/>
    <cellStyle name="Normal 218 2" xfId="18344" xr:uid="{00000000-0005-0000-0000-0000A8460000}"/>
    <cellStyle name="Normal 218 2 2" xfId="18345" xr:uid="{00000000-0005-0000-0000-0000A9460000}"/>
    <cellStyle name="Normal 218 2 2 2" xfId="18346" xr:uid="{00000000-0005-0000-0000-0000AA460000}"/>
    <cellStyle name="Normal 218 2 2 2 2" xfId="18347" xr:uid="{00000000-0005-0000-0000-0000AB460000}"/>
    <cellStyle name="Normal 218 2 2 3" xfId="18348" xr:uid="{00000000-0005-0000-0000-0000AC460000}"/>
    <cellStyle name="Normal 218 2 2 3 2" xfId="18349" xr:uid="{00000000-0005-0000-0000-0000AD460000}"/>
    <cellStyle name="Normal 218 2 2 3 2 2" xfId="18350" xr:uid="{00000000-0005-0000-0000-0000AE460000}"/>
    <cellStyle name="Normal 218 2 2 3 3" xfId="18351" xr:uid="{00000000-0005-0000-0000-0000AF460000}"/>
    <cellStyle name="Normal 218 2 2 4" xfId="18352" xr:uid="{00000000-0005-0000-0000-0000B0460000}"/>
    <cellStyle name="Normal 218 2 2 4 2" xfId="18353" xr:uid="{00000000-0005-0000-0000-0000B1460000}"/>
    <cellStyle name="Normal 218 2 2 4 2 2" xfId="18354" xr:uid="{00000000-0005-0000-0000-0000B2460000}"/>
    <cellStyle name="Normal 218 2 2 4 3" xfId="18355" xr:uid="{00000000-0005-0000-0000-0000B3460000}"/>
    <cellStyle name="Normal 218 2 2 5" xfId="18356" xr:uid="{00000000-0005-0000-0000-0000B4460000}"/>
    <cellStyle name="Normal 218 2 3" xfId="18357" xr:uid="{00000000-0005-0000-0000-0000B5460000}"/>
    <cellStyle name="Normal 218 2 3 2" xfId="18358" xr:uid="{00000000-0005-0000-0000-0000B6460000}"/>
    <cellStyle name="Normal 218 2 3 2 2" xfId="18359" xr:uid="{00000000-0005-0000-0000-0000B7460000}"/>
    <cellStyle name="Normal 218 2 3 2 2 2" xfId="18360" xr:uid="{00000000-0005-0000-0000-0000B8460000}"/>
    <cellStyle name="Normal 218 2 3 2 3" xfId="18361" xr:uid="{00000000-0005-0000-0000-0000B9460000}"/>
    <cellStyle name="Normal 218 2 3 2 3 2" xfId="18362" xr:uid="{00000000-0005-0000-0000-0000BA460000}"/>
    <cellStyle name="Normal 218 2 3 2 3 2 2" xfId="18363" xr:uid="{00000000-0005-0000-0000-0000BB460000}"/>
    <cellStyle name="Normal 218 2 3 2 3 3" xfId="18364" xr:uid="{00000000-0005-0000-0000-0000BC460000}"/>
    <cellStyle name="Normal 218 2 3 2 4" xfId="18365" xr:uid="{00000000-0005-0000-0000-0000BD460000}"/>
    <cellStyle name="Normal 218 2 3 3" xfId="18366" xr:uid="{00000000-0005-0000-0000-0000BE460000}"/>
    <cellStyle name="Normal 218 2 3 3 2" xfId="18367" xr:uid="{00000000-0005-0000-0000-0000BF460000}"/>
    <cellStyle name="Normal 218 2 3 3 2 2" xfId="18368" xr:uid="{00000000-0005-0000-0000-0000C0460000}"/>
    <cellStyle name="Normal 218 2 3 3 3" xfId="18369" xr:uid="{00000000-0005-0000-0000-0000C1460000}"/>
    <cellStyle name="Normal 218 2 3 4" xfId="18370" xr:uid="{00000000-0005-0000-0000-0000C2460000}"/>
    <cellStyle name="Normal 218 2 3 4 2" xfId="18371" xr:uid="{00000000-0005-0000-0000-0000C3460000}"/>
    <cellStyle name="Normal 218 2 3 4 2 2" xfId="18372" xr:uid="{00000000-0005-0000-0000-0000C4460000}"/>
    <cellStyle name="Normal 218 2 3 4 3" xfId="18373" xr:uid="{00000000-0005-0000-0000-0000C5460000}"/>
    <cellStyle name="Normal 218 2 3 5" xfId="18374" xr:uid="{00000000-0005-0000-0000-0000C6460000}"/>
    <cellStyle name="Normal 218 2 3 5 2" xfId="18375" xr:uid="{00000000-0005-0000-0000-0000C7460000}"/>
    <cellStyle name="Normal 218 2 3 5 2 2" xfId="18376" xr:uid="{00000000-0005-0000-0000-0000C8460000}"/>
    <cellStyle name="Normal 218 2 3 5 3" xfId="18377" xr:uid="{00000000-0005-0000-0000-0000C9460000}"/>
    <cellStyle name="Normal 218 2 3 6" xfId="18378" xr:uid="{00000000-0005-0000-0000-0000CA460000}"/>
    <cellStyle name="Normal 218 2 4" xfId="18379" xr:uid="{00000000-0005-0000-0000-0000CB460000}"/>
    <cellStyle name="Normal 218 2 4 2" xfId="18380" xr:uid="{00000000-0005-0000-0000-0000CC460000}"/>
    <cellStyle name="Normal 218 2 4 2 2" xfId="18381" xr:uid="{00000000-0005-0000-0000-0000CD460000}"/>
    <cellStyle name="Normal 218 2 4 3" xfId="18382" xr:uid="{00000000-0005-0000-0000-0000CE460000}"/>
    <cellStyle name="Normal 218 2 5" xfId="18383" xr:uid="{00000000-0005-0000-0000-0000CF460000}"/>
    <cellStyle name="Normal 218 2 5 2" xfId="18384" xr:uid="{00000000-0005-0000-0000-0000D0460000}"/>
    <cellStyle name="Normal 218 2 5 2 2" xfId="18385" xr:uid="{00000000-0005-0000-0000-0000D1460000}"/>
    <cellStyle name="Normal 218 2 5 3" xfId="18386" xr:uid="{00000000-0005-0000-0000-0000D2460000}"/>
    <cellStyle name="Normal 218 2 6" xfId="18387" xr:uid="{00000000-0005-0000-0000-0000D3460000}"/>
    <cellStyle name="Normal 218 2 6 2" xfId="18388" xr:uid="{00000000-0005-0000-0000-0000D4460000}"/>
    <cellStyle name="Normal 218 2 6 2 2" xfId="18389" xr:uid="{00000000-0005-0000-0000-0000D5460000}"/>
    <cellStyle name="Normal 218 2 6 3" xfId="18390" xr:uid="{00000000-0005-0000-0000-0000D6460000}"/>
    <cellStyle name="Normal 218 2 7" xfId="18391" xr:uid="{00000000-0005-0000-0000-0000D7460000}"/>
    <cellStyle name="Normal 218 3" xfId="18392" xr:uid="{00000000-0005-0000-0000-0000D8460000}"/>
    <cellStyle name="Normal 218 3 2" xfId="18393" xr:uid="{00000000-0005-0000-0000-0000D9460000}"/>
    <cellStyle name="Normal 218 3 2 2" xfId="18394" xr:uid="{00000000-0005-0000-0000-0000DA460000}"/>
    <cellStyle name="Normal 218 3 3" xfId="18395" xr:uid="{00000000-0005-0000-0000-0000DB460000}"/>
    <cellStyle name="Normal 218 3 3 2" xfId="18396" xr:uid="{00000000-0005-0000-0000-0000DC460000}"/>
    <cellStyle name="Normal 218 3 3 2 2" xfId="18397" xr:uid="{00000000-0005-0000-0000-0000DD460000}"/>
    <cellStyle name="Normal 218 3 3 3" xfId="18398" xr:uid="{00000000-0005-0000-0000-0000DE460000}"/>
    <cellStyle name="Normal 218 3 4" xfId="18399" xr:uid="{00000000-0005-0000-0000-0000DF460000}"/>
    <cellStyle name="Normal 218 3 4 2" xfId="18400" xr:uid="{00000000-0005-0000-0000-0000E0460000}"/>
    <cellStyle name="Normal 218 3 4 2 2" xfId="18401" xr:uid="{00000000-0005-0000-0000-0000E1460000}"/>
    <cellStyle name="Normal 218 3 4 3" xfId="18402" xr:uid="{00000000-0005-0000-0000-0000E2460000}"/>
    <cellStyle name="Normal 218 3 5" xfId="18403" xr:uid="{00000000-0005-0000-0000-0000E3460000}"/>
    <cellStyle name="Normal 218 4" xfId="18404" xr:uid="{00000000-0005-0000-0000-0000E4460000}"/>
    <cellStyle name="Normal 218 4 2" xfId="18405" xr:uid="{00000000-0005-0000-0000-0000E5460000}"/>
    <cellStyle name="Normal 218 4 2 2" xfId="18406" xr:uid="{00000000-0005-0000-0000-0000E6460000}"/>
    <cellStyle name="Normal 218 4 2 2 2" xfId="18407" xr:uid="{00000000-0005-0000-0000-0000E7460000}"/>
    <cellStyle name="Normal 218 4 2 3" xfId="18408" xr:uid="{00000000-0005-0000-0000-0000E8460000}"/>
    <cellStyle name="Normal 218 4 2 3 2" xfId="18409" xr:uid="{00000000-0005-0000-0000-0000E9460000}"/>
    <cellStyle name="Normal 218 4 2 3 2 2" xfId="18410" xr:uid="{00000000-0005-0000-0000-0000EA460000}"/>
    <cellStyle name="Normal 218 4 2 3 3" xfId="18411" xr:uid="{00000000-0005-0000-0000-0000EB460000}"/>
    <cellStyle name="Normal 218 4 2 4" xfId="18412" xr:uid="{00000000-0005-0000-0000-0000EC460000}"/>
    <cellStyle name="Normal 218 4 3" xfId="18413" xr:uid="{00000000-0005-0000-0000-0000ED460000}"/>
    <cellStyle name="Normal 218 4 3 2" xfId="18414" xr:uid="{00000000-0005-0000-0000-0000EE460000}"/>
    <cellStyle name="Normal 218 4 3 2 2" xfId="18415" xr:uid="{00000000-0005-0000-0000-0000EF460000}"/>
    <cellStyle name="Normal 218 4 3 3" xfId="18416" xr:uid="{00000000-0005-0000-0000-0000F0460000}"/>
    <cellStyle name="Normal 218 4 4" xfId="18417" xr:uid="{00000000-0005-0000-0000-0000F1460000}"/>
    <cellStyle name="Normal 218 4 4 2" xfId="18418" xr:uid="{00000000-0005-0000-0000-0000F2460000}"/>
    <cellStyle name="Normal 218 4 4 2 2" xfId="18419" xr:uid="{00000000-0005-0000-0000-0000F3460000}"/>
    <cellStyle name="Normal 218 4 4 3" xfId="18420" xr:uid="{00000000-0005-0000-0000-0000F4460000}"/>
    <cellStyle name="Normal 218 4 5" xfId="18421" xr:uid="{00000000-0005-0000-0000-0000F5460000}"/>
    <cellStyle name="Normal 218 4 5 2" xfId="18422" xr:uid="{00000000-0005-0000-0000-0000F6460000}"/>
    <cellStyle name="Normal 218 4 5 2 2" xfId="18423" xr:uid="{00000000-0005-0000-0000-0000F7460000}"/>
    <cellStyle name="Normal 218 4 5 3" xfId="18424" xr:uid="{00000000-0005-0000-0000-0000F8460000}"/>
    <cellStyle name="Normal 218 4 6" xfId="18425" xr:uid="{00000000-0005-0000-0000-0000F9460000}"/>
    <cellStyle name="Normal 218 5" xfId="18426" xr:uid="{00000000-0005-0000-0000-0000FA460000}"/>
    <cellStyle name="Normal 218 5 2" xfId="18427" xr:uid="{00000000-0005-0000-0000-0000FB460000}"/>
    <cellStyle name="Normal 218 5 2 2" xfId="18428" xr:uid="{00000000-0005-0000-0000-0000FC460000}"/>
    <cellStyle name="Normal 218 5 3" xfId="18429" xr:uid="{00000000-0005-0000-0000-0000FD460000}"/>
    <cellStyle name="Normal 218 6" xfId="18430" xr:uid="{00000000-0005-0000-0000-0000FE460000}"/>
    <cellStyle name="Normal 218 6 2" xfId="18431" xr:uid="{00000000-0005-0000-0000-0000FF460000}"/>
    <cellStyle name="Normal 218 6 2 2" xfId="18432" xr:uid="{00000000-0005-0000-0000-000000470000}"/>
    <cellStyle name="Normal 218 6 3" xfId="18433" xr:uid="{00000000-0005-0000-0000-000001470000}"/>
    <cellStyle name="Normal 218 7" xfId="18434" xr:uid="{00000000-0005-0000-0000-000002470000}"/>
    <cellStyle name="Normal 218 7 2" xfId="18435" xr:uid="{00000000-0005-0000-0000-000003470000}"/>
    <cellStyle name="Normal 218 7 2 2" xfId="18436" xr:uid="{00000000-0005-0000-0000-000004470000}"/>
    <cellStyle name="Normal 218 7 3" xfId="18437" xr:uid="{00000000-0005-0000-0000-000005470000}"/>
    <cellStyle name="Normal 218 8" xfId="18438" xr:uid="{00000000-0005-0000-0000-000006470000}"/>
    <cellStyle name="Normal 219" xfId="18439" xr:uid="{00000000-0005-0000-0000-000007470000}"/>
    <cellStyle name="Normal 219 2" xfId="18440" xr:uid="{00000000-0005-0000-0000-000008470000}"/>
    <cellStyle name="Normal 219 2 2" xfId="18441" xr:uid="{00000000-0005-0000-0000-000009470000}"/>
    <cellStyle name="Normal 219 2 2 2" xfId="18442" xr:uid="{00000000-0005-0000-0000-00000A470000}"/>
    <cellStyle name="Normal 219 2 2 2 2" xfId="18443" xr:uid="{00000000-0005-0000-0000-00000B470000}"/>
    <cellStyle name="Normal 219 2 2 3" xfId="18444" xr:uid="{00000000-0005-0000-0000-00000C470000}"/>
    <cellStyle name="Normal 219 2 2 3 2" xfId="18445" xr:uid="{00000000-0005-0000-0000-00000D470000}"/>
    <cellStyle name="Normal 219 2 2 3 2 2" xfId="18446" xr:uid="{00000000-0005-0000-0000-00000E470000}"/>
    <cellStyle name="Normal 219 2 2 3 3" xfId="18447" xr:uid="{00000000-0005-0000-0000-00000F470000}"/>
    <cellStyle name="Normal 219 2 2 4" xfId="18448" xr:uid="{00000000-0005-0000-0000-000010470000}"/>
    <cellStyle name="Normal 219 2 2 4 2" xfId="18449" xr:uid="{00000000-0005-0000-0000-000011470000}"/>
    <cellStyle name="Normal 219 2 2 4 2 2" xfId="18450" xr:uid="{00000000-0005-0000-0000-000012470000}"/>
    <cellStyle name="Normal 219 2 2 4 3" xfId="18451" xr:uid="{00000000-0005-0000-0000-000013470000}"/>
    <cellStyle name="Normal 219 2 2 5" xfId="18452" xr:uid="{00000000-0005-0000-0000-000014470000}"/>
    <cellStyle name="Normal 219 2 3" xfId="18453" xr:uid="{00000000-0005-0000-0000-000015470000}"/>
    <cellStyle name="Normal 219 2 3 2" xfId="18454" xr:uid="{00000000-0005-0000-0000-000016470000}"/>
    <cellStyle name="Normal 219 2 3 2 2" xfId="18455" xr:uid="{00000000-0005-0000-0000-000017470000}"/>
    <cellStyle name="Normal 219 2 3 2 2 2" xfId="18456" xr:uid="{00000000-0005-0000-0000-000018470000}"/>
    <cellStyle name="Normal 219 2 3 2 3" xfId="18457" xr:uid="{00000000-0005-0000-0000-000019470000}"/>
    <cellStyle name="Normal 219 2 3 2 3 2" xfId="18458" xr:uid="{00000000-0005-0000-0000-00001A470000}"/>
    <cellStyle name="Normal 219 2 3 2 3 2 2" xfId="18459" xr:uid="{00000000-0005-0000-0000-00001B470000}"/>
    <cellStyle name="Normal 219 2 3 2 3 3" xfId="18460" xr:uid="{00000000-0005-0000-0000-00001C470000}"/>
    <cellStyle name="Normal 219 2 3 2 4" xfId="18461" xr:uid="{00000000-0005-0000-0000-00001D470000}"/>
    <cellStyle name="Normal 219 2 3 3" xfId="18462" xr:uid="{00000000-0005-0000-0000-00001E470000}"/>
    <cellStyle name="Normal 219 2 3 3 2" xfId="18463" xr:uid="{00000000-0005-0000-0000-00001F470000}"/>
    <cellStyle name="Normal 219 2 3 3 2 2" xfId="18464" xr:uid="{00000000-0005-0000-0000-000020470000}"/>
    <cellStyle name="Normal 219 2 3 3 3" xfId="18465" xr:uid="{00000000-0005-0000-0000-000021470000}"/>
    <cellStyle name="Normal 219 2 3 4" xfId="18466" xr:uid="{00000000-0005-0000-0000-000022470000}"/>
    <cellStyle name="Normal 219 2 3 4 2" xfId="18467" xr:uid="{00000000-0005-0000-0000-000023470000}"/>
    <cellStyle name="Normal 219 2 3 4 2 2" xfId="18468" xr:uid="{00000000-0005-0000-0000-000024470000}"/>
    <cellStyle name="Normal 219 2 3 4 3" xfId="18469" xr:uid="{00000000-0005-0000-0000-000025470000}"/>
    <cellStyle name="Normal 219 2 3 5" xfId="18470" xr:uid="{00000000-0005-0000-0000-000026470000}"/>
    <cellStyle name="Normal 219 2 3 5 2" xfId="18471" xr:uid="{00000000-0005-0000-0000-000027470000}"/>
    <cellStyle name="Normal 219 2 3 5 2 2" xfId="18472" xr:uid="{00000000-0005-0000-0000-000028470000}"/>
    <cellStyle name="Normal 219 2 3 5 3" xfId="18473" xr:uid="{00000000-0005-0000-0000-000029470000}"/>
    <cellStyle name="Normal 219 2 3 6" xfId="18474" xr:uid="{00000000-0005-0000-0000-00002A470000}"/>
    <cellStyle name="Normal 219 2 4" xfId="18475" xr:uid="{00000000-0005-0000-0000-00002B470000}"/>
    <cellStyle name="Normal 219 2 4 2" xfId="18476" xr:uid="{00000000-0005-0000-0000-00002C470000}"/>
    <cellStyle name="Normal 219 2 4 2 2" xfId="18477" xr:uid="{00000000-0005-0000-0000-00002D470000}"/>
    <cellStyle name="Normal 219 2 4 3" xfId="18478" xr:uid="{00000000-0005-0000-0000-00002E470000}"/>
    <cellStyle name="Normal 219 2 5" xfId="18479" xr:uid="{00000000-0005-0000-0000-00002F470000}"/>
    <cellStyle name="Normal 219 2 5 2" xfId="18480" xr:uid="{00000000-0005-0000-0000-000030470000}"/>
    <cellStyle name="Normal 219 2 5 2 2" xfId="18481" xr:uid="{00000000-0005-0000-0000-000031470000}"/>
    <cellStyle name="Normal 219 2 5 3" xfId="18482" xr:uid="{00000000-0005-0000-0000-000032470000}"/>
    <cellStyle name="Normal 219 2 6" xfId="18483" xr:uid="{00000000-0005-0000-0000-000033470000}"/>
    <cellStyle name="Normal 219 2 6 2" xfId="18484" xr:uid="{00000000-0005-0000-0000-000034470000}"/>
    <cellStyle name="Normal 219 2 6 2 2" xfId="18485" xr:uid="{00000000-0005-0000-0000-000035470000}"/>
    <cellStyle name="Normal 219 2 6 3" xfId="18486" xr:uid="{00000000-0005-0000-0000-000036470000}"/>
    <cellStyle name="Normal 219 2 7" xfId="18487" xr:uid="{00000000-0005-0000-0000-000037470000}"/>
    <cellStyle name="Normal 219 3" xfId="18488" xr:uid="{00000000-0005-0000-0000-000038470000}"/>
    <cellStyle name="Normal 219 3 2" xfId="18489" xr:uid="{00000000-0005-0000-0000-000039470000}"/>
    <cellStyle name="Normal 219 3 2 2" xfId="18490" xr:uid="{00000000-0005-0000-0000-00003A470000}"/>
    <cellStyle name="Normal 219 3 3" xfId="18491" xr:uid="{00000000-0005-0000-0000-00003B470000}"/>
    <cellStyle name="Normal 219 3 3 2" xfId="18492" xr:uid="{00000000-0005-0000-0000-00003C470000}"/>
    <cellStyle name="Normal 219 3 3 2 2" xfId="18493" xr:uid="{00000000-0005-0000-0000-00003D470000}"/>
    <cellStyle name="Normal 219 3 3 3" xfId="18494" xr:uid="{00000000-0005-0000-0000-00003E470000}"/>
    <cellStyle name="Normal 219 3 4" xfId="18495" xr:uid="{00000000-0005-0000-0000-00003F470000}"/>
    <cellStyle name="Normal 219 3 4 2" xfId="18496" xr:uid="{00000000-0005-0000-0000-000040470000}"/>
    <cellStyle name="Normal 219 3 4 2 2" xfId="18497" xr:uid="{00000000-0005-0000-0000-000041470000}"/>
    <cellStyle name="Normal 219 3 4 3" xfId="18498" xr:uid="{00000000-0005-0000-0000-000042470000}"/>
    <cellStyle name="Normal 219 3 5" xfId="18499" xr:uid="{00000000-0005-0000-0000-000043470000}"/>
    <cellStyle name="Normal 219 4" xfId="18500" xr:uid="{00000000-0005-0000-0000-000044470000}"/>
    <cellStyle name="Normal 219 4 2" xfId="18501" xr:uid="{00000000-0005-0000-0000-000045470000}"/>
    <cellStyle name="Normal 219 4 2 2" xfId="18502" xr:uid="{00000000-0005-0000-0000-000046470000}"/>
    <cellStyle name="Normal 219 4 2 2 2" xfId="18503" xr:uid="{00000000-0005-0000-0000-000047470000}"/>
    <cellStyle name="Normal 219 4 2 3" xfId="18504" xr:uid="{00000000-0005-0000-0000-000048470000}"/>
    <cellStyle name="Normal 219 4 2 3 2" xfId="18505" xr:uid="{00000000-0005-0000-0000-000049470000}"/>
    <cellStyle name="Normal 219 4 2 3 2 2" xfId="18506" xr:uid="{00000000-0005-0000-0000-00004A470000}"/>
    <cellStyle name="Normal 219 4 2 3 3" xfId="18507" xr:uid="{00000000-0005-0000-0000-00004B470000}"/>
    <cellStyle name="Normal 219 4 2 4" xfId="18508" xr:uid="{00000000-0005-0000-0000-00004C470000}"/>
    <cellStyle name="Normal 219 4 3" xfId="18509" xr:uid="{00000000-0005-0000-0000-00004D470000}"/>
    <cellStyle name="Normal 219 4 3 2" xfId="18510" xr:uid="{00000000-0005-0000-0000-00004E470000}"/>
    <cellStyle name="Normal 219 4 3 2 2" xfId="18511" xr:uid="{00000000-0005-0000-0000-00004F470000}"/>
    <cellStyle name="Normal 219 4 3 3" xfId="18512" xr:uid="{00000000-0005-0000-0000-000050470000}"/>
    <cellStyle name="Normal 219 4 4" xfId="18513" xr:uid="{00000000-0005-0000-0000-000051470000}"/>
    <cellStyle name="Normal 219 4 4 2" xfId="18514" xr:uid="{00000000-0005-0000-0000-000052470000}"/>
    <cellStyle name="Normal 219 4 4 2 2" xfId="18515" xr:uid="{00000000-0005-0000-0000-000053470000}"/>
    <cellStyle name="Normal 219 4 4 3" xfId="18516" xr:uid="{00000000-0005-0000-0000-000054470000}"/>
    <cellStyle name="Normal 219 4 5" xfId="18517" xr:uid="{00000000-0005-0000-0000-000055470000}"/>
    <cellStyle name="Normal 219 4 5 2" xfId="18518" xr:uid="{00000000-0005-0000-0000-000056470000}"/>
    <cellStyle name="Normal 219 4 5 2 2" xfId="18519" xr:uid="{00000000-0005-0000-0000-000057470000}"/>
    <cellStyle name="Normal 219 4 5 3" xfId="18520" xr:uid="{00000000-0005-0000-0000-000058470000}"/>
    <cellStyle name="Normal 219 4 6" xfId="18521" xr:uid="{00000000-0005-0000-0000-000059470000}"/>
    <cellStyle name="Normal 219 5" xfId="18522" xr:uid="{00000000-0005-0000-0000-00005A470000}"/>
    <cellStyle name="Normal 219 5 2" xfId="18523" xr:uid="{00000000-0005-0000-0000-00005B470000}"/>
    <cellStyle name="Normal 219 5 2 2" xfId="18524" xr:uid="{00000000-0005-0000-0000-00005C470000}"/>
    <cellStyle name="Normal 219 5 3" xfId="18525" xr:uid="{00000000-0005-0000-0000-00005D470000}"/>
    <cellStyle name="Normal 219 6" xfId="18526" xr:uid="{00000000-0005-0000-0000-00005E470000}"/>
    <cellStyle name="Normal 219 6 2" xfId="18527" xr:uid="{00000000-0005-0000-0000-00005F470000}"/>
    <cellStyle name="Normal 219 6 2 2" xfId="18528" xr:uid="{00000000-0005-0000-0000-000060470000}"/>
    <cellStyle name="Normal 219 6 3" xfId="18529" xr:uid="{00000000-0005-0000-0000-000061470000}"/>
    <cellStyle name="Normal 219 7" xfId="18530" xr:uid="{00000000-0005-0000-0000-000062470000}"/>
    <cellStyle name="Normal 219 7 2" xfId="18531" xr:uid="{00000000-0005-0000-0000-000063470000}"/>
    <cellStyle name="Normal 219 7 2 2" xfId="18532" xr:uid="{00000000-0005-0000-0000-000064470000}"/>
    <cellStyle name="Normal 219 7 3" xfId="18533" xr:uid="{00000000-0005-0000-0000-000065470000}"/>
    <cellStyle name="Normal 219 8" xfId="18534" xr:uid="{00000000-0005-0000-0000-000066470000}"/>
    <cellStyle name="Normal 22" xfId="18535" xr:uid="{00000000-0005-0000-0000-000067470000}"/>
    <cellStyle name="Normal 22 2" xfId="18536" xr:uid="{00000000-0005-0000-0000-000068470000}"/>
    <cellStyle name="Normal 22 2 2" xfId="18537" xr:uid="{00000000-0005-0000-0000-000069470000}"/>
    <cellStyle name="Normal 22 2 2 2" xfId="18538" xr:uid="{00000000-0005-0000-0000-00006A470000}"/>
    <cellStyle name="Normal 22 2 2 2 2" xfId="18539" xr:uid="{00000000-0005-0000-0000-00006B470000}"/>
    <cellStyle name="Normal 22 2 2 3" xfId="18540" xr:uid="{00000000-0005-0000-0000-00006C470000}"/>
    <cellStyle name="Normal 22 2 2 3 2" xfId="18541" xr:uid="{00000000-0005-0000-0000-00006D470000}"/>
    <cellStyle name="Normal 22 2 2 3 2 2" xfId="18542" xr:uid="{00000000-0005-0000-0000-00006E470000}"/>
    <cellStyle name="Normal 22 2 2 3 3" xfId="18543" xr:uid="{00000000-0005-0000-0000-00006F470000}"/>
    <cellStyle name="Normal 22 2 2 4" xfId="18544" xr:uid="{00000000-0005-0000-0000-000070470000}"/>
    <cellStyle name="Normal 22 2 2 4 2" xfId="18545" xr:uid="{00000000-0005-0000-0000-000071470000}"/>
    <cellStyle name="Normal 22 2 2 4 2 2" xfId="18546" xr:uid="{00000000-0005-0000-0000-000072470000}"/>
    <cellStyle name="Normal 22 2 2 4 3" xfId="18547" xr:uid="{00000000-0005-0000-0000-000073470000}"/>
    <cellStyle name="Normal 22 2 2 5" xfId="18548" xr:uid="{00000000-0005-0000-0000-000074470000}"/>
    <cellStyle name="Normal 22 2 3" xfId="18549" xr:uid="{00000000-0005-0000-0000-000075470000}"/>
    <cellStyle name="Normal 22 2 3 2" xfId="18550" xr:uid="{00000000-0005-0000-0000-000076470000}"/>
    <cellStyle name="Normal 22 2 3 2 2" xfId="18551" xr:uid="{00000000-0005-0000-0000-000077470000}"/>
    <cellStyle name="Normal 22 2 3 3" xfId="18552" xr:uid="{00000000-0005-0000-0000-000078470000}"/>
    <cellStyle name="Normal 22 2 4" xfId="18553" xr:uid="{00000000-0005-0000-0000-000079470000}"/>
    <cellStyle name="Normal 22 2 4 2" xfId="18554" xr:uid="{00000000-0005-0000-0000-00007A470000}"/>
    <cellStyle name="Normal 22 2 4 2 2" xfId="18555" xr:uid="{00000000-0005-0000-0000-00007B470000}"/>
    <cellStyle name="Normal 22 2 4 3" xfId="18556" xr:uid="{00000000-0005-0000-0000-00007C470000}"/>
    <cellStyle name="Normal 22 2 5" xfId="18557" xr:uid="{00000000-0005-0000-0000-00007D470000}"/>
    <cellStyle name="Normal 22 2 5 2" xfId="18558" xr:uid="{00000000-0005-0000-0000-00007E470000}"/>
    <cellStyle name="Normal 22 2 5 2 2" xfId="18559" xr:uid="{00000000-0005-0000-0000-00007F470000}"/>
    <cellStyle name="Normal 22 2 5 3" xfId="18560" xr:uid="{00000000-0005-0000-0000-000080470000}"/>
    <cellStyle name="Normal 22 2 6" xfId="18561" xr:uid="{00000000-0005-0000-0000-000081470000}"/>
    <cellStyle name="Normal 22 3" xfId="18562" xr:uid="{00000000-0005-0000-0000-000082470000}"/>
    <cellStyle name="Normal 22 3 2" xfId="18563" xr:uid="{00000000-0005-0000-0000-000083470000}"/>
    <cellStyle name="Normal 22 3 2 2" xfId="18564" xr:uid="{00000000-0005-0000-0000-000084470000}"/>
    <cellStyle name="Normal 22 3 3" xfId="18565" xr:uid="{00000000-0005-0000-0000-000085470000}"/>
    <cellStyle name="Normal 22 3 3 2" xfId="18566" xr:uid="{00000000-0005-0000-0000-000086470000}"/>
    <cellStyle name="Normal 22 3 3 2 2" xfId="18567" xr:uid="{00000000-0005-0000-0000-000087470000}"/>
    <cellStyle name="Normal 22 3 3 3" xfId="18568" xr:uid="{00000000-0005-0000-0000-000088470000}"/>
    <cellStyle name="Normal 22 3 4" xfId="18569" xr:uid="{00000000-0005-0000-0000-000089470000}"/>
    <cellStyle name="Normal 22 3 4 2" xfId="18570" xr:uid="{00000000-0005-0000-0000-00008A470000}"/>
    <cellStyle name="Normal 22 3 4 2 2" xfId="18571" xr:uid="{00000000-0005-0000-0000-00008B470000}"/>
    <cellStyle name="Normal 22 3 4 3" xfId="18572" xr:uid="{00000000-0005-0000-0000-00008C470000}"/>
    <cellStyle name="Normal 22 3 5" xfId="18573" xr:uid="{00000000-0005-0000-0000-00008D470000}"/>
    <cellStyle name="Normal 22 4" xfId="18574" xr:uid="{00000000-0005-0000-0000-00008E470000}"/>
    <cellStyle name="Normal 22 4 2" xfId="18575" xr:uid="{00000000-0005-0000-0000-00008F470000}"/>
    <cellStyle name="Normal 22 4 2 2" xfId="18576" xr:uid="{00000000-0005-0000-0000-000090470000}"/>
    <cellStyle name="Normal 22 4 2 2 2" xfId="18577" xr:uid="{00000000-0005-0000-0000-000091470000}"/>
    <cellStyle name="Normal 22 4 2 3" xfId="18578" xr:uid="{00000000-0005-0000-0000-000092470000}"/>
    <cellStyle name="Normal 22 4 2 3 2" xfId="18579" xr:uid="{00000000-0005-0000-0000-000093470000}"/>
    <cellStyle name="Normal 22 4 2 3 2 2" xfId="18580" xr:uid="{00000000-0005-0000-0000-000094470000}"/>
    <cellStyle name="Normal 22 4 2 3 3" xfId="18581" xr:uid="{00000000-0005-0000-0000-000095470000}"/>
    <cellStyle name="Normal 22 4 2 4" xfId="18582" xr:uid="{00000000-0005-0000-0000-000096470000}"/>
    <cellStyle name="Normal 22 4 3" xfId="18583" xr:uid="{00000000-0005-0000-0000-000097470000}"/>
    <cellStyle name="Normal 22 4 3 2" xfId="18584" xr:uid="{00000000-0005-0000-0000-000098470000}"/>
    <cellStyle name="Normal 22 4 3 2 2" xfId="18585" xr:uid="{00000000-0005-0000-0000-000099470000}"/>
    <cellStyle name="Normal 22 4 3 3" xfId="18586" xr:uid="{00000000-0005-0000-0000-00009A470000}"/>
    <cellStyle name="Normal 22 4 4" xfId="18587" xr:uid="{00000000-0005-0000-0000-00009B470000}"/>
    <cellStyle name="Normal 22 4 4 2" xfId="18588" xr:uid="{00000000-0005-0000-0000-00009C470000}"/>
    <cellStyle name="Normal 22 4 4 2 2" xfId="18589" xr:uid="{00000000-0005-0000-0000-00009D470000}"/>
    <cellStyle name="Normal 22 4 4 3" xfId="18590" xr:uid="{00000000-0005-0000-0000-00009E470000}"/>
    <cellStyle name="Normal 22 4 5" xfId="18591" xr:uid="{00000000-0005-0000-0000-00009F470000}"/>
    <cellStyle name="Normal 22 4 5 2" xfId="18592" xr:uid="{00000000-0005-0000-0000-0000A0470000}"/>
    <cellStyle name="Normal 22 4 5 2 2" xfId="18593" xr:uid="{00000000-0005-0000-0000-0000A1470000}"/>
    <cellStyle name="Normal 22 4 5 3" xfId="18594" xr:uid="{00000000-0005-0000-0000-0000A2470000}"/>
    <cellStyle name="Normal 22 4 6" xfId="18595" xr:uid="{00000000-0005-0000-0000-0000A3470000}"/>
    <cellStyle name="Normal 22 5" xfId="18596" xr:uid="{00000000-0005-0000-0000-0000A4470000}"/>
    <cellStyle name="Normal 220" xfId="18597" xr:uid="{00000000-0005-0000-0000-0000A5470000}"/>
    <cellStyle name="Normal 220 2" xfId="18598" xr:uid="{00000000-0005-0000-0000-0000A6470000}"/>
    <cellStyle name="Normal 220 2 2" xfId="18599" xr:uid="{00000000-0005-0000-0000-0000A7470000}"/>
    <cellStyle name="Normal 220 2 2 2" xfId="18600" xr:uid="{00000000-0005-0000-0000-0000A8470000}"/>
    <cellStyle name="Normal 220 2 2 2 2" xfId="18601" xr:uid="{00000000-0005-0000-0000-0000A9470000}"/>
    <cellStyle name="Normal 220 2 2 3" xfId="18602" xr:uid="{00000000-0005-0000-0000-0000AA470000}"/>
    <cellStyle name="Normal 220 2 2 3 2" xfId="18603" xr:uid="{00000000-0005-0000-0000-0000AB470000}"/>
    <cellStyle name="Normal 220 2 2 3 2 2" xfId="18604" xr:uid="{00000000-0005-0000-0000-0000AC470000}"/>
    <cellStyle name="Normal 220 2 2 3 3" xfId="18605" xr:uid="{00000000-0005-0000-0000-0000AD470000}"/>
    <cellStyle name="Normal 220 2 2 4" xfId="18606" xr:uid="{00000000-0005-0000-0000-0000AE470000}"/>
    <cellStyle name="Normal 220 2 2 4 2" xfId="18607" xr:uid="{00000000-0005-0000-0000-0000AF470000}"/>
    <cellStyle name="Normal 220 2 2 4 2 2" xfId="18608" xr:uid="{00000000-0005-0000-0000-0000B0470000}"/>
    <cellStyle name="Normal 220 2 2 4 3" xfId="18609" xr:uid="{00000000-0005-0000-0000-0000B1470000}"/>
    <cellStyle name="Normal 220 2 2 5" xfId="18610" xr:uid="{00000000-0005-0000-0000-0000B2470000}"/>
    <cellStyle name="Normal 220 2 3" xfId="18611" xr:uid="{00000000-0005-0000-0000-0000B3470000}"/>
    <cellStyle name="Normal 220 2 3 2" xfId="18612" xr:uid="{00000000-0005-0000-0000-0000B4470000}"/>
    <cellStyle name="Normal 220 2 3 2 2" xfId="18613" xr:uid="{00000000-0005-0000-0000-0000B5470000}"/>
    <cellStyle name="Normal 220 2 3 2 2 2" xfId="18614" xr:uid="{00000000-0005-0000-0000-0000B6470000}"/>
    <cellStyle name="Normal 220 2 3 2 3" xfId="18615" xr:uid="{00000000-0005-0000-0000-0000B7470000}"/>
    <cellStyle name="Normal 220 2 3 2 3 2" xfId="18616" xr:uid="{00000000-0005-0000-0000-0000B8470000}"/>
    <cellStyle name="Normal 220 2 3 2 3 2 2" xfId="18617" xr:uid="{00000000-0005-0000-0000-0000B9470000}"/>
    <cellStyle name="Normal 220 2 3 2 3 3" xfId="18618" xr:uid="{00000000-0005-0000-0000-0000BA470000}"/>
    <cellStyle name="Normal 220 2 3 2 4" xfId="18619" xr:uid="{00000000-0005-0000-0000-0000BB470000}"/>
    <cellStyle name="Normal 220 2 3 3" xfId="18620" xr:uid="{00000000-0005-0000-0000-0000BC470000}"/>
    <cellStyle name="Normal 220 2 3 3 2" xfId="18621" xr:uid="{00000000-0005-0000-0000-0000BD470000}"/>
    <cellStyle name="Normal 220 2 3 3 2 2" xfId="18622" xr:uid="{00000000-0005-0000-0000-0000BE470000}"/>
    <cellStyle name="Normal 220 2 3 3 3" xfId="18623" xr:uid="{00000000-0005-0000-0000-0000BF470000}"/>
    <cellStyle name="Normal 220 2 3 4" xfId="18624" xr:uid="{00000000-0005-0000-0000-0000C0470000}"/>
    <cellStyle name="Normal 220 2 3 4 2" xfId="18625" xr:uid="{00000000-0005-0000-0000-0000C1470000}"/>
    <cellStyle name="Normal 220 2 3 4 2 2" xfId="18626" xr:uid="{00000000-0005-0000-0000-0000C2470000}"/>
    <cellStyle name="Normal 220 2 3 4 3" xfId="18627" xr:uid="{00000000-0005-0000-0000-0000C3470000}"/>
    <cellStyle name="Normal 220 2 3 5" xfId="18628" xr:uid="{00000000-0005-0000-0000-0000C4470000}"/>
    <cellStyle name="Normal 220 2 3 5 2" xfId="18629" xr:uid="{00000000-0005-0000-0000-0000C5470000}"/>
    <cellStyle name="Normal 220 2 3 5 2 2" xfId="18630" xr:uid="{00000000-0005-0000-0000-0000C6470000}"/>
    <cellStyle name="Normal 220 2 3 5 3" xfId="18631" xr:uid="{00000000-0005-0000-0000-0000C7470000}"/>
    <cellStyle name="Normal 220 2 3 6" xfId="18632" xr:uid="{00000000-0005-0000-0000-0000C8470000}"/>
    <cellStyle name="Normal 220 2 4" xfId="18633" xr:uid="{00000000-0005-0000-0000-0000C9470000}"/>
    <cellStyle name="Normal 220 2 4 2" xfId="18634" xr:uid="{00000000-0005-0000-0000-0000CA470000}"/>
    <cellStyle name="Normal 220 2 4 2 2" xfId="18635" xr:uid="{00000000-0005-0000-0000-0000CB470000}"/>
    <cellStyle name="Normal 220 2 4 3" xfId="18636" xr:uid="{00000000-0005-0000-0000-0000CC470000}"/>
    <cellStyle name="Normal 220 2 5" xfId="18637" xr:uid="{00000000-0005-0000-0000-0000CD470000}"/>
    <cellStyle name="Normal 220 2 5 2" xfId="18638" xr:uid="{00000000-0005-0000-0000-0000CE470000}"/>
    <cellStyle name="Normal 220 2 5 2 2" xfId="18639" xr:uid="{00000000-0005-0000-0000-0000CF470000}"/>
    <cellStyle name="Normal 220 2 5 3" xfId="18640" xr:uid="{00000000-0005-0000-0000-0000D0470000}"/>
    <cellStyle name="Normal 220 2 6" xfId="18641" xr:uid="{00000000-0005-0000-0000-0000D1470000}"/>
    <cellStyle name="Normal 220 2 6 2" xfId="18642" xr:uid="{00000000-0005-0000-0000-0000D2470000}"/>
    <cellStyle name="Normal 220 2 6 2 2" xfId="18643" xr:uid="{00000000-0005-0000-0000-0000D3470000}"/>
    <cellStyle name="Normal 220 2 6 3" xfId="18644" xr:uid="{00000000-0005-0000-0000-0000D4470000}"/>
    <cellStyle name="Normal 220 2 7" xfId="18645" xr:uid="{00000000-0005-0000-0000-0000D5470000}"/>
    <cellStyle name="Normal 220 3" xfId="18646" xr:uid="{00000000-0005-0000-0000-0000D6470000}"/>
    <cellStyle name="Normal 220 3 2" xfId="18647" xr:uid="{00000000-0005-0000-0000-0000D7470000}"/>
    <cellStyle name="Normal 220 3 2 2" xfId="18648" xr:uid="{00000000-0005-0000-0000-0000D8470000}"/>
    <cellStyle name="Normal 220 3 3" xfId="18649" xr:uid="{00000000-0005-0000-0000-0000D9470000}"/>
    <cellStyle name="Normal 220 3 3 2" xfId="18650" xr:uid="{00000000-0005-0000-0000-0000DA470000}"/>
    <cellStyle name="Normal 220 3 3 2 2" xfId="18651" xr:uid="{00000000-0005-0000-0000-0000DB470000}"/>
    <cellStyle name="Normal 220 3 3 3" xfId="18652" xr:uid="{00000000-0005-0000-0000-0000DC470000}"/>
    <cellStyle name="Normal 220 3 4" xfId="18653" xr:uid="{00000000-0005-0000-0000-0000DD470000}"/>
    <cellStyle name="Normal 220 3 4 2" xfId="18654" xr:uid="{00000000-0005-0000-0000-0000DE470000}"/>
    <cellStyle name="Normal 220 3 4 2 2" xfId="18655" xr:uid="{00000000-0005-0000-0000-0000DF470000}"/>
    <cellStyle name="Normal 220 3 4 3" xfId="18656" xr:uid="{00000000-0005-0000-0000-0000E0470000}"/>
    <cellStyle name="Normal 220 3 5" xfId="18657" xr:uid="{00000000-0005-0000-0000-0000E1470000}"/>
    <cellStyle name="Normal 220 4" xfId="18658" xr:uid="{00000000-0005-0000-0000-0000E2470000}"/>
    <cellStyle name="Normal 220 4 2" xfId="18659" xr:uid="{00000000-0005-0000-0000-0000E3470000}"/>
    <cellStyle name="Normal 220 4 2 2" xfId="18660" xr:uid="{00000000-0005-0000-0000-0000E4470000}"/>
    <cellStyle name="Normal 220 4 2 2 2" xfId="18661" xr:uid="{00000000-0005-0000-0000-0000E5470000}"/>
    <cellStyle name="Normal 220 4 2 3" xfId="18662" xr:uid="{00000000-0005-0000-0000-0000E6470000}"/>
    <cellStyle name="Normal 220 4 2 3 2" xfId="18663" xr:uid="{00000000-0005-0000-0000-0000E7470000}"/>
    <cellStyle name="Normal 220 4 2 3 2 2" xfId="18664" xr:uid="{00000000-0005-0000-0000-0000E8470000}"/>
    <cellStyle name="Normal 220 4 2 3 3" xfId="18665" xr:uid="{00000000-0005-0000-0000-0000E9470000}"/>
    <cellStyle name="Normal 220 4 2 4" xfId="18666" xr:uid="{00000000-0005-0000-0000-0000EA470000}"/>
    <cellStyle name="Normal 220 4 3" xfId="18667" xr:uid="{00000000-0005-0000-0000-0000EB470000}"/>
    <cellStyle name="Normal 220 4 3 2" xfId="18668" xr:uid="{00000000-0005-0000-0000-0000EC470000}"/>
    <cellStyle name="Normal 220 4 3 2 2" xfId="18669" xr:uid="{00000000-0005-0000-0000-0000ED470000}"/>
    <cellStyle name="Normal 220 4 3 3" xfId="18670" xr:uid="{00000000-0005-0000-0000-0000EE470000}"/>
    <cellStyle name="Normal 220 4 4" xfId="18671" xr:uid="{00000000-0005-0000-0000-0000EF470000}"/>
    <cellStyle name="Normal 220 4 4 2" xfId="18672" xr:uid="{00000000-0005-0000-0000-0000F0470000}"/>
    <cellStyle name="Normal 220 4 4 2 2" xfId="18673" xr:uid="{00000000-0005-0000-0000-0000F1470000}"/>
    <cellStyle name="Normal 220 4 4 3" xfId="18674" xr:uid="{00000000-0005-0000-0000-0000F2470000}"/>
    <cellStyle name="Normal 220 4 5" xfId="18675" xr:uid="{00000000-0005-0000-0000-0000F3470000}"/>
    <cellStyle name="Normal 220 4 5 2" xfId="18676" xr:uid="{00000000-0005-0000-0000-0000F4470000}"/>
    <cellStyle name="Normal 220 4 5 2 2" xfId="18677" xr:uid="{00000000-0005-0000-0000-0000F5470000}"/>
    <cellStyle name="Normal 220 4 5 3" xfId="18678" xr:uid="{00000000-0005-0000-0000-0000F6470000}"/>
    <cellStyle name="Normal 220 4 6" xfId="18679" xr:uid="{00000000-0005-0000-0000-0000F7470000}"/>
    <cellStyle name="Normal 220 5" xfId="18680" xr:uid="{00000000-0005-0000-0000-0000F8470000}"/>
    <cellStyle name="Normal 220 5 2" xfId="18681" xr:uid="{00000000-0005-0000-0000-0000F9470000}"/>
    <cellStyle name="Normal 220 5 2 2" xfId="18682" xr:uid="{00000000-0005-0000-0000-0000FA470000}"/>
    <cellStyle name="Normal 220 5 3" xfId="18683" xr:uid="{00000000-0005-0000-0000-0000FB470000}"/>
    <cellStyle name="Normal 220 6" xfId="18684" xr:uid="{00000000-0005-0000-0000-0000FC470000}"/>
    <cellStyle name="Normal 220 6 2" xfId="18685" xr:uid="{00000000-0005-0000-0000-0000FD470000}"/>
    <cellStyle name="Normal 220 6 2 2" xfId="18686" xr:uid="{00000000-0005-0000-0000-0000FE470000}"/>
    <cellStyle name="Normal 220 6 3" xfId="18687" xr:uid="{00000000-0005-0000-0000-0000FF470000}"/>
    <cellStyle name="Normal 220 7" xfId="18688" xr:uid="{00000000-0005-0000-0000-000000480000}"/>
    <cellStyle name="Normal 220 7 2" xfId="18689" xr:uid="{00000000-0005-0000-0000-000001480000}"/>
    <cellStyle name="Normal 220 7 2 2" xfId="18690" xr:uid="{00000000-0005-0000-0000-000002480000}"/>
    <cellStyle name="Normal 220 7 3" xfId="18691" xr:uid="{00000000-0005-0000-0000-000003480000}"/>
    <cellStyle name="Normal 220 8" xfId="18692" xr:uid="{00000000-0005-0000-0000-000004480000}"/>
    <cellStyle name="Normal 221" xfId="18693" xr:uid="{00000000-0005-0000-0000-000005480000}"/>
    <cellStyle name="Normal 221 2" xfId="18694" xr:uid="{00000000-0005-0000-0000-000006480000}"/>
    <cellStyle name="Normal 221 2 2" xfId="18695" xr:uid="{00000000-0005-0000-0000-000007480000}"/>
    <cellStyle name="Normal 221 2 2 2" xfId="18696" xr:uid="{00000000-0005-0000-0000-000008480000}"/>
    <cellStyle name="Normal 221 2 2 2 2" xfId="18697" xr:uid="{00000000-0005-0000-0000-000009480000}"/>
    <cellStyle name="Normal 221 2 2 3" xfId="18698" xr:uid="{00000000-0005-0000-0000-00000A480000}"/>
    <cellStyle name="Normal 221 2 2 3 2" xfId="18699" xr:uid="{00000000-0005-0000-0000-00000B480000}"/>
    <cellStyle name="Normal 221 2 2 3 2 2" xfId="18700" xr:uid="{00000000-0005-0000-0000-00000C480000}"/>
    <cellStyle name="Normal 221 2 2 3 3" xfId="18701" xr:uid="{00000000-0005-0000-0000-00000D480000}"/>
    <cellStyle name="Normal 221 2 2 4" xfId="18702" xr:uid="{00000000-0005-0000-0000-00000E480000}"/>
    <cellStyle name="Normal 221 2 2 4 2" xfId="18703" xr:uid="{00000000-0005-0000-0000-00000F480000}"/>
    <cellStyle name="Normal 221 2 2 4 2 2" xfId="18704" xr:uid="{00000000-0005-0000-0000-000010480000}"/>
    <cellStyle name="Normal 221 2 2 4 3" xfId="18705" xr:uid="{00000000-0005-0000-0000-000011480000}"/>
    <cellStyle name="Normal 221 2 2 5" xfId="18706" xr:uid="{00000000-0005-0000-0000-000012480000}"/>
    <cellStyle name="Normal 221 2 3" xfId="18707" xr:uid="{00000000-0005-0000-0000-000013480000}"/>
    <cellStyle name="Normal 221 2 3 2" xfId="18708" xr:uid="{00000000-0005-0000-0000-000014480000}"/>
    <cellStyle name="Normal 221 2 3 2 2" xfId="18709" xr:uid="{00000000-0005-0000-0000-000015480000}"/>
    <cellStyle name="Normal 221 2 3 2 2 2" xfId="18710" xr:uid="{00000000-0005-0000-0000-000016480000}"/>
    <cellStyle name="Normal 221 2 3 2 3" xfId="18711" xr:uid="{00000000-0005-0000-0000-000017480000}"/>
    <cellStyle name="Normal 221 2 3 2 3 2" xfId="18712" xr:uid="{00000000-0005-0000-0000-000018480000}"/>
    <cellStyle name="Normal 221 2 3 2 3 2 2" xfId="18713" xr:uid="{00000000-0005-0000-0000-000019480000}"/>
    <cellStyle name="Normal 221 2 3 2 3 3" xfId="18714" xr:uid="{00000000-0005-0000-0000-00001A480000}"/>
    <cellStyle name="Normal 221 2 3 2 4" xfId="18715" xr:uid="{00000000-0005-0000-0000-00001B480000}"/>
    <cellStyle name="Normal 221 2 3 3" xfId="18716" xr:uid="{00000000-0005-0000-0000-00001C480000}"/>
    <cellStyle name="Normal 221 2 3 3 2" xfId="18717" xr:uid="{00000000-0005-0000-0000-00001D480000}"/>
    <cellStyle name="Normal 221 2 3 3 2 2" xfId="18718" xr:uid="{00000000-0005-0000-0000-00001E480000}"/>
    <cellStyle name="Normal 221 2 3 3 3" xfId="18719" xr:uid="{00000000-0005-0000-0000-00001F480000}"/>
    <cellStyle name="Normal 221 2 3 4" xfId="18720" xr:uid="{00000000-0005-0000-0000-000020480000}"/>
    <cellStyle name="Normal 221 2 3 4 2" xfId="18721" xr:uid="{00000000-0005-0000-0000-000021480000}"/>
    <cellStyle name="Normal 221 2 3 4 2 2" xfId="18722" xr:uid="{00000000-0005-0000-0000-000022480000}"/>
    <cellStyle name="Normal 221 2 3 4 3" xfId="18723" xr:uid="{00000000-0005-0000-0000-000023480000}"/>
    <cellStyle name="Normal 221 2 3 5" xfId="18724" xr:uid="{00000000-0005-0000-0000-000024480000}"/>
    <cellStyle name="Normal 221 2 3 5 2" xfId="18725" xr:uid="{00000000-0005-0000-0000-000025480000}"/>
    <cellStyle name="Normal 221 2 3 5 2 2" xfId="18726" xr:uid="{00000000-0005-0000-0000-000026480000}"/>
    <cellStyle name="Normal 221 2 3 5 3" xfId="18727" xr:uid="{00000000-0005-0000-0000-000027480000}"/>
    <cellStyle name="Normal 221 2 3 6" xfId="18728" xr:uid="{00000000-0005-0000-0000-000028480000}"/>
    <cellStyle name="Normal 221 2 4" xfId="18729" xr:uid="{00000000-0005-0000-0000-000029480000}"/>
    <cellStyle name="Normal 221 2 4 2" xfId="18730" xr:uid="{00000000-0005-0000-0000-00002A480000}"/>
    <cellStyle name="Normal 221 2 4 2 2" xfId="18731" xr:uid="{00000000-0005-0000-0000-00002B480000}"/>
    <cellStyle name="Normal 221 2 4 3" xfId="18732" xr:uid="{00000000-0005-0000-0000-00002C480000}"/>
    <cellStyle name="Normal 221 2 5" xfId="18733" xr:uid="{00000000-0005-0000-0000-00002D480000}"/>
    <cellStyle name="Normal 221 2 5 2" xfId="18734" xr:uid="{00000000-0005-0000-0000-00002E480000}"/>
    <cellStyle name="Normal 221 2 5 2 2" xfId="18735" xr:uid="{00000000-0005-0000-0000-00002F480000}"/>
    <cellStyle name="Normal 221 2 5 3" xfId="18736" xr:uid="{00000000-0005-0000-0000-000030480000}"/>
    <cellStyle name="Normal 221 2 6" xfId="18737" xr:uid="{00000000-0005-0000-0000-000031480000}"/>
    <cellStyle name="Normal 221 2 6 2" xfId="18738" xr:uid="{00000000-0005-0000-0000-000032480000}"/>
    <cellStyle name="Normal 221 2 6 2 2" xfId="18739" xr:uid="{00000000-0005-0000-0000-000033480000}"/>
    <cellStyle name="Normal 221 2 6 3" xfId="18740" xr:uid="{00000000-0005-0000-0000-000034480000}"/>
    <cellStyle name="Normal 221 2 7" xfId="18741" xr:uid="{00000000-0005-0000-0000-000035480000}"/>
    <cellStyle name="Normal 221 3" xfId="18742" xr:uid="{00000000-0005-0000-0000-000036480000}"/>
    <cellStyle name="Normal 221 3 2" xfId="18743" xr:uid="{00000000-0005-0000-0000-000037480000}"/>
    <cellStyle name="Normal 221 3 2 2" xfId="18744" xr:uid="{00000000-0005-0000-0000-000038480000}"/>
    <cellStyle name="Normal 221 3 3" xfId="18745" xr:uid="{00000000-0005-0000-0000-000039480000}"/>
    <cellStyle name="Normal 221 3 3 2" xfId="18746" xr:uid="{00000000-0005-0000-0000-00003A480000}"/>
    <cellStyle name="Normal 221 3 3 2 2" xfId="18747" xr:uid="{00000000-0005-0000-0000-00003B480000}"/>
    <cellStyle name="Normal 221 3 3 3" xfId="18748" xr:uid="{00000000-0005-0000-0000-00003C480000}"/>
    <cellStyle name="Normal 221 3 4" xfId="18749" xr:uid="{00000000-0005-0000-0000-00003D480000}"/>
    <cellStyle name="Normal 221 3 4 2" xfId="18750" xr:uid="{00000000-0005-0000-0000-00003E480000}"/>
    <cellStyle name="Normal 221 3 4 2 2" xfId="18751" xr:uid="{00000000-0005-0000-0000-00003F480000}"/>
    <cellStyle name="Normal 221 3 4 3" xfId="18752" xr:uid="{00000000-0005-0000-0000-000040480000}"/>
    <cellStyle name="Normal 221 3 5" xfId="18753" xr:uid="{00000000-0005-0000-0000-000041480000}"/>
    <cellStyle name="Normal 221 4" xfId="18754" xr:uid="{00000000-0005-0000-0000-000042480000}"/>
    <cellStyle name="Normal 221 4 2" xfId="18755" xr:uid="{00000000-0005-0000-0000-000043480000}"/>
    <cellStyle name="Normal 221 4 2 2" xfId="18756" xr:uid="{00000000-0005-0000-0000-000044480000}"/>
    <cellStyle name="Normal 221 4 2 2 2" xfId="18757" xr:uid="{00000000-0005-0000-0000-000045480000}"/>
    <cellStyle name="Normal 221 4 2 3" xfId="18758" xr:uid="{00000000-0005-0000-0000-000046480000}"/>
    <cellStyle name="Normal 221 4 2 3 2" xfId="18759" xr:uid="{00000000-0005-0000-0000-000047480000}"/>
    <cellStyle name="Normal 221 4 2 3 2 2" xfId="18760" xr:uid="{00000000-0005-0000-0000-000048480000}"/>
    <cellStyle name="Normal 221 4 2 3 3" xfId="18761" xr:uid="{00000000-0005-0000-0000-000049480000}"/>
    <cellStyle name="Normal 221 4 2 4" xfId="18762" xr:uid="{00000000-0005-0000-0000-00004A480000}"/>
    <cellStyle name="Normal 221 4 3" xfId="18763" xr:uid="{00000000-0005-0000-0000-00004B480000}"/>
    <cellStyle name="Normal 221 4 3 2" xfId="18764" xr:uid="{00000000-0005-0000-0000-00004C480000}"/>
    <cellStyle name="Normal 221 4 3 2 2" xfId="18765" xr:uid="{00000000-0005-0000-0000-00004D480000}"/>
    <cellStyle name="Normal 221 4 3 3" xfId="18766" xr:uid="{00000000-0005-0000-0000-00004E480000}"/>
    <cellStyle name="Normal 221 4 4" xfId="18767" xr:uid="{00000000-0005-0000-0000-00004F480000}"/>
    <cellStyle name="Normal 221 4 4 2" xfId="18768" xr:uid="{00000000-0005-0000-0000-000050480000}"/>
    <cellStyle name="Normal 221 4 4 2 2" xfId="18769" xr:uid="{00000000-0005-0000-0000-000051480000}"/>
    <cellStyle name="Normal 221 4 4 3" xfId="18770" xr:uid="{00000000-0005-0000-0000-000052480000}"/>
    <cellStyle name="Normal 221 4 5" xfId="18771" xr:uid="{00000000-0005-0000-0000-000053480000}"/>
    <cellStyle name="Normal 221 4 5 2" xfId="18772" xr:uid="{00000000-0005-0000-0000-000054480000}"/>
    <cellStyle name="Normal 221 4 5 2 2" xfId="18773" xr:uid="{00000000-0005-0000-0000-000055480000}"/>
    <cellStyle name="Normal 221 4 5 3" xfId="18774" xr:uid="{00000000-0005-0000-0000-000056480000}"/>
    <cellStyle name="Normal 221 4 6" xfId="18775" xr:uid="{00000000-0005-0000-0000-000057480000}"/>
    <cellStyle name="Normal 221 5" xfId="18776" xr:uid="{00000000-0005-0000-0000-000058480000}"/>
    <cellStyle name="Normal 221 5 2" xfId="18777" xr:uid="{00000000-0005-0000-0000-000059480000}"/>
    <cellStyle name="Normal 221 5 2 2" xfId="18778" xr:uid="{00000000-0005-0000-0000-00005A480000}"/>
    <cellStyle name="Normal 221 5 3" xfId="18779" xr:uid="{00000000-0005-0000-0000-00005B480000}"/>
    <cellStyle name="Normal 221 6" xfId="18780" xr:uid="{00000000-0005-0000-0000-00005C480000}"/>
    <cellStyle name="Normal 221 6 2" xfId="18781" xr:uid="{00000000-0005-0000-0000-00005D480000}"/>
    <cellStyle name="Normal 221 6 2 2" xfId="18782" xr:uid="{00000000-0005-0000-0000-00005E480000}"/>
    <cellStyle name="Normal 221 6 3" xfId="18783" xr:uid="{00000000-0005-0000-0000-00005F480000}"/>
    <cellStyle name="Normal 221 7" xfId="18784" xr:uid="{00000000-0005-0000-0000-000060480000}"/>
    <cellStyle name="Normal 221 7 2" xfId="18785" xr:uid="{00000000-0005-0000-0000-000061480000}"/>
    <cellStyle name="Normal 221 7 2 2" xfId="18786" xr:uid="{00000000-0005-0000-0000-000062480000}"/>
    <cellStyle name="Normal 221 7 3" xfId="18787" xr:uid="{00000000-0005-0000-0000-000063480000}"/>
    <cellStyle name="Normal 221 8" xfId="18788" xr:uid="{00000000-0005-0000-0000-000064480000}"/>
    <cellStyle name="Normal 222" xfId="18789" xr:uid="{00000000-0005-0000-0000-000065480000}"/>
    <cellStyle name="Normal 222 2" xfId="18790" xr:uid="{00000000-0005-0000-0000-000066480000}"/>
    <cellStyle name="Normal 222 2 2" xfId="18791" xr:uid="{00000000-0005-0000-0000-000067480000}"/>
    <cellStyle name="Normal 222 2 2 2" xfId="18792" xr:uid="{00000000-0005-0000-0000-000068480000}"/>
    <cellStyle name="Normal 222 2 2 2 2" xfId="18793" xr:uid="{00000000-0005-0000-0000-000069480000}"/>
    <cellStyle name="Normal 222 2 2 3" xfId="18794" xr:uid="{00000000-0005-0000-0000-00006A480000}"/>
    <cellStyle name="Normal 222 2 2 3 2" xfId="18795" xr:uid="{00000000-0005-0000-0000-00006B480000}"/>
    <cellStyle name="Normal 222 2 2 3 2 2" xfId="18796" xr:uid="{00000000-0005-0000-0000-00006C480000}"/>
    <cellStyle name="Normal 222 2 2 3 3" xfId="18797" xr:uid="{00000000-0005-0000-0000-00006D480000}"/>
    <cellStyle name="Normal 222 2 2 4" xfId="18798" xr:uid="{00000000-0005-0000-0000-00006E480000}"/>
    <cellStyle name="Normal 222 2 2 4 2" xfId="18799" xr:uid="{00000000-0005-0000-0000-00006F480000}"/>
    <cellStyle name="Normal 222 2 2 4 2 2" xfId="18800" xr:uid="{00000000-0005-0000-0000-000070480000}"/>
    <cellStyle name="Normal 222 2 2 4 3" xfId="18801" xr:uid="{00000000-0005-0000-0000-000071480000}"/>
    <cellStyle name="Normal 222 2 2 5" xfId="18802" xr:uid="{00000000-0005-0000-0000-000072480000}"/>
    <cellStyle name="Normal 222 2 3" xfId="18803" xr:uid="{00000000-0005-0000-0000-000073480000}"/>
    <cellStyle name="Normal 222 2 3 2" xfId="18804" xr:uid="{00000000-0005-0000-0000-000074480000}"/>
    <cellStyle name="Normal 222 2 3 2 2" xfId="18805" xr:uid="{00000000-0005-0000-0000-000075480000}"/>
    <cellStyle name="Normal 222 2 3 2 2 2" xfId="18806" xr:uid="{00000000-0005-0000-0000-000076480000}"/>
    <cellStyle name="Normal 222 2 3 2 3" xfId="18807" xr:uid="{00000000-0005-0000-0000-000077480000}"/>
    <cellStyle name="Normal 222 2 3 2 3 2" xfId="18808" xr:uid="{00000000-0005-0000-0000-000078480000}"/>
    <cellStyle name="Normal 222 2 3 2 3 2 2" xfId="18809" xr:uid="{00000000-0005-0000-0000-000079480000}"/>
    <cellStyle name="Normal 222 2 3 2 3 3" xfId="18810" xr:uid="{00000000-0005-0000-0000-00007A480000}"/>
    <cellStyle name="Normal 222 2 3 2 4" xfId="18811" xr:uid="{00000000-0005-0000-0000-00007B480000}"/>
    <cellStyle name="Normal 222 2 3 3" xfId="18812" xr:uid="{00000000-0005-0000-0000-00007C480000}"/>
    <cellStyle name="Normal 222 2 3 3 2" xfId="18813" xr:uid="{00000000-0005-0000-0000-00007D480000}"/>
    <cellStyle name="Normal 222 2 3 3 2 2" xfId="18814" xr:uid="{00000000-0005-0000-0000-00007E480000}"/>
    <cellStyle name="Normal 222 2 3 3 3" xfId="18815" xr:uid="{00000000-0005-0000-0000-00007F480000}"/>
    <cellStyle name="Normal 222 2 3 4" xfId="18816" xr:uid="{00000000-0005-0000-0000-000080480000}"/>
    <cellStyle name="Normal 222 2 3 4 2" xfId="18817" xr:uid="{00000000-0005-0000-0000-000081480000}"/>
    <cellStyle name="Normal 222 2 3 4 2 2" xfId="18818" xr:uid="{00000000-0005-0000-0000-000082480000}"/>
    <cellStyle name="Normal 222 2 3 4 3" xfId="18819" xr:uid="{00000000-0005-0000-0000-000083480000}"/>
    <cellStyle name="Normal 222 2 3 5" xfId="18820" xr:uid="{00000000-0005-0000-0000-000084480000}"/>
    <cellStyle name="Normal 222 2 3 5 2" xfId="18821" xr:uid="{00000000-0005-0000-0000-000085480000}"/>
    <cellStyle name="Normal 222 2 3 5 2 2" xfId="18822" xr:uid="{00000000-0005-0000-0000-000086480000}"/>
    <cellStyle name="Normal 222 2 3 5 3" xfId="18823" xr:uid="{00000000-0005-0000-0000-000087480000}"/>
    <cellStyle name="Normal 222 2 3 6" xfId="18824" xr:uid="{00000000-0005-0000-0000-000088480000}"/>
    <cellStyle name="Normal 222 2 4" xfId="18825" xr:uid="{00000000-0005-0000-0000-000089480000}"/>
    <cellStyle name="Normal 222 2 4 2" xfId="18826" xr:uid="{00000000-0005-0000-0000-00008A480000}"/>
    <cellStyle name="Normal 222 2 4 2 2" xfId="18827" xr:uid="{00000000-0005-0000-0000-00008B480000}"/>
    <cellStyle name="Normal 222 2 4 3" xfId="18828" xr:uid="{00000000-0005-0000-0000-00008C480000}"/>
    <cellStyle name="Normal 222 2 5" xfId="18829" xr:uid="{00000000-0005-0000-0000-00008D480000}"/>
    <cellStyle name="Normal 222 2 5 2" xfId="18830" xr:uid="{00000000-0005-0000-0000-00008E480000}"/>
    <cellStyle name="Normal 222 2 5 2 2" xfId="18831" xr:uid="{00000000-0005-0000-0000-00008F480000}"/>
    <cellStyle name="Normal 222 2 5 3" xfId="18832" xr:uid="{00000000-0005-0000-0000-000090480000}"/>
    <cellStyle name="Normal 222 2 6" xfId="18833" xr:uid="{00000000-0005-0000-0000-000091480000}"/>
    <cellStyle name="Normal 222 2 6 2" xfId="18834" xr:uid="{00000000-0005-0000-0000-000092480000}"/>
    <cellStyle name="Normal 222 2 6 2 2" xfId="18835" xr:uid="{00000000-0005-0000-0000-000093480000}"/>
    <cellStyle name="Normal 222 2 6 3" xfId="18836" xr:uid="{00000000-0005-0000-0000-000094480000}"/>
    <cellStyle name="Normal 222 2 7" xfId="18837" xr:uid="{00000000-0005-0000-0000-000095480000}"/>
    <cellStyle name="Normal 222 3" xfId="18838" xr:uid="{00000000-0005-0000-0000-000096480000}"/>
    <cellStyle name="Normal 222 3 2" xfId="18839" xr:uid="{00000000-0005-0000-0000-000097480000}"/>
    <cellStyle name="Normal 222 3 2 2" xfId="18840" xr:uid="{00000000-0005-0000-0000-000098480000}"/>
    <cellStyle name="Normal 222 3 3" xfId="18841" xr:uid="{00000000-0005-0000-0000-000099480000}"/>
    <cellStyle name="Normal 222 3 3 2" xfId="18842" xr:uid="{00000000-0005-0000-0000-00009A480000}"/>
    <cellStyle name="Normal 222 3 3 2 2" xfId="18843" xr:uid="{00000000-0005-0000-0000-00009B480000}"/>
    <cellStyle name="Normal 222 3 3 3" xfId="18844" xr:uid="{00000000-0005-0000-0000-00009C480000}"/>
    <cellStyle name="Normal 222 3 4" xfId="18845" xr:uid="{00000000-0005-0000-0000-00009D480000}"/>
    <cellStyle name="Normal 222 3 4 2" xfId="18846" xr:uid="{00000000-0005-0000-0000-00009E480000}"/>
    <cellStyle name="Normal 222 3 4 2 2" xfId="18847" xr:uid="{00000000-0005-0000-0000-00009F480000}"/>
    <cellStyle name="Normal 222 3 4 3" xfId="18848" xr:uid="{00000000-0005-0000-0000-0000A0480000}"/>
    <cellStyle name="Normal 222 3 5" xfId="18849" xr:uid="{00000000-0005-0000-0000-0000A1480000}"/>
    <cellStyle name="Normal 222 4" xfId="18850" xr:uid="{00000000-0005-0000-0000-0000A2480000}"/>
    <cellStyle name="Normal 222 4 2" xfId="18851" xr:uid="{00000000-0005-0000-0000-0000A3480000}"/>
    <cellStyle name="Normal 222 4 2 2" xfId="18852" xr:uid="{00000000-0005-0000-0000-0000A4480000}"/>
    <cellStyle name="Normal 222 4 2 2 2" xfId="18853" xr:uid="{00000000-0005-0000-0000-0000A5480000}"/>
    <cellStyle name="Normal 222 4 2 3" xfId="18854" xr:uid="{00000000-0005-0000-0000-0000A6480000}"/>
    <cellStyle name="Normal 222 4 2 3 2" xfId="18855" xr:uid="{00000000-0005-0000-0000-0000A7480000}"/>
    <cellStyle name="Normal 222 4 2 3 2 2" xfId="18856" xr:uid="{00000000-0005-0000-0000-0000A8480000}"/>
    <cellStyle name="Normal 222 4 2 3 3" xfId="18857" xr:uid="{00000000-0005-0000-0000-0000A9480000}"/>
    <cellStyle name="Normal 222 4 2 4" xfId="18858" xr:uid="{00000000-0005-0000-0000-0000AA480000}"/>
    <cellStyle name="Normal 222 4 3" xfId="18859" xr:uid="{00000000-0005-0000-0000-0000AB480000}"/>
    <cellStyle name="Normal 222 4 3 2" xfId="18860" xr:uid="{00000000-0005-0000-0000-0000AC480000}"/>
    <cellStyle name="Normal 222 4 3 2 2" xfId="18861" xr:uid="{00000000-0005-0000-0000-0000AD480000}"/>
    <cellStyle name="Normal 222 4 3 3" xfId="18862" xr:uid="{00000000-0005-0000-0000-0000AE480000}"/>
    <cellStyle name="Normal 222 4 4" xfId="18863" xr:uid="{00000000-0005-0000-0000-0000AF480000}"/>
    <cellStyle name="Normal 222 4 4 2" xfId="18864" xr:uid="{00000000-0005-0000-0000-0000B0480000}"/>
    <cellStyle name="Normal 222 4 4 2 2" xfId="18865" xr:uid="{00000000-0005-0000-0000-0000B1480000}"/>
    <cellStyle name="Normal 222 4 4 3" xfId="18866" xr:uid="{00000000-0005-0000-0000-0000B2480000}"/>
    <cellStyle name="Normal 222 4 5" xfId="18867" xr:uid="{00000000-0005-0000-0000-0000B3480000}"/>
    <cellStyle name="Normal 222 4 5 2" xfId="18868" xr:uid="{00000000-0005-0000-0000-0000B4480000}"/>
    <cellStyle name="Normal 222 4 5 2 2" xfId="18869" xr:uid="{00000000-0005-0000-0000-0000B5480000}"/>
    <cellStyle name="Normal 222 4 5 3" xfId="18870" xr:uid="{00000000-0005-0000-0000-0000B6480000}"/>
    <cellStyle name="Normal 222 4 6" xfId="18871" xr:uid="{00000000-0005-0000-0000-0000B7480000}"/>
    <cellStyle name="Normal 222 5" xfId="18872" xr:uid="{00000000-0005-0000-0000-0000B8480000}"/>
    <cellStyle name="Normal 222 5 2" xfId="18873" xr:uid="{00000000-0005-0000-0000-0000B9480000}"/>
    <cellStyle name="Normal 222 5 2 2" xfId="18874" xr:uid="{00000000-0005-0000-0000-0000BA480000}"/>
    <cellStyle name="Normal 222 5 3" xfId="18875" xr:uid="{00000000-0005-0000-0000-0000BB480000}"/>
    <cellStyle name="Normal 222 6" xfId="18876" xr:uid="{00000000-0005-0000-0000-0000BC480000}"/>
    <cellStyle name="Normal 222 6 2" xfId="18877" xr:uid="{00000000-0005-0000-0000-0000BD480000}"/>
    <cellStyle name="Normal 222 6 2 2" xfId="18878" xr:uid="{00000000-0005-0000-0000-0000BE480000}"/>
    <cellStyle name="Normal 222 6 3" xfId="18879" xr:uid="{00000000-0005-0000-0000-0000BF480000}"/>
    <cellStyle name="Normal 222 7" xfId="18880" xr:uid="{00000000-0005-0000-0000-0000C0480000}"/>
    <cellStyle name="Normal 222 7 2" xfId="18881" xr:uid="{00000000-0005-0000-0000-0000C1480000}"/>
    <cellStyle name="Normal 222 7 2 2" xfId="18882" xr:uid="{00000000-0005-0000-0000-0000C2480000}"/>
    <cellStyle name="Normal 222 7 3" xfId="18883" xr:uid="{00000000-0005-0000-0000-0000C3480000}"/>
    <cellStyle name="Normal 222 8" xfId="18884" xr:uid="{00000000-0005-0000-0000-0000C4480000}"/>
    <cellStyle name="Normal 223" xfId="18885" xr:uid="{00000000-0005-0000-0000-0000C5480000}"/>
    <cellStyle name="Normal 223 2" xfId="18886" xr:uid="{00000000-0005-0000-0000-0000C6480000}"/>
    <cellStyle name="Normal 223 2 2" xfId="18887" xr:uid="{00000000-0005-0000-0000-0000C7480000}"/>
    <cellStyle name="Normal 223 2 2 2" xfId="18888" xr:uid="{00000000-0005-0000-0000-0000C8480000}"/>
    <cellStyle name="Normal 223 2 2 2 2" xfId="18889" xr:uid="{00000000-0005-0000-0000-0000C9480000}"/>
    <cellStyle name="Normal 223 2 2 3" xfId="18890" xr:uid="{00000000-0005-0000-0000-0000CA480000}"/>
    <cellStyle name="Normal 223 2 2 3 2" xfId="18891" xr:uid="{00000000-0005-0000-0000-0000CB480000}"/>
    <cellStyle name="Normal 223 2 2 3 2 2" xfId="18892" xr:uid="{00000000-0005-0000-0000-0000CC480000}"/>
    <cellStyle name="Normal 223 2 2 3 3" xfId="18893" xr:uid="{00000000-0005-0000-0000-0000CD480000}"/>
    <cellStyle name="Normal 223 2 2 4" xfId="18894" xr:uid="{00000000-0005-0000-0000-0000CE480000}"/>
    <cellStyle name="Normal 223 2 2 4 2" xfId="18895" xr:uid="{00000000-0005-0000-0000-0000CF480000}"/>
    <cellStyle name="Normal 223 2 2 4 2 2" xfId="18896" xr:uid="{00000000-0005-0000-0000-0000D0480000}"/>
    <cellStyle name="Normal 223 2 2 4 3" xfId="18897" xr:uid="{00000000-0005-0000-0000-0000D1480000}"/>
    <cellStyle name="Normal 223 2 2 5" xfId="18898" xr:uid="{00000000-0005-0000-0000-0000D2480000}"/>
    <cellStyle name="Normal 223 2 3" xfId="18899" xr:uid="{00000000-0005-0000-0000-0000D3480000}"/>
    <cellStyle name="Normal 223 2 3 2" xfId="18900" xr:uid="{00000000-0005-0000-0000-0000D4480000}"/>
    <cellStyle name="Normal 223 2 3 2 2" xfId="18901" xr:uid="{00000000-0005-0000-0000-0000D5480000}"/>
    <cellStyle name="Normal 223 2 3 2 2 2" xfId="18902" xr:uid="{00000000-0005-0000-0000-0000D6480000}"/>
    <cellStyle name="Normal 223 2 3 2 3" xfId="18903" xr:uid="{00000000-0005-0000-0000-0000D7480000}"/>
    <cellStyle name="Normal 223 2 3 2 3 2" xfId="18904" xr:uid="{00000000-0005-0000-0000-0000D8480000}"/>
    <cellStyle name="Normal 223 2 3 2 3 2 2" xfId="18905" xr:uid="{00000000-0005-0000-0000-0000D9480000}"/>
    <cellStyle name="Normal 223 2 3 2 3 3" xfId="18906" xr:uid="{00000000-0005-0000-0000-0000DA480000}"/>
    <cellStyle name="Normal 223 2 3 2 4" xfId="18907" xr:uid="{00000000-0005-0000-0000-0000DB480000}"/>
    <cellStyle name="Normal 223 2 3 3" xfId="18908" xr:uid="{00000000-0005-0000-0000-0000DC480000}"/>
    <cellStyle name="Normal 223 2 3 3 2" xfId="18909" xr:uid="{00000000-0005-0000-0000-0000DD480000}"/>
    <cellStyle name="Normal 223 2 3 3 2 2" xfId="18910" xr:uid="{00000000-0005-0000-0000-0000DE480000}"/>
    <cellStyle name="Normal 223 2 3 3 3" xfId="18911" xr:uid="{00000000-0005-0000-0000-0000DF480000}"/>
    <cellStyle name="Normal 223 2 3 4" xfId="18912" xr:uid="{00000000-0005-0000-0000-0000E0480000}"/>
    <cellStyle name="Normal 223 2 3 4 2" xfId="18913" xr:uid="{00000000-0005-0000-0000-0000E1480000}"/>
    <cellStyle name="Normal 223 2 3 4 2 2" xfId="18914" xr:uid="{00000000-0005-0000-0000-0000E2480000}"/>
    <cellStyle name="Normal 223 2 3 4 3" xfId="18915" xr:uid="{00000000-0005-0000-0000-0000E3480000}"/>
    <cellStyle name="Normal 223 2 3 5" xfId="18916" xr:uid="{00000000-0005-0000-0000-0000E4480000}"/>
    <cellStyle name="Normal 223 2 3 5 2" xfId="18917" xr:uid="{00000000-0005-0000-0000-0000E5480000}"/>
    <cellStyle name="Normal 223 2 3 5 2 2" xfId="18918" xr:uid="{00000000-0005-0000-0000-0000E6480000}"/>
    <cellStyle name="Normal 223 2 3 5 3" xfId="18919" xr:uid="{00000000-0005-0000-0000-0000E7480000}"/>
    <cellStyle name="Normal 223 2 3 6" xfId="18920" xr:uid="{00000000-0005-0000-0000-0000E8480000}"/>
    <cellStyle name="Normal 223 2 4" xfId="18921" xr:uid="{00000000-0005-0000-0000-0000E9480000}"/>
    <cellStyle name="Normal 223 2 4 2" xfId="18922" xr:uid="{00000000-0005-0000-0000-0000EA480000}"/>
    <cellStyle name="Normal 223 2 4 2 2" xfId="18923" xr:uid="{00000000-0005-0000-0000-0000EB480000}"/>
    <cellStyle name="Normal 223 2 4 3" xfId="18924" xr:uid="{00000000-0005-0000-0000-0000EC480000}"/>
    <cellStyle name="Normal 223 2 5" xfId="18925" xr:uid="{00000000-0005-0000-0000-0000ED480000}"/>
    <cellStyle name="Normal 223 2 5 2" xfId="18926" xr:uid="{00000000-0005-0000-0000-0000EE480000}"/>
    <cellStyle name="Normal 223 2 5 2 2" xfId="18927" xr:uid="{00000000-0005-0000-0000-0000EF480000}"/>
    <cellStyle name="Normal 223 2 5 3" xfId="18928" xr:uid="{00000000-0005-0000-0000-0000F0480000}"/>
    <cellStyle name="Normal 223 2 6" xfId="18929" xr:uid="{00000000-0005-0000-0000-0000F1480000}"/>
    <cellStyle name="Normal 223 2 6 2" xfId="18930" xr:uid="{00000000-0005-0000-0000-0000F2480000}"/>
    <cellStyle name="Normal 223 2 6 2 2" xfId="18931" xr:uid="{00000000-0005-0000-0000-0000F3480000}"/>
    <cellStyle name="Normal 223 2 6 3" xfId="18932" xr:uid="{00000000-0005-0000-0000-0000F4480000}"/>
    <cellStyle name="Normal 223 2 7" xfId="18933" xr:uid="{00000000-0005-0000-0000-0000F5480000}"/>
    <cellStyle name="Normal 223 3" xfId="18934" xr:uid="{00000000-0005-0000-0000-0000F6480000}"/>
    <cellStyle name="Normal 223 3 2" xfId="18935" xr:uid="{00000000-0005-0000-0000-0000F7480000}"/>
    <cellStyle name="Normal 223 3 2 2" xfId="18936" xr:uid="{00000000-0005-0000-0000-0000F8480000}"/>
    <cellStyle name="Normal 223 3 3" xfId="18937" xr:uid="{00000000-0005-0000-0000-0000F9480000}"/>
    <cellStyle name="Normal 223 3 3 2" xfId="18938" xr:uid="{00000000-0005-0000-0000-0000FA480000}"/>
    <cellStyle name="Normal 223 3 3 2 2" xfId="18939" xr:uid="{00000000-0005-0000-0000-0000FB480000}"/>
    <cellStyle name="Normal 223 3 3 3" xfId="18940" xr:uid="{00000000-0005-0000-0000-0000FC480000}"/>
    <cellStyle name="Normal 223 3 4" xfId="18941" xr:uid="{00000000-0005-0000-0000-0000FD480000}"/>
    <cellStyle name="Normal 223 3 4 2" xfId="18942" xr:uid="{00000000-0005-0000-0000-0000FE480000}"/>
    <cellStyle name="Normal 223 3 4 2 2" xfId="18943" xr:uid="{00000000-0005-0000-0000-0000FF480000}"/>
    <cellStyle name="Normal 223 3 4 3" xfId="18944" xr:uid="{00000000-0005-0000-0000-000000490000}"/>
    <cellStyle name="Normal 223 3 5" xfId="18945" xr:uid="{00000000-0005-0000-0000-000001490000}"/>
    <cellStyle name="Normal 223 4" xfId="18946" xr:uid="{00000000-0005-0000-0000-000002490000}"/>
    <cellStyle name="Normal 223 4 2" xfId="18947" xr:uid="{00000000-0005-0000-0000-000003490000}"/>
    <cellStyle name="Normal 223 4 2 2" xfId="18948" xr:uid="{00000000-0005-0000-0000-000004490000}"/>
    <cellStyle name="Normal 223 4 2 2 2" xfId="18949" xr:uid="{00000000-0005-0000-0000-000005490000}"/>
    <cellStyle name="Normal 223 4 2 3" xfId="18950" xr:uid="{00000000-0005-0000-0000-000006490000}"/>
    <cellStyle name="Normal 223 4 2 3 2" xfId="18951" xr:uid="{00000000-0005-0000-0000-000007490000}"/>
    <cellStyle name="Normal 223 4 2 3 2 2" xfId="18952" xr:uid="{00000000-0005-0000-0000-000008490000}"/>
    <cellStyle name="Normal 223 4 2 3 3" xfId="18953" xr:uid="{00000000-0005-0000-0000-000009490000}"/>
    <cellStyle name="Normal 223 4 2 4" xfId="18954" xr:uid="{00000000-0005-0000-0000-00000A490000}"/>
    <cellStyle name="Normal 223 4 3" xfId="18955" xr:uid="{00000000-0005-0000-0000-00000B490000}"/>
    <cellStyle name="Normal 223 4 3 2" xfId="18956" xr:uid="{00000000-0005-0000-0000-00000C490000}"/>
    <cellStyle name="Normal 223 4 3 2 2" xfId="18957" xr:uid="{00000000-0005-0000-0000-00000D490000}"/>
    <cellStyle name="Normal 223 4 3 3" xfId="18958" xr:uid="{00000000-0005-0000-0000-00000E490000}"/>
    <cellStyle name="Normal 223 4 4" xfId="18959" xr:uid="{00000000-0005-0000-0000-00000F490000}"/>
    <cellStyle name="Normal 223 4 4 2" xfId="18960" xr:uid="{00000000-0005-0000-0000-000010490000}"/>
    <cellStyle name="Normal 223 4 4 2 2" xfId="18961" xr:uid="{00000000-0005-0000-0000-000011490000}"/>
    <cellStyle name="Normal 223 4 4 3" xfId="18962" xr:uid="{00000000-0005-0000-0000-000012490000}"/>
    <cellStyle name="Normal 223 4 5" xfId="18963" xr:uid="{00000000-0005-0000-0000-000013490000}"/>
    <cellStyle name="Normal 223 4 5 2" xfId="18964" xr:uid="{00000000-0005-0000-0000-000014490000}"/>
    <cellStyle name="Normal 223 4 5 2 2" xfId="18965" xr:uid="{00000000-0005-0000-0000-000015490000}"/>
    <cellStyle name="Normal 223 4 5 3" xfId="18966" xr:uid="{00000000-0005-0000-0000-000016490000}"/>
    <cellStyle name="Normal 223 4 6" xfId="18967" xr:uid="{00000000-0005-0000-0000-000017490000}"/>
    <cellStyle name="Normal 223 5" xfId="18968" xr:uid="{00000000-0005-0000-0000-000018490000}"/>
    <cellStyle name="Normal 223 5 2" xfId="18969" xr:uid="{00000000-0005-0000-0000-000019490000}"/>
    <cellStyle name="Normal 223 5 2 2" xfId="18970" xr:uid="{00000000-0005-0000-0000-00001A490000}"/>
    <cellStyle name="Normal 223 5 3" xfId="18971" xr:uid="{00000000-0005-0000-0000-00001B490000}"/>
    <cellStyle name="Normal 223 6" xfId="18972" xr:uid="{00000000-0005-0000-0000-00001C490000}"/>
    <cellStyle name="Normal 223 6 2" xfId="18973" xr:uid="{00000000-0005-0000-0000-00001D490000}"/>
    <cellStyle name="Normal 223 6 2 2" xfId="18974" xr:uid="{00000000-0005-0000-0000-00001E490000}"/>
    <cellStyle name="Normal 223 6 3" xfId="18975" xr:uid="{00000000-0005-0000-0000-00001F490000}"/>
    <cellStyle name="Normal 223 7" xfId="18976" xr:uid="{00000000-0005-0000-0000-000020490000}"/>
    <cellStyle name="Normal 223 7 2" xfId="18977" xr:uid="{00000000-0005-0000-0000-000021490000}"/>
    <cellStyle name="Normal 223 7 2 2" xfId="18978" xr:uid="{00000000-0005-0000-0000-000022490000}"/>
    <cellStyle name="Normal 223 7 3" xfId="18979" xr:uid="{00000000-0005-0000-0000-000023490000}"/>
    <cellStyle name="Normal 223 8" xfId="18980" xr:uid="{00000000-0005-0000-0000-000024490000}"/>
    <cellStyle name="Normal 224" xfId="18981" xr:uid="{00000000-0005-0000-0000-000025490000}"/>
    <cellStyle name="Normal 224 2" xfId="18982" xr:uid="{00000000-0005-0000-0000-000026490000}"/>
    <cellStyle name="Normal 224 2 2" xfId="18983" xr:uid="{00000000-0005-0000-0000-000027490000}"/>
    <cellStyle name="Normal 224 2 2 2" xfId="18984" xr:uid="{00000000-0005-0000-0000-000028490000}"/>
    <cellStyle name="Normal 224 2 2 2 2" xfId="18985" xr:uid="{00000000-0005-0000-0000-000029490000}"/>
    <cellStyle name="Normal 224 2 2 3" xfId="18986" xr:uid="{00000000-0005-0000-0000-00002A490000}"/>
    <cellStyle name="Normal 224 2 2 3 2" xfId="18987" xr:uid="{00000000-0005-0000-0000-00002B490000}"/>
    <cellStyle name="Normal 224 2 2 3 2 2" xfId="18988" xr:uid="{00000000-0005-0000-0000-00002C490000}"/>
    <cellStyle name="Normal 224 2 2 3 3" xfId="18989" xr:uid="{00000000-0005-0000-0000-00002D490000}"/>
    <cellStyle name="Normal 224 2 2 4" xfId="18990" xr:uid="{00000000-0005-0000-0000-00002E490000}"/>
    <cellStyle name="Normal 224 2 2 4 2" xfId="18991" xr:uid="{00000000-0005-0000-0000-00002F490000}"/>
    <cellStyle name="Normal 224 2 2 4 2 2" xfId="18992" xr:uid="{00000000-0005-0000-0000-000030490000}"/>
    <cellStyle name="Normal 224 2 2 4 3" xfId="18993" xr:uid="{00000000-0005-0000-0000-000031490000}"/>
    <cellStyle name="Normal 224 2 2 5" xfId="18994" xr:uid="{00000000-0005-0000-0000-000032490000}"/>
    <cellStyle name="Normal 224 2 3" xfId="18995" xr:uid="{00000000-0005-0000-0000-000033490000}"/>
    <cellStyle name="Normal 224 2 3 2" xfId="18996" xr:uid="{00000000-0005-0000-0000-000034490000}"/>
    <cellStyle name="Normal 224 2 3 2 2" xfId="18997" xr:uid="{00000000-0005-0000-0000-000035490000}"/>
    <cellStyle name="Normal 224 2 3 2 2 2" xfId="18998" xr:uid="{00000000-0005-0000-0000-000036490000}"/>
    <cellStyle name="Normal 224 2 3 2 3" xfId="18999" xr:uid="{00000000-0005-0000-0000-000037490000}"/>
    <cellStyle name="Normal 224 2 3 2 3 2" xfId="19000" xr:uid="{00000000-0005-0000-0000-000038490000}"/>
    <cellStyle name="Normal 224 2 3 2 3 2 2" xfId="19001" xr:uid="{00000000-0005-0000-0000-000039490000}"/>
    <cellStyle name="Normal 224 2 3 2 3 3" xfId="19002" xr:uid="{00000000-0005-0000-0000-00003A490000}"/>
    <cellStyle name="Normal 224 2 3 2 4" xfId="19003" xr:uid="{00000000-0005-0000-0000-00003B490000}"/>
    <cellStyle name="Normal 224 2 3 3" xfId="19004" xr:uid="{00000000-0005-0000-0000-00003C490000}"/>
    <cellStyle name="Normal 224 2 3 3 2" xfId="19005" xr:uid="{00000000-0005-0000-0000-00003D490000}"/>
    <cellStyle name="Normal 224 2 3 3 2 2" xfId="19006" xr:uid="{00000000-0005-0000-0000-00003E490000}"/>
    <cellStyle name="Normal 224 2 3 3 3" xfId="19007" xr:uid="{00000000-0005-0000-0000-00003F490000}"/>
    <cellStyle name="Normal 224 2 3 4" xfId="19008" xr:uid="{00000000-0005-0000-0000-000040490000}"/>
    <cellStyle name="Normal 224 2 3 4 2" xfId="19009" xr:uid="{00000000-0005-0000-0000-000041490000}"/>
    <cellStyle name="Normal 224 2 3 4 2 2" xfId="19010" xr:uid="{00000000-0005-0000-0000-000042490000}"/>
    <cellStyle name="Normal 224 2 3 4 3" xfId="19011" xr:uid="{00000000-0005-0000-0000-000043490000}"/>
    <cellStyle name="Normal 224 2 3 5" xfId="19012" xr:uid="{00000000-0005-0000-0000-000044490000}"/>
    <cellStyle name="Normal 224 2 3 5 2" xfId="19013" xr:uid="{00000000-0005-0000-0000-000045490000}"/>
    <cellStyle name="Normal 224 2 3 5 2 2" xfId="19014" xr:uid="{00000000-0005-0000-0000-000046490000}"/>
    <cellStyle name="Normal 224 2 3 5 3" xfId="19015" xr:uid="{00000000-0005-0000-0000-000047490000}"/>
    <cellStyle name="Normal 224 2 3 6" xfId="19016" xr:uid="{00000000-0005-0000-0000-000048490000}"/>
    <cellStyle name="Normal 224 2 4" xfId="19017" xr:uid="{00000000-0005-0000-0000-000049490000}"/>
    <cellStyle name="Normal 224 2 4 2" xfId="19018" xr:uid="{00000000-0005-0000-0000-00004A490000}"/>
    <cellStyle name="Normal 224 2 4 2 2" xfId="19019" xr:uid="{00000000-0005-0000-0000-00004B490000}"/>
    <cellStyle name="Normal 224 2 4 3" xfId="19020" xr:uid="{00000000-0005-0000-0000-00004C490000}"/>
    <cellStyle name="Normal 224 2 5" xfId="19021" xr:uid="{00000000-0005-0000-0000-00004D490000}"/>
    <cellStyle name="Normal 224 2 5 2" xfId="19022" xr:uid="{00000000-0005-0000-0000-00004E490000}"/>
    <cellStyle name="Normal 224 2 5 2 2" xfId="19023" xr:uid="{00000000-0005-0000-0000-00004F490000}"/>
    <cellStyle name="Normal 224 2 5 3" xfId="19024" xr:uid="{00000000-0005-0000-0000-000050490000}"/>
    <cellStyle name="Normal 224 2 6" xfId="19025" xr:uid="{00000000-0005-0000-0000-000051490000}"/>
    <cellStyle name="Normal 224 2 6 2" xfId="19026" xr:uid="{00000000-0005-0000-0000-000052490000}"/>
    <cellStyle name="Normal 224 2 6 2 2" xfId="19027" xr:uid="{00000000-0005-0000-0000-000053490000}"/>
    <cellStyle name="Normal 224 2 6 3" xfId="19028" xr:uid="{00000000-0005-0000-0000-000054490000}"/>
    <cellStyle name="Normal 224 2 7" xfId="19029" xr:uid="{00000000-0005-0000-0000-000055490000}"/>
    <cellStyle name="Normal 224 3" xfId="19030" xr:uid="{00000000-0005-0000-0000-000056490000}"/>
    <cellStyle name="Normal 224 3 2" xfId="19031" xr:uid="{00000000-0005-0000-0000-000057490000}"/>
    <cellStyle name="Normal 224 3 2 2" xfId="19032" xr:uid="{00000000-0005-0000-0000-000058490000}"/>
    <cellStyle name="Normal 224 3 3" xfId="19033" xr:uid="{00000000-0005-0000-0000-000059490000}"/>
    <cellStyle name="Normal 224 3 3 2" xfId="19034" xr:uid="{00000000-0005-0000-0000-00005A490000}"/>
    <cellStyle name="Normal 224 3 3 2 2" xfId="19035" xr:uid="{00000000-0005-0000-0000-00005B490000}"/>
    <cellStyle name="Normal 224 3 3 3" xfId="19036" xr:uid="{00000000-0005-0000-0000-00005C490000}"/>
    <cellStyle name="Normal 224 3 4" xfId="19037" xr:uid="{00000000-0005-0000-0000-00005D490000}"/>
    <cellStyle name="Normal 224 3 4 2" xfId="19038" xr:uid="{00000000-0005-0000-0000-00005E490000}"/>
    <cellStyle name="Normal 224 3 4 2 2" xfId="19039" xr:uid="{00000000-0005-0000-0000-00005F490000}"/>
    <cellStyle name="Normal 224 3 4 3" xfId="19040" xr:uid="{00000000-0005-0000-0000-000060490000}"/>
    <cellStyle name="Normal 224 3 5" xfId="19041" xr:uid="{00000000-0005-0000-0000-000061490000}"/>
    <cellStyle name="Normal 224 4" xfId="19042" xr:uid="{00000000-0005-0000-0000-000062490000}"/>
    <cellStyle name="Normal 224 4 2" xfId="19043" xr:uid="{00000000-0005-0000-0000-000063490000}"/>
    <cellStyle name="Normal 224 4 2 2" xfId="19044" xr:uid="{00000000-0005-0000-0000-000064490000}"/>
    <cellStyle name="Normal 224 4 2 2 2" xfId="19045" xr:uid="{00000000-0005-0000-0000-000065490000}"/>
    <cellStyle name="Normal 224 4 2 3" xfId="19046" xr:uid="{00000000-0005-0000-0000-000066490000}"/>
    <cellStyle name="Normal 224 4 2 3 2" xfId="19047" xr:uid="{00000000-0005-0000-0000-000067490000}"/>
    <cellStyle name="Normal 224 4 2 3 2 2" xfId="19048" xr:uid="{00000000-0005-0000-0000-000068490000}"/>
    <cellStyle name="Normal 224 4 2 3 3" xfId="19049" xr:uid="{00000000-0005-0000-0000-000069490000}"/>
    <cellStyle name="Normal 224 4 2 4" xfId="19050" xr:uid="{00000000-0005-0000-0000-00006A490000}"/>
    <cellStyle name="Normal 224 4 3" xfId="19051" xr:uid="{00000000-0005-0000-0000-00006B490000}"/>
    <cellStyle name="Normal 224 4 3 2" xfId="19052" xr:uid="{00000000-0005-0000-0000-00006C490000}"/>
    <cellStyle name="Normal 224 4 3 2 2" xfId="19053" xr:uid="{00000000-0005-0000-0000-00006D490000}"/>
    <cellStyle name="Normal 224 4 3 3" xfId="19054" xr:uid="{00000000-0005-0000-0000-00006E490000}"/>
    <cellStyle name="Normal 224 4 4" xfId="19055" xr:uid="{00000000-0005-0000-0000-00006F490000}"/>
    <cellStyle name="Normal 224 4 4 2" xfId="19056" xr:uid="{00000000-0005-0000-0000-000070490000}"/>
    <cellStyle name="Normal 224 4 4 2 2" xfId="19057" xr:uid="{00000000-0005-0000-0000-000071490000}"/>
    <cellStyle name="Normal 224 4 4 3" xfId="19058" xr:uid="{00000000-0005-0000-0000-000072490000}"/>
    <cellStyle name="Normal 224 4 5" xfId="19059" xr:uid="{00000000-0005-0000-0000-000073490000}"/>
    <cellStyle name="Normal 224 4 5 2" xfId="19060" xr:uid="{00000000-0005-0000-0000-000074490000}"/>
    <cellStyle name="Normal 224 4 5 2 2" xfId="19061" xr:uid="{00000000-0005-0000-0000-000075490000}"/>
    <cellStyle name="Normal 224 4 5 3" xfId="19062" xr:uid="{00000000-0005-0000-0000-000076490000}"/>
    <cellStyle name="Normal 224 4 6" xfId="19063" xr:uid="{00000000-0005-0000-0000-000077490000}"/>
    <cellStyle name="Normal 224 5" xfId="19064" xr:uid="{00000000-0005-0000-0000-000078490000}"/>
    <cellStyle name="Normal 224 5 2" xfId="19065" xr:uid="{00000000-0005-0000-0000-000079490000}"/>
    <cellStyle name="Normal 224 5 2 2" xfId="19066" xr:uid="{00000000-0005-0000-0000-00007A490000}"/>
    <cellStyle name="Normal 224 5 3" xfId="19067" xr:uid="{00000000-0005-0000-0000-00007B490000}"/>
    <cellStyle name="Normal 224 6" xfId="19068" xr:uid="{00000000-0005-0000-0000-00007C490000}"/>
    <cellStyle name="Normal 224 6 2" xfId="19069" xr:uid="{00000000-0005-0000-0000-00007D490000}"/>
    <cellStyle name="Normal 224 6 2 2" xfId="19070" xr:uid="{00000000-0005-0000-0000-00007E490000}"/>
    <cellStyle name="Normal 224 6 3" xfId="19071" xr:uid="{00000000-0005-0000-0000-00007F490000}"/>
    <cellStyle name="Normal 224 7" xfId="19072" xr:uid="{00000000-0005-0000-0000-000080490000}"/>
    <cellStyle name="Normal 224 7 2" xfId="19073" xr:uid="{00000000-0005-0000-0000-000081490000}"/>
    <cellStyle name="Normal 224 7 2 2" xfId="19074" xr:uid="{00000000-0005-0000-0000-000082490000}"/>
    <cellStyle name="Normal 224 7 3" xfId="19075" xr:uid="{00000000-0005-0000-0000-000083490000}"/>
    <cellStyle name="Normal 224 8" xfId="19076" xr:uid="{00000000-0005-0000-0000-000084490000}"/>
    <cellStyle name="Normal 225" xfId="19077" xr:uid="{00000000-0005-0000-0000-000085490000}"/>
    <cellStyle name="Normal 225 2" xfId="19078" xr:uid="{00000000-0005-0000-0000-000086490000}"/>
    <cellStyle name="Normal 225 2 2" xfId="19079" xr:uid="{00000000-0005-0000-0000-000087490000}"/>
    <cellStyle name="Normal 225 2 2 2" xfId="19080" xr:uid="{00000000-0005-0000-0000-000088490000}"/>
    <cellStyle name="Normal 225 2 2 2 2" xfId="19081" xr:uid="{00000000-0005-0000-0000-000089490000}"/>
    <cellStyle name="Normal 225 2 2 3" xfId="19082" xr:uid="{00000000-0005-0000-0000-00008A490000}"/>
    <cellStyle name="Normal 225 2 2 3 2" xfId="19083" xr:uid="{00000000-0005-0000-0000-00008B490000}"/>
    <cellStyle name="Normal 225 2 2 3 2 2" xfId="19084" xr:uid="{00000000-0005-0000-0000-00008C490000}"/>
    <cellStyle name="Normal 225 2 2 3 3" xfId="19085" xr:uid="{00000000-0005-0000-0000-00008D490000}"/>
    <cellStyle name="Normal 225 2 2 4" xfId="19086" xr:uid="{00000000-0005-0000-0000-00008E490000}"/>
    <cellStyle name="Normal 225 2 2 4 2" xfId="19087" xr:uid="{00000000-0005-0000-0000-00008F490000}"/>
    <cellStyle name="Normal 225 2 2 4 2 2" xfId="19088" xr:uid="{00000000-0005-0000-0000-000090490000}"/>
    <cellStyle name="Normal 225 2 2 4 3" xfId="19089" xr:uid="{00000000-0005-0000-0000-000091490000}"/>
    <cellStyle name="Normal 225 2 2 5" xfId="19090" xr:uid="{00000000-0005-0000-0000-000092490000}"/>
    <cellStyle name="Normal 225 2 3" xfId="19091" xr:uid="{00000000-0005-0000-0000-000093490000}"/>
    <cellStyle name="Normal 225 2 3 2" xfId="19092" xr:uid="{00000000-0005-0000-0000-000094490000}"/>
    <cellStyle name="Normal 225 2 3 2 2" xfId="19093" xr:uid="{00000000-0005-0000-0000-000095490000}"/>
    <cellStyle name="Normal 225 2 3 2 2 2" xfId="19094" xr:uid="{00000000-0005-0000-0000-000096490000}"/>
    <cellStyle name="Normal 225 2 3 2 3" xfId="19095" xr:uid="{00000000-0005-0000-0000-000097490000}"/>
    <cellStyle name="Normal 225 2 3 2 3 2" xfId="19096" xr:uid="{00000000-0005-0000-0000-000098490000}"/>
    <cellStyle name="Normal 225 2 3 2 3 2 2" xfId="19097" xr:uid="{00000000-0005-0000-0000-000099490000}"/>
    <cellStyle name="Normal 225 2 3 2 3 3" xfId="19098" xr:uid="{00000000-0005-0000-0000-00009A490000}"/>
    <cellStyle name="Normal 225 2 3 2 4" xfId="19099" xr:uid="{00000000-0005-0000-0000-00009B490000}"/>
    <cellStyle name="Normal 225 2 3 3" xfId="19100" xr:uid="{00000000-0005-0000-0000-00009C490000}"/>
    <cellStyle name="Normal 225 2 3 3 2" xfId="19101" xr:uid="{00000000-0005-0000-0000-00009D490000}"/>
    <cellStyle name="Normal 225 2 3 3 2 2" xfId="19102" xr:uid="{00000000-0005-0000-0000-00009E490000}"/>
    <cellStyle name="Normal 225 2 3 3 3" xfId="19103" xr:uid="{00000000-0005-0000-0000-00009F490000}"/>
    <cellStyle name="Normal 225 2 3 4" xfId="19104" xr:uid="{00000000-0005-0000-0000-0000A0490000}"/>
    <cellStyle name="Normal 225 2 3 4 2" xfId="19105" xr:uid="{00000000-0005-0000-0000-0000A1490000}"/>
    <cellStyle name="Normal 225 2 3 4 2 2" xfId="19106" xr:uid="{00000000-0005-0000-0000-0000A2490000}"/>
    <cellStyle name="Normal 225 2 3 4 3" xfId="19107" xr:uid="{00000000-0005-0000-0000-0000A3490000}"/>
    <cellStyle name="Normal 225 2 3 5" xfId="19108" xr:uid="{00000000-0005-0000-0000-0000A4490000}"/>
    <cellStyle name="Normal 225 2 3 5 2" xfId="19109" xr:uid="{00000000-0005-0000-0000-0000A5490000}"/>
    <cellStyle name="Normal 225 2 3 5 2 2" xfId="19110" xr:uid="{00000000-0005-0000-0000-0000A6490000}"/>
    <cellStyle name="Normal 225 2 3 5 3" xfId="19111" xr:uid="{00000000-0005-0000-0000-0000A7490000}"/>
    <cellStyle name="Normal 225 2 3 6" xfId="19112" xr:uid="{00000000-0005-0000-0000-0000A8490000}"/>
    <cellStyle name="Normal 225 2 4" xfId="19113" xr:uid="{00000000-0005-0000-0000-0000A9490000}"/>
    <cellStyle name="Normal 225 2 4 2" xfId="19114" xr:uid="{00000000-0005-0000-0000-0000AA490000}"/>
    <cellStyle name="Normal 225 2 4 2 2" xfId="19115" xr:uid="{00000000-0005-0000-0000-0000AB490000}"/>
    <cellStyle name="Normal 225 2 4 3" xfId="19116" xr:uid="{00000000-0005-0000-0000-0000AC490000}"/>
    <cellStyle name="Normal 225 2 5" xfId="19117" xr:uid="{00000000-0005-0000-0000-0000AD490000}"/>
    <cellStyle name="Normal 225 2 5 2" xfId="19118" xr:uid="{00000000-0005-0000-0000-0000AE490000}"/>
    <cellStyle name="Normal 225 2 5 2 2" xfId="19119" xr:uid="{00000000-0005-0000-0000-0000AF490000}"/>
    <cellStyle name="Normal 225 2 5 3" xfId="19120" xr:uid="{00000000-0005-0000-0000-0000B0490000}"/>
    <cellStyle name="Normal 225 2 6" xfId="19121" xr:uid="{00000000-0005-0000-0000-0000B1490000}"/>
    <cellStyle name="Normal 225 2 6 2" xfId="19122" xr:uid="{00000000-0005-0000-0000-0000B2490000}"/>
    <cellStyle name="Normal 225 2 6 2 2" xfId="19123" xr:uid="{00000000-0005-0000-0000-0000B3490000}"/>
    <cellStyle name="Normal 225 2 6 3" xfId="19124" xr:uid="{00000000-0005-0000-0000-0000B4490000}"/>
    <cellStyle name="Normal 225 2 7" xfId="19125" xr:uid="{00000000-0005-0000-0000-0000B5490000}"/>
    <cellStyle name="Normal 225 3" xfId="19126" xr:uid="{00000000-0005-0000-0000-0000B6490000}"/>
    <cellStyle name="Normal 225 3 2" xfId="19127" xr:uid="{00000000-0005-0000-0000-0000B7490000}"/>
    <cellStyle name="Normal 225 3 2 2" xfId="19128" xr:uid="{00000000-0005-0000-0000-0000B8490000}"/>
    <cellStyle name="Normal 225 3 3" xfId="19129" xr:uid="{00000000-0005-0000-0000-0000B9490000}"/>
    <cellStyle name="Normal 225 3 3 2" xfId="19130" xr:uid="{00000000-0005-0000-0000-0000BA490000}"/>
    <cellStyle name="Normal 225 3 3 2 2" xfId="19131" xr:uid="{00000000-0005-0000-0000-0000BB490000}"/>
    <cellStyle name="Normal 225 3 3 3" xfId="19132" xr:uid="{00000000-0005-0000-0000-0000BC490000}"/>
    <cellStyle name="Normal 225 3 4" xfId="19133" xr:uid="{00000000-0005-0000-0000-0000BD490000}"/>
    <cellStyle name="Normal 225 3 4 2" xfId="19134" xr:uid="{00000000-0005-0000-0000-0000BE490000}"/>
    <cellStyle name="Normal 225 3 4 2 2" xfId="19135" xr:uid="{00000000-0005-0000-0000-0000BF490000}"/>
    <cellStyle name="Normal 225 3 4 3" xfId="19136" xr:uid="{00000000-0005-0000-0000-0000C0490000}"/>
    <cellStyle name="Normal 225 3 5" xfId="19137" xr:uid="{00000000-0005-0000-0000-0000C1490000}"/>
    <cellStyle name="Normal 225 4" xfId="19138" xr:uid="{00000000-0005-0000-0000-0000C2490000}"/>
    <cellStyle name="Normal 225 4 2" xfId="19139" xr:uid="{00000000-0005-0000-0000-0000C3490000}"/>
    <cellStyle name="Normal 225 4 2 2" xfId="19140" xr:uid="{00000000-0005-0000-0000-0000C4490000}"/>
    <cellStyle name="Normal 225 4 2 2 2" xfId="19141" xr:uid="{00000000-0005-0000-0000-0000C5490000}"/>
    <cellStyle name="Normal 225 4 2 3" xfId="19142" xr:uid="{00000000-0005-0000-0000-0000C6490000}"/>
    <cellStyle name="Normal 225 4 2 3 2" xfId="19143" xr:uid="{00000000-0005-0000-0000-0000C7490000}"/>
    <cellStyle name="Normal 225 4 2 3 2 2" xfId="19144" xr:uid="{00000000-0005-0000-0000-0000C8490000}"/>
    <cellStyle name="Normal 225 4 2 3 3" xfId="19145" xr:uid="{00000000-0005-0000-0000-0000C9490000}"/>
    <cellStyle name="Normal 225 4 2 4" xfId="19146" xr:uid="{00000000-0005-0000-0000-0000CA490000}"/>
    <cellStyle name="Normal 225 4 3" xfId="19147" xr:uid="{00000000-0005-0000-0000-0000CB490000}"/>
    <cellStyle name="Normal 225 4 3 2" xfId="19148" xr:uid="{00000000-0005-0000-0000-0000CC490000}"/>
    <cellStyle name="Normal 225 4 3 2 2" xfId="19149" xr:uid="{00000000-0005-0000-0000-0000CD490000}"/>
    <cellStyle name="Normal 225 4 3 3" xfId="19150" xr:uid="{00000000-0005-0000-0000-0000CE490000}"/>
    <cellStyle name="Normal 225 4 4" xfId="19151" xr:uid="{00000000-0005-0000-0000-0000CF490000}"/>
    <cellStyle name="Normal 225 4 4 2" xfId="19152" xr:uid="{00000000-0005-0000-0000-0000D0490000}"/>
    <cellStyle name="Normal 225 4 4 2 2" xfId="19153" xr:uid="{00000000-0005-0000-0000-0000D1490000}"/>
    <cellStyle name="Normal 225 4 4 3" xfId="19154" xr:uid="{00000000-0005-0000-0000-0000D2490000}"/>
    <cellStyle name="Normal 225 4 5" xfId="19155" xr:uid="{00000000-0005-0000-0000-0000D3490000}"/>
    <cellStyle name="Normal 225 4 5 2" xfId="19156" xr:uid="{00000000-0005-0000-0000-0000D4490000}"/>
    <cellStyle name="Normal 225 4 5 2 2" xfId="19157" xr:uid="{00000000-0005-0000-0000-0000D5490000}"/>
    <cellStyle name="Normal 225 4 5 3" xfId="19158" xr:uid="{00000000-0005-0000-0000-0000D6490000}"/>
    <cellStyle name="Normal 225 4 6" xfId="19159" xr:uid="{00000000-0005-0000-0000-0000D7490000}"/>
    <cellStyle name="Normal 225 5" xfId="19160" xr:uid="{00000000-0005-0000-0000-0000D8490000}"/>
    <cellStyle name="Normal 225 5 2" xfId="19161" xr:uid="{00000000-0005-0000-0000-0000D9490000}"/>
    <cellStyle name="Normal 225 5 2 2" xfId="19162" xr:uid="{00000000-0005-0000-0000-0000DA490000}"/>
    <cellStyle name="Normal 225 5 3" xfId="19163" xr:uid="{00000000-0005-0000-0000-0000DB490000}"/>
    <cellStyle name="Normal 225 6" xfId="19164" xr:uid="{00000000-0005-0000-0000-0000DC490000}"/>
    <cellStyle name="Normal 225 6 2" xfId="19165" xr:uid="{00000000-0005-0000-0000-0000DD490000}"/>
    <cellStyle name="Normal 225 6 2 2" xfId="19166" xr:uid="{00000000-0005-0000-0000-0000DE490000}"/>
    <cellStyle name="Normal 225 6 3" xfId="19167" xr:uid="{00000000-0005-0000-0000-0000DF490000}"/>
    <cellStyle name="Normal 225 7" xfId="19168" xr:uid="{00000000-0005-0000-0000-0000E0490000}"/>
    <cellStyle name="Normal 225 7 2" xfId="19169" xr:uid="{00000000-0005-0000-0000-0000E1490000}"/>
    <cellStyle name="Normal 225 7 2 2" xfId="19170" xr:uid="{00000000-0005-0000-0000-0000E2490000}"/>
    <cellStyle name="Normal 225 7 3" xfId="19171" xr:uid="{00000000-0005-0000-0000-0000E3490000}"/>
    <cellStyle name="Normal 225 8" xfId="19172" xr:uid="{00000000-0005-0000-0000-0000E4490000}"/>
    <cellStyle name="Normal 226" xfId="19173" xr:uid="{00000000-0005-0000-0000-0000E5490000}"/>
    <cellStyle name="Normal 226 2" xfId="19174" xr:uid="{00000000-0005-0000-0000-0000E6490000}"/>
    <cellStyle name="Normal 226 2 2" xfId="19175" xr:uid="{00000000-0005-0000-0000-0000E7490000}"/>
    <cellStyle name="Normal 226 2 2 2" xfId="19176" xr:uid="{00000000-0005-0000-0000-0000E8490000}"/>
    <cellStyle name="Normal 226 2 2 2 2" xfId="19177" xr:uid="{00000000-0005-0000-0000-0000E9490000}"/>
    <cellStyle name="Normal 226 2 2 3" xfId="19178" xr:uid="{00000000-0005-0000-0000-0000EA490000}"/>
    <cellStyle name="Normal 226 2 2 3 2" xfId="19179" xr:uid="{00000000-0005-0000-0000-0000EB490000}"/>
    <cellStyle name="Normal 226 2 2 3 2 2" xfId="19180" xr:uid="{00000000-0005-0000-0000-0000EC490000}"/>
    <cellStyle name="Normal 226 2 2 3 3" xfId="19181" xr:uid="{00000000-0005-0000-0000-0000ED490000}"/>
    <cellStyle name="Normal 226 2 2 4" xfId="19182" xr:uid="{00000000-0005-0000-0000-0000EE490000}"/>
    <cellStyle name="Normal 226 2 2 4 2" xfId="19183" xr:uid="{00000000-0005-0000-0000-0000EF490000}"/>
    <cellStyle name="Normal 226 2 2 4 2 2" xfId="19184" xr:uid="{00000000-0005-0000-0000-0000F0490000}"/>
    <cellStyle name="Normal 226 2 2 4 3" xfId="19185" xr:uid="{00000000-0005-0000-0000-0000F1490000}"/>
    <cellStyle name="Normal 226 2 2 5" xfId="19186" xr:uid="{00000000-0005-0000-0000-0000F2490000}"/>
    <cellStyle name="Normal 226 2 3" xfId="19187" xr:uid="{00000000-0005-0000-0000-0000F3490000}"/>
    <cellStyle name="Normal 226 2 3 2" xfId="19188" xr:uid="{00000000-0005-0000-0000-0000F4490000}"/>
    <cellStyle name="Normal 226 2 3 2 2" xfId="19189" xr:uid="{00000000-0005-0000-0000-0000F5490000}"/>
    <cellStyle name="Normal 226 2 3 2 2 2" xfId="19190" xr:uid="{00000000-0005-0000-0000-0000F6490000}"/>
    <cellStyle name="Normal 226 2 3 2 3" xfId="19191" xr:uid="{00000000-0005-0000-0000-0000F7490000}"/>
    <cellStyle name="Normal 226 2 3 2 3 2" xfId="19192" xr:uid="{00000000-0005-0000-0000-0000F8490000}"/>
    <cellStyle name="Normal 226 2 3 2 3 2 2" xfId="19193" xr:uid="{00000000-0005-0000-0000-0000F9490000}"/>
    <cellStyle name="Normal 226 2 3 2 3 3" xfId="19194" xr:uid="{00000000-0005-0000-0000-0000FA490000}"/>
    <cellStyle name="Normal 226 2 3 2 4" xfId="19195" xr:uid="{00000000-0005-0000-0000-0000FB490000}"/>
    <cellStyle name="Normal 226 2 3 3" xfId="19196" xr:uid="{00000000-0005-0000-0000-0000FC490000}"/>
    <cellStyle name="Normal 226 2 3 3 2" xfId="19197" xr:uid="{00000000-0005-0000-0000-0000FD490000}"/>
    <cellStyle name="Normal 226 2 3 3 2 2" xfId="19198" xr:uid="{00000000-0005-0000-0000-0000FE490000}"/>
    <cellStyle name="Normal 226 2 3 3 3" xfId="19199" xr:uid="{00000000-0005-0000-0000-0000FF490000}"/>
    <cellStyle name="Normal 226 2 3 4" xfId="19200" xr:uid="{00000000-0005-0000-0000-0000004A0000}"/>
    <cellStyle name="Normal 226 2 3 4 2" xfId="19201" xr:uid="{00000000-0005-0000-0000-0000014A0000}"/>
    <cellStyle name="Normal 226 2 3 4 2 2" xfId="19202" xr:uid="{00000000-0005-0000-0000-0000024A0000}"/>
    <cellStyle name="Normal 226 2 3 4 3" xfId="19203" xr:uid="{00000000-0005-0000-0000-0000034A0000}"/>
    <cellStyle name="Normal 226 2 3 5" xfId="19204" xr:uid="{00000000-0005-0000-0000-0000044A0000}"/>
    <cellStyle name="Normal 226 2 3 5 2" xfId="19205" xr:uid="{00000000-0005-0000-0000-0000054A0000}"/>
    <cellStyle name="Normal 226 2 3 5 2 2" xfId="19206" xr:uid="{00000000-0005-0000-0000-0000064A0000}"/>
    <cellStyle name="Normal 226 2 3 5 3" xfId="19207" xr:uid="{00000000-0005-0000-0000-0000074A0000}"/>
    <cellStyle name="Normal 226 2 3 6" xfId="19208" xr:uid="{00000000-0005-0000-0000-0000084A0000}"/>
    <cellStyle name="Normal 226 2 4" xfId="19209" xr:uid="{00000000-0005-0000-0000-0000094A0000}"/>
    <cellStyle name="Normal 226 2 4 2" xfId="19210" xr:uid="{00000000-0005-0000-0000-00000A4A0000}"/>
    <cellStyle name="Normal 226 2 4 2 2" xfId="19211" xr:uid="{00000000-0005-0000-0000-00000B4A0000}"/>
    <cellStyle name="Normal 226 2 4 3" xfId="19212" xr:uid="{00000000-0005-0000-0000-00000C4A0000}"/>
    <cellStyle name="Normal 226 2 5" xfId="19213" xr:uid="{00000000-0005-0000-0000-00000D4A0000}"/>
    <cellStyle name="Normal 226 2 5 2" xfId="19214" xr:uid="{00000000-0005-0000-0000-00000E4A0000}"/>
    <cellStyle name="Normal 226 2 5 2 2" xfId="19215" xr:uid="{00000000-0005-0000-0000-00000F4A0000}"/>
    <cellStyle name="Normal 226 2 5 3" xfId="19216" xr:uid="{00000000-0005-0000-0000-0000104A0000}"/>
    <cellStyle name="Normal 226 2 6" xfId="19217" xr:uid="{00000000-0005-0000-0000-0000114A0000}"/>
    <cellStyle name="Normal 226 2 6 2" xfId="19218" xr:uid="{00000000-0005-0000-0000-0000124A0000}"/>
    <cellStyle name="Normal 226 2 6 2 2" xfId="19219" xr:uid="{00000000-0005-0000-0000-0000134A0000}"/>
    <cellStyle name="Normal 226 2 6 3" xfId="19220" xr:uid="{00000000-0005-0000-0000-0000144A0000}"/>
    <cellStyle name="Normal 226 2 7" xfId="19221" xr:uid="{00000000-0005-0000-0000-0000154A0000}"/>
    <cellStyle name="Normal 226 3" xfId="19222" xr:uid="{00000000-0005-0000-0000-0000164A0000}"/>
    <cellStyle name="Normal 226 3 2" xfId="19223" xr:uid="{00000000-0005-0000-0000-0000174A0000}"/>
    <cellStyle name="Normal 226 3 2 2" xfId="19224" xr:uid="{00000000-0005-0000-0000-0000184A0000}"/>
    <cellStyle name="Normal 226 3 3" xfId="19225" xr:uid="{00000000-0005-0000-0000-0000194A0000}"/>
    <cellStyle name="Normal 226 3 3 2" xfId="19226" xr:uid="{00000000-0005-0000-0000-00001A4A0000}"/>
    <cellStyle name="Normal 226 3 3 2 2" xfId="19227" xr:uid="{00000000-0005-0000-0000-00001B4A0000}"/>
    <cellStyle name="Normal 226 3 3 3" xfId="19228" xr:uid="{00000000-0005-0000-0000-00001C4A0000}"/>
    <cellStyle name="Normal 226 3 4" xfId="19229" xr:uid="{00000000-0005-0000-0000-00001D4A0000}"/>
    <cellStyle name="Normal 226 3 4 2" xfId="19230" xr:uid="{00000000-0005-0000-0000-00001E4A0000}"/>
    <cellStyle name="Normal 226 3 4 2 2" xfId="19231" xr:uid="{00000000-0005-0000-0000-00001F4A0000}"/>
    <cellStyle name="Normal 226 3 4 3" xfId="19232" xr:uid="{00000000-0005-0000-0000-0000204A0000}"/>
    <cellStyle name="Normal 226 3 5" xfId="19233" xr:uid="{00000000-0005-0000-0000-0000214A0000}"/>
    <cellStyle name="Normal 226 4" xfId="19234" xr:uid="{00000000-0005-0000-0000-0000224A0000}"/>
    <cellStyle name="Normal 226 4 2" xfId="19235" xr:uid="{00000000-0005-0000-0000-0000234A0000}"/>
    <cellStyle name="Normal 226 4 2 2" xfId="19236" xr:uid="{00000000-0005-0000-0000-0000244A0000}"/>
    <cellStyle name="Normal 226 4 2 2 2" xfId="19237" xr:uid="{00000000-0005-0000-0000-0000254A0000}"/>
    <cellStyle name="Normal 226 4 2 3" xfId="19238" xr:uid="{00000000-0005-0000-0000-0000264A0000}"/>
    <cellStyle name="Normal 226 4 2 3 2" xfId="19239" xr:uid="{00000000-0005-0000-0000-0000274A0000}"/>
    <cellStyle name="Normal 226 4 2 3 2 2" xfId="19240" xr:uid="{00000000-0005-0000-0000-0000284A0000}"/>
    <cellStyle name="Normal 226 4 2 3 3" xfId="19241" xr:uid="{00000000-0005-0000-0000-0000294A0000}"/>
    <cellStyle name="Normal 226 4 2 4" xfId="19242" xr:uid="{00000000-0005-0000-0000-00002A4A0000}"/>
    <cellStyle name="Normal 226 4 3" xfId="19243" xr:uid="{00000000-0005-0000-0000-00002B4A0000}"/>
    <cellStyle name="Normal 226 4 3 2" xfId="19244" xr:uid="{00000000-0005-0000-0000-00002C4A0000}"/>
    <cellStyle name="Normal 226 4 3 2 2" xfId="19245" xr:uid="{00000000-0005-0000-0000-00002D4A0000}"/>
    <cellStyle name="Normal 226 4 3 3" xfId="19246" xr:uid="{00000000-0005-0000-0000-00002E4A0000}"/>
    <cellStyle name="Normal 226 4 4" xfId="19247" xr:uid="{00000000-0005-0000-0000-00002F4A0000}"/>
    <cellStyle name="Normal 226 4 4 2" xfId="19248" xr:uid="{00000000-0005-0000-0000-0000304A0000}"/>
    <cellStyle name="Normal 226 4 4 2 2" xfId="19249" xr:uid="{00000000-0005-0000-0000-0000314A0000}"/>
    <cellStyle name="Normal 226 4 4 3" xfId="19250" xr:uid="{00000000-0005-0000-0000-0000324A0000}"/>
    <cellStyle name="Normal 226 4 5" xfId="19251" xr:uid="{00000000-0005-0000-0000-0000334A0000}"/>
    <cellStyle name="Normal 226 4 5 2" xfId="19252" xr:uid="{00000000-0005-0000-0000-0000344A0000}"/>
    <cellStyle name="Normal 226 4 5 2 2" xfId="19253" xr:uid="{00000000-0005-0000-0000-0000354A0000}"/>
    <cellStyle name="Normal 226 4 5 3" xfId="19254" xr:uid="{00000000-0005-0000-0000-0000364A0000}"/>
    <cellStyle name="Normal 226 4 6" xfId="19255" xr:uid="{00000000-0005-0000-0000-0000374A0000}"/>
    <cellStyle name="Normal 226 5" xfId="19256" xr:uid="{00000000-0005-0000-0000-0000384A0000}"/>
    <cellStyle name="Normal 226 5 2" xfId="19257" xr:uid="{00000000-0005-0000-0000-0000394A0000}"/>
    <cellStyle name="Normal 226 5 2 2" xfId="19258" xr:uid="{00000000-0005-0000-0000-00003A4A0000}"/>
    <cellStyle name="Normal 226 5 3" xfId="19259" xr:uid="{00000000-0005-0000-0000-00003B4A0000}"/>
    <cellStyle name="Normal 226 6" xfId="19260" xr:uid="{00000000-0005-0000-0000-00003C4A0000}"/>
    <cellStyle name="Normal 226 6 2" xfId="19261" xr:uid="{00000000-0005-0000-0000-00003D4A0000}"/>
    <cellStyle name="Normal 226 6 2 2" xfId="19262" xr:uid="{00000000-0005-0000-0000-00003E4A0000}"/>
    <cellStyle name="Normal 226 6 3" xfId="19263" xr:uid="{00000000-0005-0000-0000-00003F4A0000}"/>
    <cellStyle name="Normal 226 7" xfId="19264" xr:uid="{00000000-0005-0000-0000-0000404A0000}"/>
    <cellStyle name="Normal 226 7 2" xfId="19265" xr:uid="{00000000-0005-0000-0000-0000414A0000}"/>
    <cellStyle name="Normal 226 7 2 2" xfId="19266" xr:uid="{00000000-0005-0000-0000-0000424A0000}"/>
    <cellStyle name="Normal 226 7 3" xfId="19267" xr:uid="{00000000-0005-0000-0000-0000434A0000}"/>
    <cellStyle name="Normal 226 8" xfId="19268" xr:uid="{00000000-0005-0000-0000-0000444A0000}"/>
    <cellStyle name="Normal 227" xfId="19269" xr:uid="{00000000-0005-0000-0000-0000454A0000}"/>
    <cellStyle name="Normal 227 2" xfId="19270" xr:uid="{00000000-0005-0000-0000-0000464A0000}"/>
    <cellStyle name="Normal 227 2 2" xfId="19271" xr:uid="{00000000-0005-0000-0000-0000474A0000}"/>
    <cellStyle name="Normal 227 2 2 2" xfId="19272" xr:uid="{00000000-0005-0000-0000-0000484A0000}"/>
    <cellStyle name="Normal 227 2 2 2 2" xfId="19273" xr:uid="{00000000-0005-0000-0000-0000494A0000}"/>
    <cellStyle name="Normal 227 2 2 3" xfId="19274" xr:uid="{00000000-0005-0000-0000-00004A4A0000}"/>
    <cellStyle name="Normal 227 2 2 3 2" xfId="19275" xr:uid="{00000000-0005-0000-0000-00004B4A0000}"/>
    <cellStyle name="Normal 227 2 2 3 2 2" xfId="19276" xr:uid="{00000000-0005-0000-0000-00004C4A0000}"/>
    <cellStyle name="Normal 227 2 2 3 3" xfId="19277" xr:uid="{00000000-0005-0000-0000-00004D4A0000}"/>
    <cellStyle name="Normal 227 2 2 4" xfId="19278" xr:uid="{00000000-0005-0000-0000-00004E4A0000}"/>
    <cellStyle name="Normal 227 2 2 4 2" xfId="19279" xr:uid="{00000000-0005-0000-0000-00004F4A0000}"/>
    <cellStyle name="Normal 227 2 2 4 2 2" xfId="19280" xr:uid="{00000000-0005-0000-0000-0000504A0000}"/>
    <cellStyle name="Normal 227 2 2 4 3" xfId="19281" xr:uid="{00000000-0005-0000-0000-0000514A0000}"/>
    <cellStyle name="Normal 227 2 2 5" xfId="19282" xr:uid="{00000000-0005-0000-0000-0000524A0000}"/>
    <cellStyle name="Normal 227 2 3" xfId="19283" xr:uid="{00000000-0005-0000-0000-0000534A0000}"/>
    <cellStyle name="Normal 227 2 3 2" xfId="19284" xr:uid="{00000000-0005-0000-0000-0000544A0000}"/>
    <cellStyle name="Normal 227 2 3 2 2" xfId="19285" xr:uid="{00000000-0005-0000-0000-0000554A0000}"/>
    <cellStyle name="Normal 227 2 3 2 2 2" xfId="19286" xr:uid="{00000000-0005-0000-0000-0000564A0000}"/>
    <cellStyle name="Normal 227 2 3 2 3" xfId="19287" xr:uid="{00000000-0005-0000-0000-0000574A0000}"/>
    <cellStyle name="Normal 227 2 3 2 3 2" xfId="19288" xr:uid="{00000000-0005-0000-0000-0000584A0000}"/>
    <cellStyle name="Normal 227 2 3 2 3 2 2" xfId="19289" xr:uid="{00000000-0005-0000-0000-0000594A0000}"/>
    <cellStyle name="Normal 227 2 3 2 3 3" xfId="19290" xr:uid="{00000000-0005-0000-0000-00005A4A0000}"/>
    <cellStyle name="Normal 227 2 3 2 4" xfId="19291" xr:uid="{00000000-0005-0000-0000-00005B4A0000}"/>
    <cellStyle name="Normal 227 2 3 3" xfId="19292" xr:uid="{00000000-0005-0000-0000-00005C4A0000}"/>
    <cellStyle name="Normal 227 2 3 3 2" xfId="19293" xr:uid="{00000000-0005-0000-0000-00005D4A0000}"/>
    <cellStyle name="Normal 227 2 3 3 2 2" xfId="19294" xr:uid="{00000000-0005-0000-0000-00005E4A0000}"/>
    <cellStyle name="Normal 227 2 3 3 3" xfId="19295" xr:uid="{00000000-0005-0000-0000-00005F4A0000}"/>
    <cellStyle name="Normal 227 2 3 4" xfId="19296" xr:uid="{00000000-0005-0000-0000-0000604A0000}"/>
    <cellStyle name="Normal 227 2 3 4 2" xfId="19297" xr:uid="{00000000-0005-0000-0000-0000614A0000}"/>
    <cellStyle name="Normal 227 2 3 4 2 2" xfId="19298" xr:uid="{00000000-0005-0000-0000-0000624A0000}"/>
    <cellStyle name="Normal 227 2 3 4 3" xfId="19299" xr:uid="{00000000-0005-0000-0000-0000634A0000}"/>
    <cellStyle name="Normal 227 2 3 5" xfId="19300" xr:uid="{00000000-0005-0000-0000-0000644A0000}"/>
    <cellStyle name="Normal 227 2 3 5 2" xfId="19301" xr:uid="{00000000-0005-0000-0000-0000654A0000}"/>
    <cellStyle name="Normal 227 2 3 5 2 2" xfId="19302" xr:uid="{00000000-0005-0000-0000-0000664A0000}"/>
    <cellStyle name="Normal 227 2 3 5 3" xfId="19303" xr:uid="{00000000-0005-0000-0000-0000674A0000}"/>
    <cellStyle name="Normal 227 2 3 6" xfId="19304" xr:uid="{00000000-0005-0000-0000-0000684A0000}"/>
    <cellStyle name="Normal 227 2 4" xfId="19305" xr:uid="{00000000-0005-0000-0000-0000694A0000}"/>
    <cellStyle name="Normal 227 2 4 2" xfId="19306" xr:uid="{00000000-0005-0000-0000-00006A4A0000}"/>
    <cellStyle name="Normal 227 2 4 2 2" xfId="19307" xr:uid="{00000000-0005-0000-0000-00006B4A0000}"/>
    <cellStyle name="Normal 227 2 4 3" xfId="19308" xr:uid="{00000000-0005-0000-0000-00006C4A0000}"/>
    <cellStyle name="Normal 227 2 5" xfId="19309" xr:uid="{00000000-0005-0000-0000-00006D4A0000}"/>
    <cellStyle name="Normal 227 2 5 2" xfId="19310" xr:uid="{00000000-0005-0000-0000-00006E4A0000}"/>
    <cellStyle name="Normal 227 2 5 2 2" xfId="19311" xr:uid="{00000000-0005-0000-0000-00006F4A0000}"/>
    <cellStyle name="Normal 227 2 5 3" xfId="19312" xr:uid="{00000000-0005-0000-0000-0000704A0000}"/>
    <cellStyle name="Normal 227 2 6" xfId="19313" xr:uid="{00000000-0005-0000-0000-0000714A0000}"/>
    <cellStyle name="Normal 227 2 6 2" xfId="19314" xr:uid="{00000000-0005-0000-0000-0000724A0000}"/>
    <cellStyle name="Normal 227 2 6 2 2" xfId="19315" xr:uid="{00000000-0005-0000-0000-0000734A0000}"/>
    <cellStyle name="Normal 227 2 6 3" xfId="19316" xr:uid="{00000000-0005-0000-0000-0000744A0000}"/>
    <cellStyle name="Normal 227 2 7" xfId="19317" xr:uid="{00000000-0005-0000-0000-0000754A0000}"/>
    <cellStyle name="Normal 227 3" xfId="19318" xr:uid="{00000000-0005-0000-0000-0000764A0000}"/>
    <cellStyle name="Normal 227 3 2" xfId="19319" xr:uid="{00000000-0005-0000-0000-0000774A0000}"/>
    <cellStyle name="Normal 227 3 2 2" xfId="19320" xr:uid="{00000000-0005-0000-0000-0000784A0000}"/>
    <cellStyle name="Normal 227 3 3" xfId="19321" xr:uid="{00000000-0005-0000-0000-0000794A0000}"/>
    <cellStyle name="Normal 227 3 3 2" xfId="19322" xr:uid="{00000000-0005-0000-0000-00007A4A0000}"/>
    <cellStyle name="Normal 227 3 3 2 2" xfId="19323" xr:uid="{00000000-0005-0000-0000-00007B4A0000}"/>
    <cellStyle name="Normal 227 3 3 3" xfId="19324" xr:uid="{00000000-0005-0000-0000-00007C4A0000}"/>
    <cellStyle name="Normal 227 3 4" xfId="19325" xr:uid="{00000000-0005-0000-0000-00007D4A0000}"/>
    <cellStyle name="Normal 227 3 4 2" xfId="19326" xr:uid="{00000000-0005-0000-0000-00007E4A0000}"/>
    <cellStyle name="Normal 227 3 4 2 2" xfId="19327" xr:uid="{00000000-0005-0000-0000-00007F4A0000}"/>
    <cellStyle name="Normal 227 3 4 3" xfId="19328" xr:uid="{00000000-0005-0000-0000-0000804A0000}"/>
    <cellStyle name="Normal 227 3 5" xfId="19329" xr:uid="{00000000-0005-0000-0000-0000814A0000}"/>
    <cellStyle name="Normal 227 4" xfId="19330" xr:uid="{00000000-0005-0000-0000-0000824A0000}"/>
    <cellStyle name="Normal 227 4 2" xfId="19331" xr:uid="{00000000-0005-0000-0000-0000834A0000}"/>
    <cellStyle name="Normal 227 4 2 2" xfId="19332" xr:uid="{00000000-0005-0000-0000-0000844A0000}"/>
    <cellStyle name="Normal 227 4 2 2 2" xfId="19333" xr:uid="{00000000-0005-0000-0000-0000854A0000}"/>
    <cellStyle name="Normal 227 4 2 3" xfId="19334" xr:uid="{00000000-0005-0000-0000-0000864A0000}"/>
    <cellStyle name="Normal 227 4 2 3 2" xfId="19335" xr:uid="{00000000-0005-0000-0000-0000874A0000}"/>
    <cellStyle name="Normal 227 4 2 3 2 2" xfId="19336" xr:uid="{00000000-0005-0000-0000-0000884A0000}"/>
    <cellStyle name="Normal 227 4 2 3 3" xfId="19337" xr:uid="{00000000-0005-0000-0000-0000894A0000}"/>
    <cellStyle name="Normal 227 4 2 4" xfId="19338" xr:uid="{00000000-0005-0000-0000-00008A4A0000}"/>
    <cellStyle name="Normal 227 4 3" xfId="19339" xr:uid="{00000000-0005-0000-0000-00008B4A0000}"/>
    <cellStyle name="Normal 227 4 3 2" xfId="19340" xr:uid="{00000000-0005-0000-0000-00008C4A0000}"/>
    <cellStyle name="Normal 227 4 3 2 2" xfId="19341" xr:uid="{00000000-0005-0000-0000-00008D4A0000}"/>
    <cellStyle name="Normal 227 4 3 3" xfId="19342" xr:uid="{00000000-0005-0000-0000-00008E4A0000}"/>
    <cellStyle name="Normal 227 4 4" xfId="19343" xr:uid="{00000000-0005-0000-0000-00008F4A0000}"/>
    <cellStyle name="Normal 227 4 4 2" xfId="19344" xr:uid="{00000000-0005-0000-0000-0000904A0000}"/>
    <cellStyle name="Normal 227 4 4 2 2" xfId="19345" xr:uid="{00000000-0005-0000-0000-0000914A0000}"/>
    <cellStyle name="Normal 227 4 4 3" xfId="19346" xr:uid="{00000000-0005-0000-0000-0000924A0000}"/>
    <cellStyle name="Normal 227 4 5" xfId="19347" xr:uid="{00000000-0005-0000-0000-0000934A0000}"/>
    <cellStyle name="Normal 227 4 5 2" xfId="19348" xr:uid="{00000000-0005-0000-0000-0000944A0000}"/>
    <cellStyle name="Normal 227 4 5 2 2" xfId="19349" xr:uid="{00000000-0005-0000-0000-0000954A0000}"/>
    <cellStyle name="Normal 227 4 5 3" xfId="19350" xr:uid="{00000000-0005-0000-0000-0000964A0000}"/>
    <cellStyle name="Normal 227 4 6" xfId="19351" xr:uid="{00000000-0005-0000-0000-0000974A0000}"/>
    <cellStyle name="Normal 227 5" xfId="19352" xr:uid="{00000000-0005-0000-0000-0000984A0000}"/>
    <cellStyle name="Normal 227 5 2" xfId="19353" xr:uid="{00000000-0005-0000-0000-0000994A0000}"/>
    <cellStyle name="Normal 227 5 2 2" xfId="19354" xr:uid="{00000000-0005-0000-0000-00009A4A0000}"/>
    <cellStyle name="Normal 227 5 3" xfId="19355" xr:uid="{00000000-0005-0000-0000-00009B4A0000}"/>
    <cellStyle name="Normal 227 6" xfId="19356" xr:uid="{00000000-0005-0000-0000-00009C4A0000}"/>
    <cellStyle name="Normal 227 6 2" xfId="19357" xr:uid="{00000000-0005-0000-0000-00009D4A0000}"/>
    <cellStyle name="Normal 227 6 2 2" xfId="19358" xr:uid="{00000000-0005-0000-0000-00009E4A0000}"/>
    <cellStyle name="Normal 227 6 3" xfId="19359" xr:uid="{00000000-0005-0000-0000-00009F4A0000}"/>
    <cellStyle name="Normal 227 7" xfId="19360" xr:uid="{00000000-0005-0000-0000-0000A04A0000}"/>
    <cellStyle name="Normal 227 7 2" xfId="19361" xr:uid="{00000000-0005-0000-0000-0000A14A0000}"/>
    <cellStyle name="Normal 227 7 2 2" xfId="19362" xr:uid="{00000000-0005-0000-0000-0000A24A0000}"/>
    <cellStyle name="Normal 227 7 3" xfId="19363" xr:uid="{00000000-0005-0000-0000-0000A34A0000}"/>
    <cellStyle name="Normal 227 8" xfId="19364" xr:uid="{00000000-0005-0000-0000-0000A44A0000}"/>
    <cellStyle name="Normal 228" xfId="19365" xr:uid="{00000000-0005-0000-0000-0000A54A0000}"/>
    <cellStyle name="Normal 228 2" xfId="19366" xr:uid="{00000000-0005-0000-0000-0000A64A0000}"/>
    <cellStyle name="Normal 228 2 2" xfId="19367" xr:uid="{00000000-0005-0000-0000-0000A74A0000}"/>
    <cellStyle name="Normal 228 2 2 2" xfId="19368" xr:uid="{00000000-0005-0000-0000-0000A84A0000}"/>
    <cellStyle name="Normal 228 2 2 2 2" xfId="19369" xr:uid="{00000000-0005-0000-0000-0000A94A0000}"/>
    <cellStyle name="Normal 228 2 2 3" xfId="19370" xr:uid="{00000000-0005-0000-0000-0000AA4A0000}"/>
    <cellStyle name="Normal 228 2 2 3 2" xfId="19371" xr:uid="{00000000-0005-0000-0000-0000AB4A0000}"/>
    <cellStyle name="Normal 228 2 2 3 2 2" xfId="19372" xr:uid="{00000000-0005-0000-0000-0000AC4A0000}"/>
    <cellStyle name="Normal 228 2 2 3 3" xfId="19373" xr:uid="{00000000-0005-0000-0000-0000AD4A0000}"/>
    <cellStyle name="Normal 228 2 2 4" xfId="19374" xr:uid="{00000000-0005-0000-0000-0000AE4A0000}"/>
    <cellStyle name="Normal 228 2 2 4 2" xfId="19375" xr:uid="{00000000-0005-0000-0000-0000AF4A0000}"/>
    <cellStyle name="Normal 228 2 2 4 2 2" xfId="19376" xr:uid="{00000000-0005-0000-0000-0000B04A0000}"/>
    <cellStyle name="Normal 228 2 2 4 3" xfId="19377" xr:uid="{00000000-0005-0000-0000-0000B14A0000}"/>
    <cellStyle name="Normal 228 2 2 5" xfId="19378" xr:uid="{00000000-0005-0000-0000-0000B24A0000}"/>
    <cellStyle name="Normal 228 2 3" xfId="19379" xr:uid="{00000000-0005-0000-0000-0000B34A0000}"/>
    <cellStyle name="Normal 228 2 3 2" xfId="19380" xr:uid="{00000000-0005-0000-0000-0000B44A0000}"/>
    <cellStyle name="Normal 228 2 3 2 2" xfId="19381" xr:uid="{00000000-0005-0000-0000-0000B54A0000}"/>
    <cellStyle name="Normal 228 2 3 2 2 2" xfId="19382" xr:uid="{00000000-0005-0000-0000-0000B64A0000}"/>
    <cellStyle name="Normal 228 2 3 2 3" xfId="19383" xr:uid="{00000000-0005-0000-0000-0000B74A0000}"/>
    <cellStyle name="Normal 228 2 3 2 3 2" xfId="19384" xr:uid="{00000000-0005-0000-0000-0000B84A0000}"/>
    <cellStyle name="Normal 228 2 3 2 3 2 2" xfId="19385" xr:uid="{00000000-0005-0000-0000-0000B94A0000}"/>
    <cellStyle name="Normal 228 2 3 2 3 3" xfId="19386" xr:uid="{00000000-0005-0000-0000-0000BA4A0000}"/>
    <cellStyle name="Normal 228 2 3 2 4" xfId="19387" xr:uid="{00000000-0005-0000-0000-0000BB4A0000}"/>
    <cellStyle name="Normal 228 2 3 3" xfId="19388" xr:uid="{00000000-0005-0000-0000-0000BC4A0000}"/>
    <cellStyle name="Normal 228 2 3 3 2" xfId="19389" xr:uid="{00000000-0005-0000-0000-0000BD4A0000}"/>
    <cellStyle name="Normal 228 2 3 3 2 2" xfId="19390" xr:uid="{00000000-0005-0000-0000-0000BE4A0000}"/>
    <cellStyle name="Normal 228 2 3 3 3" xfId="19391" xr:uid="{00000000-0005-0000-0000-0000BF4A0000}"/>
    <cellStyle name="Normal 228 2 3 4" xfId="19392" xr:uid="{00000000-0005-0000-0000-0000C04A0000}"/>
    <cellStyle name="Normal 228 2 3 4 2" xfId="19393" xr:uid="{00000000-0005-0000-0000-0000C14A0000}"/>
    <cellStyle name="Normal 228 2 3 4 2 2" xfId="19394" xr:uid="{00000000-0005-0000-0000-0000C24A0000}"/>
    <cellStyle name="Normal 228 2 3 4 3" xfId="19395" xr:uid="{00000000-0005-0000-0000-0000C34A0000}"/>
    <cellStyle name="Normal 228 2 3 5" xfId="19396" xr:uid="{00000000-0005-0000-0000-0000C44A0000}"/>
    <cellStyle name="Normal 228 2 3 5 2" xfId="19397" xr:uid="{00000000-0005-0000-0000-0000C54A0000}"/>
    <cellStyle name="Normal 228 2 3 5 2 2" xfId="19398" xr:uid="{00000000-0005-0000-0000-0000C64A0000}"/>
    <cellStyle name="Normal 228 2 3 5 3" xfId="19399" xr:uid="{00000000-0005-0000-0000-0000C74A0000}"/>
    <cellStyle name="Normal 228 2 3 6" xfId="19400" xr:uid="{00000000-0005-0000-0000-0000C84A0000}"/>
    <cellStyle name="Normal 228 2 4" xfId="19401" xr:uid="{00000000-0005-0000-0000-0000C94A0000}"/>
    <cellStyle name="Normal 228 2 4 2" xfId="19402" xr:uid="{00000000-0005-0000-0000-0000CA4A0000}"/>
    <cellStyle name="Normal 228 2 4 2 2" xfId="19403" xr:uid="{00000000-0005-0000-0000-0000CB4A0000}"/>
    <cellStyle name="Normal 228 2 4 3" xfId="19404" xr:uid="{00000000-0005-0000-0000-0000CC4A0000}"/>
    <cellStyle name="Normal 228 2 5" xfId="19405" xr:uid="{00000000-0005-0000-0000-0000CD4A0000}"/>
    <cellStyle name="Normal 228 2 5 2" xfId="19406" xr:uid="{00000000-0005-0000-0000-0000CE4A0000}"/>
    <cellStyle name="Normal 228 2 5 2 2" xfId="19407" xr:uid="{00000000-0005-0000-0000-0000CF4A0000}"/>
    <cellStyle name="Normal 228 2 5 3" xfId="19408" xr:uid="{00000000-0005-0000-0000-0000D04A0000}"/>
    <cellStyle name="Normal 228 2 6" xfId="19409" xr:uid="{00000000-0005-0000-0000-0000D14A0000}"/>
    <cellStyle name="Normal 228 2 6 2" xfId="19410" xr:uid="{00000000-0005-0000-0000-0000D24A0000}"/>
    <cellStyle name="Normal 228 2 6 2 2" xfId="19411" xr:uid="{00000000-0005-0000-0000-0000D34A0000}"/>
    <cellStyle name="Normal 228 2 6 3" xfId="19412" xr:uid="{00000000-0005-0000-0000-0000D44A0000}"/>
    <cellStyle name="Normal 228 2 7" xfId="19413" xr:uid="{00000000-0005-0000-0000-0000D54A0000}"/>
    <cellStyle name="Normal 228 3" xfId="19414" xr:uid="{00000000-0005-0000-0000-0000D64A0000}"/>
    <cellStyle name="Normal 228 3 2" xfId="19415" xr:uid="{00000000-0005-0000-0000-0000D74A0000}"/>
    <cellStyle name="Normal 228 3 2 2" xfId="19416" xr:uid="{00000000-0005-0000-0000-0000D84A0000}"/>
    <cellStyle name="Normal 228 3 3" xfId="19417" xr:uid="{00000000-0005-0000-0000-0000D94A0000}"/>
    <cellStyle name="Normal 228 3 3 2" xfId="19418" xr:uid="{00000000-0005-0000-0000-0000DA4A0000}"/>
    <cellStyle name="Normal 228 3 3 2 2" xfId="19419" xr:uid="{00000000-0005-0000-0000-0000DB4A0000}"/>
    <cellStyle name="Normal 228 3 3 3" xfId="19420" xr:uid="{00000000-0005-0000-0000-0000DC4A0000}"/>
    <cellStyle name="Normal 228 3 4" xfId="19421" xr:uid="{00000000-0005-0000-0000-0000DD4A0000}"/>
    <cellStyle name="Normal 228 3 4 2" xfId="19422" xr:uid="{00000000-0005-0000-0000-0000DE4A0000}"/>
    <cellStyle name="Normal 228 3 4 2 2" xfId="19423" xr:uid="{00000000-0005-0000-0000-0000DF4A0000}"/>
    <cellStyle name="Normal 228 3 4 3" xfId="19424" xr:uid="{00000000-0005-0000-0000-0000E04A0000}"/>
    <cellStyle name="Normal 228 3 5" xfId="19425" xr:uid="{00000000-0005-0000-0000-0000E14A0000}"/>
    <cellStyle name="Normal 228 4" xfId="19426" xr:uid="{00000000-0005-0000-0000-0000E24A0000}"/>
    <cellStyle name="Normal 228 4 2" xfId="19427" xr:uid="{00000000-0005-0000-0000-0000E34A0000}"/>
    <cellStyle name="Normal 228 4 2 2" xfId="19428" xr:uid="{00000000-0005-0000-0000-0000E44A0000}"/>
    <cellStyle name="Normal 228 4 2 2 2" xfId="19429" xr:uid="{00000000-0005-0000-0000-0000E54A0000}"/>
    <cellStyle name="Normal 228 4 2 3" xfId="19430" xr:uid="{00000000-0005-0000-0000-0000E64A0000}"/>
    <cellStyle name="Normal 228 4 2 3 2" xfId="19431" xr:uid="{00000000-0005-0000-0000-0000E74A0000}"/>
    <cellStyle name="Normal 228 4 2 3 2 2" xfId="19432" xr:uid="{00000000-0005-0000-0000-0000E84A0000}"/>
    <cellStyle name="Normal 228 4 2 3 3" xfId="19433" xr:uid="{00000000-0005-0000-0000-0000E94A0000}"/>
    <cellStyle name="Normal 228 4 2 4" xfId="19434" xr:uid="{00000000-0005-0000-0000-0000EA4A0000}"/>
    <cellStyle name="Normal 228 4 3" xfId="19435" xr:uid="{00000000-0005-0000-0000-0000EB4A0000}"/>
    <cellStyle name="Normal 228 4 3 2" xfId="19436" xr:uid="{00000000-0005-0000-0000-0000EC4A0000}"/>
    <cellStyle name="Normal 228 4 3 2 2" xfId="19437" xr:uid="{00000000-0005-0000-0000-0000ED4A0000}"/>
    <cellStyle name="Normal 228 4 3 3" xfId="19438" xr:uid="{00000000-0005-0000-0000-0000EE4A0000}"/>
    <cellStyle name="Normal 228 4 4" xfId="19439" xr:uid="{00000000-0005-0000-0000-0000EF4A0000}"/>
    <cellStyle name="Normal 228 4 4 2" xfId="19440" xr:uid="{00000000-0005-0000-0000-0000F04A0000}"/>
    <cellStyle name="Normal 228 4 4 2 2" xfId="19441" xr:uid="{00000000-0005-0000-0000-0000F14A0000}"/>
    <cellStyle name="Normal 228 4 4 3" xfId="19442" xr:uid="{00000000-0005-0000-0000-0000F24A0000}"/>
    <cellStyle name="Normal 228 4 5" xfId="19443" xr:uid="{00000000-0005-0000-0000-0000F34A0000}"/>
    <cellStyle name="Normal 228 4 5 2" xfId="19444" xr:uid="{00000000-0005-0000-0000-0000F44A0000}"/>
    <cellStyle name="Normal 228 4 5 2 2" xfId="19445" xr:uid="{00000000-0005-0000-0000-0000F54A0000}"/>
    <cellStyle name="Normal 228 4 5 3" xfId="19446" xr:uid="{00000000-0005-0000-0000-0000F64A0000}"/>
    <cellStyle name="Normal 228 4 6" xfId="19447" xr:uid="{00000000-0005-0000-0000-0000F74A0000}"/>
    <cellStyle name="Normal 228 5" xfId="19448" xr:uid="{00000000-0005-0000-0000-0000F84A0000}"/>
    <cellStyle name="Normal 228 5 2" xfId="19449" xr:uid="{00000000-0005-0000-0000-0000F94A0000}"/>
    <cellStyle name="Normal 228 5 2 2" xfId="19450" xr:uid="{00000000-0005-0000-0000-0000FA4A0000}"/>
    <cellStyle name="Normal 228 5 3" xfId="19451" xr:uid="{00000000-0005-0000-0000-0000FB4A0000}"/>
    <cellStyle name="Normal 228 6" xfId="19452" xr:uid="{00000000-0005-0000-0000-0000FC4A0000}"/>
    <cellStyle name="Normal 228 6 2" xfId="19453" xr:uid="{00000000-0005-0000-0000-0000FD4A0000}"/>
    <cellStyle name="Normal 228 6 2 2" xfId="19454" xr:uid="{00000000-0005-0000-0000-0000FE4A0000}"/>
    <cellStyle name="Normal 228 6 3" xfId="19455" xr:uid="{00000000-0005-0000-0000-0000FF4A0000}"/>
    <cellStyle name="Normal 228 7" xfId="19456" xr:uid="{00000000-0005-0000-0000-0000004B0000}"/>
    <cellStyle name="Normal 228 7 2" xfId="19457" xr:uid="{00000000-0005-0000-0000-0000014B0000}"/>
    <cellStyle name="Normal 228 7 2 2" xfId="19458" xr:uid="{00000000-0005-0000-0000-0000024B0000}"/>
    <cellStyle name="Normal 228 7 3" xfId="19459" xr:uid="{00000000-0005-0000-0000-0000034B0000}"/>
    <cellStyle name="Normal 228 8" xfId="19460" xr:uid="{00000000-0005-0000-0000-0000044B0000}"/>
    <cellStyle name="Normal 229" xfId="19461" xr:uid="{00000000-0005-0000-0000-0000054B0000}"/>
    <cellStyle name="Normal 229 2" xfId="19462" xr:uid="{00000000-0005-0000-0000-0000064B0000}"/>
    <cellStyle name="Normal 229 2 2" xfId="19463" xr:uid="{00000000-0005-0000-0000-0000074B0000}"/>
    <cellStyle name="Normal 229 2 2 2" xfId="19464" xr:uid="{00000000-0005-0000-0000-0000084B0000}"/>
    <cellStyle name="Normal 229 2 2 2 2" xfId="19465" xr:uid="{00000000-0005-0000-0000-0000094B0000}"/>
    <cellStyle name="Normal 229 2 2 3" xfId="19466" xr:uid="{00000000-0005-0000-0000-00000A4B0000}"/>
    <cellStyle name="Normal 229 2 2 3 2" xfId="19467" xr:uid="{00000000-0005-0000-0000-00000B4B0000}"/>
    <cellStyle name="Normal 229 2 2 3 2 2" xfId="19468" xr:uid="{00000000-0005-0000-0000-00000C4B0000}"/>
    <cellStyle name="Normal 229 2 2 3 3" xfId="19469" xr:uid="{00000000-0005-0000-0000-00000D4B0000}"/>
    <cellStyle name="Normal 229 2 2 4" xfId="19470" xr:uid="{00000000-0005-0000-0000-00000E4B0000}"/>
    <cellStyle name="Normal 229 2 2 4 2" xfId="19471" xr:uid="{00000000-0005-0000-0000-00000F4B0000}"/>
    <cellStyle name="Normal 229 2 2 4 2 2" xfId="19472" xr:uid="{00000000-0005-0000-0000-0000104B0000}"/>
    <cellStyle name="Normal 229 2 2 4 3" xfId="19473" xr:uid="{00000000-0005-0000-0000-0000114B0000}"/>
    <cellStyle name="Normal 229 2 2 5" xfId="19474" xr:uid="{00000000-0005-0000-0000-0000124B0000}"/>
    <cellStyle name="Normal 229 2 3" xfId="19475" xr:uid="{00000000-0005-0000-0000-0000134B0000}"/>
    <cellStyle name="Normal 229 2 3 2" xfId="19476" xr:uid="{00000000-0005-0000-0000-0000144B0000}"/>
    <cellStyle name="Normal 229 2 3 2 2" xfId="19477" xr:uid="{00000000-0005-0000-0000-0000154B0000}"/>
    <cellStyle name="Normal 229 2 3 2 2 2" xfId="19478" xr:uid="{00000000-0005-0000-0000-0000164B0000}"/>
    <cellStyle name="Normal 229 2 3 2 3" xfId="19479" xr:uid="{00000000-0005-0000-0000-0000174B0000}"/>
    <cellStyle name="Normal 229 2 3 2 3 2" xfId="19480" xr:uid="{00000000-0005-0000-0000-0000184B0000}"/>
    <cellStyle name="Normal 229 2 3 2 3 2 2" xfId="19481" xr:uid="{00000000-0005-0000-0000-0000194B0000}"/>
    <cellStyle name="Normal 229 2 3 2 3 3" xfId="19482" xr:uid="{00000000-0005-0000-0000-00001A4B0000}"/>
    <cellStyle name="Normal 229 2 3 2 4" xfId="19483" xr:uid="{00000000-0005-0000-0000-00001B4B0000}"/>
    <cellStyle name="Normal 229 2 3 3" xfId="19484" xr:uid="{00000000-0005-0000-0000-00001C4B0000}"/>
    <cellStyle name="Normal 229 2 3 3 2" xfId="19485" xr:uid="{00000000-0005-0000-0000-00001D4B0000}"/>
    <cellStyle name="Normal 229 2 3 3 2 2" xfId="19486" xr:uid="{00000000-0005-0000-0000-00001E4B0000}"/>
    <cellStyle name="Normal 229 2 3 3 3" xfId="19487" xr:uid="{00000000-0005-0000-0000-00001F4B0000}"/>
    <cellStyle name="Normal 229 2 3 4" xfId="19488" xr:uid="{00000000-0005-0000-0000-0000204B0000}"/>
    <cellStyle name="Normal 229 2 3 4 2" xfId="19489" xr:uid="{00000000-0005-0000-0000-0000214B0000}"/>
    <cellStyle name="Normal 229 2 3 4 2 2" xfId="19490" xr:uid="{00000000-0005-0000-0000-0000224B0000}"/>
    <cellStyle name="Normal 229 2 3 4 3" xfId="19491" xr:uid="{00000000-0005-0000-0000-0000234B0000}"/>
    <cellStyle name="Normal 229 2 3 5" xfId="19492" xr:uid="{00000000-0005-0000-0000-0000244B0000}"/>
    <cellStyle name="Normal 229 2 3 5 2" xfId="19493" xr:uid="{00000000-0005-0000-0000-0000254B0000}"/>
    <cellStyle name="Normal 229 2 3 5 2 2" xfId="19494" xr:uid="{00000000-0005-0000-0000-0000264B0000}"/>
    <cellStyle name="Normal 229 2 3 5 3" xfId="19495" xr:uid="{00000000-0005-0000-0000-0000274B0000}"/>
    <cellStyle name="Normal 229 2 3 6" xfId="19496" xr:uid="{00000000-0005-0000-0000-0000284B0000}"/>
    <cellStyle name="Normal 229 2 4" xfId="19497" xr:uid="{00000000-0005-0000-0000-0000294B0000}"/>
    <cellStyle name="Normal 229 2 4 2" xfId="19498" xr:uid="{00000000-0005-0000-0000-00002A4B0000}"/>
    <cellStyle name="Normal 229 2 4 2 2" xfId="19499" xr:uid="{00000000-0005-0000-0000-00002B4B0000}"/>
    <cellStyle name="Normal 229 2 4 3" xfId="19500" xr:uid="{00000000-0005-0000-0000-00002C4B0000}"/>
    <cellStyle name="Normal 229 2 5" xfId="19501" xr:uid="{00000000-0005-0000-0000-00002D4B0000}"/>
    <cellStyle name="Normal 229 2 5 2" xfId="19502" xr:uid="{00000000-0005-0000-0000-00002E4B0000}"/>
    <cellStyle name="Normal 229 2 5 2 2" xfId="19503" xr:uid="{00000000-0005-0000-0000-00002F4B0000}"/>
    <cellStyle name="Normal 229 2 5 3" xfId="19504" xr:uid="{00000000-0005-0000-0000-0000304B0000}"/>
    <cellStyle name="Normal 229 2 6" xfId="19505" xr:uid="{00000000-0005-0000-0000-0000314B0000}"/>
    <cellStyle name="Normal 229 2 6 2" xfId="19506" xr:uid="{00000000-0005-0000-0000-0000324B0000}"/>
    <cellStyle name="Normal 229 2 6 2 2" xfId="19507" xr:uid="{00000000-0005-0000-0000-0000334B0000}"/>
    <cellStyle name="Normal 229 2 6 3" xfId="19508" xr:uid="{00000000-0005-0000-0000-0000344B0000}"/>
    <cellStyle name="Normal 229 2 7" xfId="19509" xr:uid="{00000000-0005-0000-0000-0000354B0000}"/>
    <cellStyle name="Normal 229 3" xfId="19510" xr:uid="{00000000-0005-0000-0000-0000364B0000}"/>
    <cellStyle name="Normal 229 3 2" xfId="19511" xr:uid="{00000000-0005-0000-0000-0000374B0000}"/>
    <cellStyle name="Normal 229 3 2 2" xfId="19512" xr:uid="{00000000-0005-0000-0000-0000384B0000}"/>
    <cellStyle name="Normal 229 3 3" xfId="19513" xr:uid="{00000000-0005-0000-0000-0000394B0000}"/>
    <cellStyle name="Normal 229 3 3 2" xfId="19514" xr:uid="{00000000-0005-0000-0000-00003A4B0000}"/>
    <cellStyle name="Normal 229 3 3 2 2" xfId="19515" xr:uid="{00000000-0005-0000-0000-00003B4B0000}"/>
    <cellStyle name="Normal 229 3 3 3" xfId="19516" xr:uid="{00000000-0005-0000-0000-00003C4B0000}"/>
    <cellStyle name="Normal 229 3 4" xfId="19517" xr:uid="{00000000-0005-0000-0000-00003D4B0000}"/>
    <cellStyle name="Normal 229 3 4 2" xfId="19518" xr:uid="{00000000-0005-0000-0000-00003E4B0000}"/>
    <cellStyle name="Normal 229 3 4 2 2" xfId="19519" xr:uid="{00000000-0005-0000-0000-00003F4B0000}"/>
    <cellStyle name="Normal 229 3 4 3" xfId="19520" xr:uid="{00000000-0005-0000-0000-0000404B0000}"/>
    <cellStyle name="Normal 229 3 5" xfId="19521" xr:uid="{00000000-0005-0000-0000-0000414B0000}"/>
    <cellStyle name="Normal 229 4" xfId="19522" xr:uid="{00000000-0005-0000-0000-0000424B0000}"/>
    <cellStyle name="Normal 229 4 2" xfId="19523" xr:uid="{00000000-0005-0000-0000-0000434B0000}"/>
    <cellStyle name="Normal 229 4 2 2" xfId="19524" xr:uid="{00000000-0005-0000-0000-0000444B0000}"/>
    <cellStyle name="Normal 229 4 2 2 2" xfId="19525" xr:uid="{00000000-0005-0000-0000-0000454B0000}"/>
    <cellStyle name="Normal 229 4 2 3" xfId="19526" xr:uid="{00000000-0005-0000-0000-0000464B0000}"/>
    <cellStyle name="Normal 229 4 2 3 2" xfId="19527" xr:uid="{00000000-0005-0000-0000-0000474B0000}"/>
    <cellStyle name="Normal 229 4 2 3 2 2" xfId="19528" xr:uid="{00000000-0005-0000-0000-0000484B0000}"/>
    <cellStyle name="Normal 229 4 2 3 3" xfId="19529" xr:uid="{00000000-0005-0000-0000-0000494B0000}"/>
    <cellStyle name="Normal 229 4 2 4" xfId="19530" xr:uid="{00000000-0005-0000-0000-00004A4B0000}"/>
    <cellStyle name="Normal 229 4 3" xfId="19531" xr:uid="{00000000-0005-0000-0000-00004B4B0000}"/>
    <cellStyle name="Normal 229 4 3 2" xfId="19532" xr:uid="{00000000-0005-0000-0000-00004C4B0000}"/>
    <cellStyle name="Normal 229 4 3 2 2" xfId="19533" xr:uid="{00000000-0005-0000-0000-00004D4B0000}"/>
    <cellStyle name="Normal 229 4 3 3" xfId="19534" xr:uid="{00000000-0005-0000-0000-00004E4B0000}"/>
    <cellStyle name="Normal 229 4 4" xfId="19535" xr:uid="{00000000-0005-0000-0000-00004F4B0000}"/>
    <cellStyle name="Normal 229 4 4 2" xfId="19536" xr:uid="{00000000-0005-0000-0000-0000504B0000}"/>
    <cellStyle name="Normal 229 4 4 2 2" xfId="19537" xr:uid="{00000000-0005-0000-0000-0000514B0000}"/>
    <cellStyle name="Normal 229 4 4 3" xfId="19538" xr:uid="{00000000-0005-0000-0000-0000524B0000}"/>
    <cellStyle name="Normal 229 4 5" xfId="19539" xr:uid="{00000000-0005-0000-0000-0000534B0000}"/>
    <cellStyle name="Normal 229 4 5 2" xfId="19540" xr:uid="{00000000-0005-0000-0000-0000544B0000}"/>
    <cellStyle name="Normal 229 4 5 2 2" xfId="19541" xr:uid="{00000000-0005-0000-0000-0000554B0000}"/>
    <cellStyle name="Normal 229 4 5 3" xfId="19542" xr:uid="{00000000-0005-0000-0000-0000564B0000}"/>
    <cellStyle name="Normal 229 4 6" xfId="19543" xr:uid="{00000000-0005-0000-0000-0000574B0000}"/>
    <cellStyle name="Normal 229 5" xfId="19544" xr:uid="{00000000-0005-0000-0000-0000584B0000}"/>
    <cellStyle name="Normal 229 5 2" xfId="19545" xr:uid="{00000000-0005-0000-0000-0000594B0000}"/>
    <cellStyle name="Normal 229 5 2 2" xfId="19546" xr:uid="{00000000-0005-0000-0000-00005A4B0000}"/>
    <cellStyle name="Normal 229 5 3" xfId="19547" xr:uid="{00000000-0005-0000-0000-00005B4B0000}"/>
    <cellStyle name="Normal 229 6" xfId="19548" xr:uid="{00000000-0005-0000-0000-00005C4B0000}"/>
    <cellStyle name="Normal 229 6 2" xfId="19549" xr:uid="{00000000-0005-0000-0000-00005D4B0000}"/>
    <cellStyle name="Normal 229 6 2 2" xfId="19550" xr:uid="{00000000-0005-0000-0000-00005E4B0000}"/>
    <cellStyle name="Normal 229 6 3" xfId="19551" xr:uid="{00000000-0005-0000-0000-00005F4B0000}"/>
    <cellStyle name="Normal 229 7" xfId="19552" xr:uid="{00000000-0005-0000-0000-0000604B0000}"/>
    <cellStyle name="Normal 229 7 2" xfId="19553" xr:uid="{00000000-0005-0000-0000-0000614B0000}"/>
    <cellStyle name="Normal 229 7 2 2" xfId="19554" xr:uid="{00000000-0005-0000-0000-0000624B0000}"/>
    <cellStyle name="Normal 229 7 3" xfId="19555" xr:uid="{00000000-0005-0000-0000-0000634B0000}"/>
    <cellStyle name="Normal 229 8" xfId="19556" xr:uid="{00000000-0005-0000-0000-0000644B0000}"/>
    <cellStyle name="Normal 23" xfId="19557" xr:uid="{00000000-0005-0000-0000-0000654B0000}"/>
    <cellStyle name="Normal 23 2" xfId="19558" xr:uid="{00000000-0005-0000-0000-0000664B0000}"/>
    <cellStyle name="Normal 23 2 2" xfId="19559" xr:uid="{00000000-0005-0000-0000-0000674B0000}"/>
    <cellStyle name="Normal 23 2 2 2" xfId="19560" xr:uid="{00000000-0005-0000-0000-0000684B0000}"/>
    <cellStyle name="Normal 23 2 2 2 2" xfId="19561" xr:uid="{00000000-0005-0000-0000-0000694B0000}"/>
    <cellStyle name="Normal 23 2 2 3" xfId="19562" xr:uid="{00000000-0005-0000-0000-00006A4B0000}"/>
    <cellStyle name="Normal 23 2 2 3 2" xfId="19563" xr:uid="{00000000-0005-0000-0000-00006B4B0000}"/>
    <cellStyle name="Normal 23 2 2 3 2 2" xfId="19564" xr:uid="{00000000-0005-0000-0000-00006C4B0000}"/>
    <cellStyle name="Normal 23 2 2 3 3" xfId="19565" xr:uid="{00000000-0005-0000-0000-00006D4B0000}"/>
    <cellStyle name="Normal 23 2 2 4" xfId="19566" xr:uid="{00000000-0005-0000-0000-00006E4B0000}"/>
    <cellStyle name="Normal 23 2 2 4 2" xfId="19567" xr:uid="{00000000-0005-0000-0000-00006F4B0000}"/>
    <cellStyle name="Normal 23 2 2 4 2 2" xfId="19568" xr:uid="{00000000-0005-0000-0000-0000704B0000}"/>
    <cellStyle name="Normal 23 2 2 4 3" xfId="19569" xr:uid="{00000000-0005-0000-0000-0000714B0000}"/>
    <cellStyle name="Normal 23 2 2 5" xfId="19570" xr:uid="{00000000-0005-0000-0000-0000724B0000}"/>
    <cellStyle name="Normal 23 2 3" xfId="19571" xr:uid="{00000000-0005-0000-0000-0000734B0000}"/>
    <cellStyle name="Normal 23 2 3 2" xfId="19572" xr:uid="{00000000-0005-0000-0000-0000744B0000}"/>
    <cellStyle name="Normal 23 2 3 2 2" xfId="19573" xr:uid="{00000000-0005-0000-0000-0000754B0000}"/>
    <cellStyle name="Normal 23 2 3 3" xfId="19574" xr:uid="{00000000-0005-0000-0000-0000764B0000}"/>
    <cellStyle name="Normal 23 2 4" xfId="19575" xr:uid="{00000000-0005-0000-0000-0000774B0000}"/>
    <cellStyle name="Normal 23 2 4 2" xfId="19576" xr:uid="{00000000-0005-0000-0000-0000784B0000}"/>
    <cellStyle name="Normal 23 2 4 2 2" xfId="19577" xr:uid="{00000000-0005-0000-0000-0000794B0000}"/>
    <cellStyle name="Normal 23 2 4 3" xfId="19578" xr:uid="{00000000-0005-0000-0000-00007A4B0000}"/>
    <cellStyle name="Normal 23 2 5" xfId="19579" xr:uid="{00000000-0005-0000-0000-00007B4B0000}"/>
    <cellStyle name="Normal 23 2 5 2" xfId="19580" xr:uid="{00000000-0005-0000-0000-00007C4B0000}"/>
    <cellStyle name="Normal 23 2 5 2 2" xfId="19581" xr:uid="{00000000-0005-0000-0000-00007D4B0000}"/>
    <cellStyle name="Normal 23 2 5 3" xfId="19582" xr:uid="{00000000-0005-0000-0000-00007E4B0000}"/>
    <cellStyle name="Normal 23 2 6" xfId="19583" xr:uid="{00000000-0005-0000-0000-00007F4B0000}"/>
    <cellStyle name="Normal 23 3" xfId="19584" xr:uid="{00000000-0005-0000-0000-0000804B0000}"/>
    <cellStyle name="Normal 23 3 2" xfId="19585" xr:uid="{00000000-0005-0000-0000-0000814B0000}"/>
    <cellStyle name="Normal 23 3 2 2" xfId="19586" xr:uid="{00000000-0005-0000-0000-0000824B0000}"/>
    <cellStyle name="Normal 23 3 3" xfId="19587" xr:uid="{00000000-0005-0000-0000-0000834B0000}"/>
    <cellStyle name="Normal 23 3 3 2" xfId="19588" xr:uid="{00000000-0005-0000-0000-0000844B0000}"/>
    <cellStyle name="Normal 23 3 3 2 2" xfId="19589" xr:uid="{00000000-0005-0000-0000-0000854B0000}"/>
    <cellStyle name="Normal 23 3 3 3" xfId="19590" xr:uid="{00000000-0005-0000-0000-0000864B0000}"/>
    <cellStyle name="Normal 23 3 4" xfId="19591" xr:uid="{00000000-0005-0000-0000-0000874B0000}"/>
    <cellStyle name="Normal 23 3 4 2" xfId="19592" xr:uid="{00000000-0005-0000-0000-0000884B0000}"/>
    <cellStyle name="Normal 23 3 4 2 2" xfId="19593" xr:uid="{00000000-0005-0000-0000-0000894B0000}"/>
    <cellStyle name="Normal 23 3 4 3" xfId="19594" xr:uid="{00000000-0005-0000-0000-00008A4B0000}"/>
    <cellStyle name="Normal 23 3 5" xfId="19595" xr:uid="{00000000-0005-0000-0000-00008B4B0000}"/>
    <cellStyle name="Normal 23 4" xfId="19596" xr:uid="{00000000-0005-0000-0000-00008C4B0000}"/>
    <cellStyle name="Normal 23 4 2" xfId="19597" xr:uid="{00000000-0005-0000-0000-00008D4B0000}"/>
    <cellStyle name="Normal 23 4 2 2" xfId="19598" xr:uid="{00000000-0005-0000-0000-00008E4B0000}"/>
    <cellStyle name="Normal 23 4 2 2 2" xfId="19599" xr:uid="{00000000-0005-0000-0000-00008F4B0000}"/>
    <cellStyle name="Normal 23 4 2 3" xfId="19600" xr:uid="{00000000-0005-0000-0000-0000904B0000}"/>
    <cellStyle name="Normal 23 4 2 3 2" xfId="19601" xr:uid="{00000000-0005-0000-0000-0000914B0000}"/>
    <cellStyle name="Normal 23 4 2 3 2 2" xfId="19602" xr:uid="{00000000-0005-0000-0000-0000924B0000}"/>
    <cellStyle name="Normal 23 4 2 3 3" xfId="19603" xr:uid="{00000000-0005-0000-0000-0000934B0000}"/>
    <cellStyle name="Normal 23 4 2 4" xfId="19604" xr:uid="{00000000-0005-0000-0000-0000944B0000}"/>
    <cellStyle name="Normal 23 4 3" xfId="19605" xr:uid="{00000000-0005-0000-0000-0000954B0000}"/>
    <cellStyle name="Normal 23 4 3 2" xfId="19606" xr:uid="{00000000-0005-0000-0000-0000964B0000}"/>
    <cellStyle name="Normal 23 4 3 2 2" xfId="19607" xr:uid="{00000000-0005-0000-0000-0000974B0000}"/>
    <cellStyle name="Normal 23 4 3 3" xfId="19608" xr:uid="{00000000-0005-0000-0000-0000984B0000}"/>
    <cellStyle name="Normal 23 4 4" xfId="19609" xr:uid="{00000000-0005-0000-0000-0000994B0000}"/>
    <cellStyle name="Normal 23 4 4 2" xfId="19610" xr:uid="{00000000-0005-0000-0000-00009A4B0000}"/>
    <cellStyle name="Normal 23 4 4 2 2" xfId="19611" xr:uid="{00000000-0005-0000-0000-00009B4B0000}"/>
    <cellStyle name="Normal 23 4 4 3" xfId="19612" xr:uid="{00000000-0005-0000-0000-00009C4B0000}"/>
    <cellStyle name="Normal 23 4 5" xfId="19613" xr:uid="{00000000-0005-0000-0000-00009D4B0000}"/>
    <cellStyle name="Normal 23 4 5 2" xfId="19614" xr:uid="{00000000-0005-0000-0000-00009E4B0000}"/>
    <cellStyle name="Normal 23 4 5 2 2" xfId="19615" xr:uid="{00000000-0005-0000-0000-00009F4B0000}"/>
    <cellStyle name="Normal 23 4 5 3" xfId="19616" xr:uid="{00000000-0005-0000-0000-0000A04B0000}"/>
    <cellStyle name="Normal 23 4 6" xfId="19617" xr:uid="{00000000-0005-0000-0000-0000A14B0000}"/>
    <cellStyle name="Normal 23 5" xfId="19618" xr:uid="{00000000-0005-0000-0000-0000A24B0000}"/>
    <cellStyle name="Normal 230" xfId="19619" xr:uid="{00000000-0005-0000-0000-0000A34B0000}"/>
    <cellStyle name="Normal 230 2" xfId="19620" xr:uid="{00000000-0005-0000-0000-0000A44B0000}"/>
    <cellStyle name="Normal 230 2 2" xfId="19621" xr:uid="{00000000-0005-0000-0000-0000A54B0000}"/>
    <cellStyle name="Normal 230 2 2 2" xfId="19622" xr:uid="{00000000-0005-0000-0000-0000A64B0000}"/>
    <cellStyle name="Normal 230 2 2 2 2" xfId="19623" xr:uid="{00000000-0005-0000-0000-0000A74B0000}"/>
    <cellStyle name="Normal 230 2 2 3" xfId="19624" xr:uid="{00000000-0005-0000-0000-0000A84B0000}"/>
    <cellStyle name="Normal 230 2 2 3 2" xfId="19625" xr:uid="{00000000-0005-0000-0000-0000A94B0000}"/>
    <cellStyle name="Normal 230 2 2 3 2 2" xfId="19626" xr:uid="{00000000-0005-0000-0000-0000AA4B0000}"/>
    <cellStyle name="Normal 230 2 2 3 3" xfId="19627" xr:uid="{00000000-0005-0000-0000-0000AB4B0000}"/>
    <cellStyle name="Normal 230 2 2 4" xfId="19628" xr:uid="{00000000-0005-0000-0000-0000AC4B0000}"/>
    <cellStyle name="Normal 230 2 2 4 2" xfId="19629" xr:uid="{00000000-0005-0000-0000-0000AD4B0000}"/>
    <cellStyle name="Normal 230 2 2 4 2 2" xfId="19630" xr:uid="{00000000-0005-0000-0000-0000AE4B0000}"/>
    <cellStyle name="Normal 230 2 2 4 3" xfId="19631" xr:uid="{00000000-0005-0000-0000-0000AF4B0000}"/>
    <cellStyle name="Normal 230 2 2 5" xfId="19632" xr:uid="{00000000-0005-0000-0000-0000B04B0000}"/>
    <cellStyle name="Normal 230 2 3" xfId="19633" xr:uid="{00000000-0005-0000-0000-0000B14B0000}"/>
    <cellStyle name="Normal 230 2 3 2" xfId="19634" xr:uid="{00000000-0005-0000-0000-0000B24B0000}"/>
    <cellStyle name="Normal 230 2 3 2 2" xfId="19635" xr:uid="{00000000-0005-0000-0000-0000B34B0000}"/>
    <cellStyle name="Normal 230 2 3 2 2 2" xfId="19636" xr:uid="{00000000-0005-0000-0000-0000B44B0000}"/>
    <cellStyle name="Normal 230 2 3 2 3" xfId="19637" xr:uid="{00000000-0005-0000-0000-0000B54B0000}"/>
    <cellStyle name="Normal 230 2 3 2 3 2" xfId="19638" xr:uid="{00000000-0005-0000-0000-0000B64B0000}"/>
    <cellStyle name="Normal 230 2 3 2 3 2 2" xfId="19639" xr:uid="{00000000-0005-0000-0000-0000B74B0000}"/>
    <cellStyle name="Normal 230 2 3 2 3 3" xfId="19640" xr:uid="{00000000-0005-0000-0000-0000B84B0000}"/>
    <cellStyle name="Normal 230 2 3 2 4" xfId="19641" xr:uid="{00000000-0005-0000-0000-0000B94B0000}"/>
    <cellStyle name="Normal 230 2 3 3" xfId="19642" xr:uid="{00000000-0005-0000-0000-0000BA4B0000}"/>
    <cellStyle name="Normal 230 2 3 3 2" xfId="19643" xr:uid="{00000000-0005-0000-0000-0000BB4B0000}"/>
    <cellStyle name="Normal 230 2 3 3 2 2" xfId="19644" xr:uid="{00000000-0005-0000-0000-0000BC4B0000}"/>
    <cellStyle name="Normal 230 2 3 3 3" xfId="19645" xr:uid="{00000000-0005-0000-0000-0000BD4B0000}"/>
    <cellStyle name="Normal 230 2 3 4" xfId="19646" xr:uid="{00000000-0005-0000-0000-0000BE4B0000}"/>
    <cellStyle name="Normal 230 2 3 4 2" xfId="19647" xr:uid="{00000000-0005-0000-0000-0000BF4B0000}"/>
    <cellStyle name="Normal 230 2 3 4 2 2" xfId="19648" xr:uid="{00000000-0005-0000-0000-0000C04B0000}"/>
    <cellStyle name="Normal 230 2 3 4 3" xfId="19649" xr:uid="{00000000-0005-0000-0000-0000C14B0000}"/>
    <cellStyle name="Normal 230 2 3 5" xfId="19650" xr:uid="{00000000-0005-0000-0000-0000C24B0000}"/>
    <cellStyle name="Normal 230 2 3 5 2" xfId="19651" xr:uid="{00000000-0005-0000-0000-0000C34B0000}"/>
    <cellStyle name="Normal 230 2 3 5 2 2" xfId="19652" xr:uid="{00000000-0005-0000-0000-0000C44B0000}"/>
    <cellStyle name="Normal 230 2 3 5 3" xfId="19653" xr:uid="{00000000-0005-0000-0000-0000C54B0000}"/>
    <cellStyle name="Normal 230 2 3 6" xfId="19654" xr:uid="{00000000-0005-0000-0000-0000C64B0000}"/>
    <cellStyle name="Normal 230 2 4" xfId="19655" xr:uid="{00000000-0005-0000-0000-0000C74B0000}"/>
    <cellStyle name="Normal 230 2 4 2" xfId="19656" xr:uid="{00000000-0005-0000-0000-0000C84B0000}"/>
    <cellStyle name="Normal 230 2 4 2 2" xfId="19657" xr:uid="{00000000-0005-0000-0000-0000C94B0000}"/>
    <cellStyle name="Normal 230 2 4 3" xfId="19658" xr:uid="{00000000-0005-0000-0000-0000CA4B0000}"/>
    <cellStyle name="Normal 230 2 5" xfId="19659" xr:uid="{00000000-0005-0000-0000-0000CB4B0000}"/>
    <cellStyle name="Normal 230 2 5 2" xfId="19660" xr:uid="{00000000-0005-0000-0000-0000CC4B0000}"/>
    <cellStyle name="Normal 230 2 5 2 2" xfId="19661" xr:uid="{00000000-0005-0000-0000-0000CD4B0000}"/>
    <cellStyle name="Normal 230 2 5 3" xfId="19662" xr:uid="{00000000-0005-0000-0000-0000CE4B0000}"/>
    <cellStyle name="Normal 230 2 6" xfId="19663" xr:uid="{00000000-0005-0000-0000-0000CF4B0000}"/>
    <cellStyle name="Normal 230 2 6 2" xfId="19664" xr:uid="{00000000-0005-0000-0000-0000D04B0000}"/>
    <cellStyle name="Normal 230 2 6 2 2" xfId="19665" xr:uid="{00000000-0005-0000-0000-0000D14B0000}"/>
    <cellStyle name="Normal 230 2 6 3" xfId="19666" xr:uid="{00000000-0005-0000-0000-0000D24B0000}"/>
    <cellStyle name="Normal 230 2 7" xfId="19667" xr:uid="{00000000-0005-0000-0000-0000D34B0000}"/>
    <cellStyle name="Normal 230 3" xfId="19668" xr:uid="{00000000-0005-0000-0000-0000D44B0000}"/>
    <cellStyle name="Normal 230 3 2" xfId="19669" xr:uid="{00000000-0005-0000-0000-0000D54B0000}"/>
    <cellStyle name="Normal 230 3 2 2" xfId="19670" xr:uid="{00000000-0005-0000-0000-0000D64B0000}"/>
    <cellStyle name="Normal 230 3 3" xfId="19671" xr:uid="{00000000-0005-0000-0000-0000D74B0000}"/>
    <cellStyle name="Normal 230 3 3 2" xfId="19672" xr:uid="{00000000-0005-0000-0000-0000D84B0000}"/>
    <cellStyle name="Normal 230 3 3 2 2" xfId="19673" xr:uid="{00000000-0005-0000-0000-0000D94B0000}"/>
    <cellStyle name="Normal 230 3 3 3" xfId="19674" xr:uid="{00000000-0005-0000-0000-0000DA4B0000}"/>
    <cellStyle name="Normal 230 3 4" xfId="19675" xr:uid="{00000000-0005-0000-0000-0000DB4B0000}"/>
    <cellStyle name="Normal 230 3 4 2" xfId="19676" xr:uid="{00000000-0005-0000-0000-0000DC4B0000}"/>
    <cellStyle name="Normal 230 3 4 2 2" xfId="19677" xr:uid="{00000000-0005-0000-0000-0000DD4B0000}"/>
    <cellStyle name="Normal 230 3 4 3" xfId="19678" xr:uid="{00000000-0005-0000-0000-0000DE4B0000}"/>
    <cellStyle name="Normal 230 3 5" xfId="19679" xr:uid="{00000000-0005-0000-0000-0000DF4B0000}"/>
    <cellStyle name="Normal 230 4" xfId="19680" xr:uid="{00000000-0005-0000-0000-0000E04B0000}"/>
    <cellStyle name="Normal 230 4 2" xfId="19681" xr:uid="{00000000-0005-0000-0000-0000E14B0000}"/>
    <cellStyle name="Normal 230 4 2 2" xfId="19682" xr:uid="{00000000-0005-0000-0000-0000E24B0000}"/>
    <cellStyle name="Normal 230 4 2 2 2" xfId="19683" xr:uid="{00000000-0005-0000-0000-0000E34B0000}"/>
    <cellStyle name="Normal 230 4 2 3" xfId="19684" xr:uid="{00000000-0005-0000-0000-0000E44B0000}"/>
    <cellStyle name="Normal 230 4 2 3 2" xfId="19685" xr:uid="{00000000-0005-0000-0000-0000E54B0000}"/>
    <cellStyle name="Normal 230 4 2 3 2 2" xfId="19686" xr:uid="{00000000-0005-0000-0000-0000E64B0000}"/>
    <cellStyle name="Normal 230 4 2 3 3" xfId="19687" xr:uid="{00000000-0005-0000-0000-0000E74B0000}"/>
    <cellStyle name="Normal 230 4 2 4" xfId="19688" xr:uid="{00000000-0005-0000-0000-0000E84B0000}"/>
    <cellStyle name="Normal 230 4 3" xfId="19689" xr:uid="{00000000-0005-0000-0000-0000E94B0000}"/>
    <cellStyle name="Normal 230 4 3 2" xfId="19690" xr:uid="{00000000-0005-0000-0000-0000EA4B0000}"/>
    <cellStyle name="Normal 230 4 3 2 2" xfId="19691" xr:uid="{00000000-0005-0000-0000-0000EB4B0000}"/>
    <cellStyle name="Normal 230 4 3 3" xfId="19692" xr:uid="{00000000-0005-0000-0000-0000EC4B0000}"/>
    <cellStyle name="Normal 230 4 4" xfId="19693" xr:uid="{00000000-0005-0000-0000-0000ED4B0000}"/>
    <cellStyle name="Normal 230 4 4 2" xfId="19694" xr:uid="{00000000-0005-0000-0000-0000EE4B0000}"/>
    <cellStyle name="Normal 230 4 4 2 2" xfId="19695" xr:uid="{00000000-0005-0000-0000-0000EF4B0000}"/>
    <cellStyle name="Normal 230 4 4 3" xfId="19696" xr:uid="{00000000-0005-0000-0000-0000F04B0000}"/>
    <cellStyle name="Normal 230 4 5" xfId="19697" xr:uid="{00000000-0005-0000-0000-0000F14B0000}"/>
    <cellStyle name="Normal 230 4 5 2" xfId="19698" xr:uid="{00000000-0005-0000-0000-0000F24B0000}"/>
    <cellStyle name="Normal 230 4 5 2 2" xfId="19699" xr:uid="{00000000-0005-0000-0000-0000F34B0000}"/>
    <cellStyle name="Normal 230 4 5 3" xfId="19700" xr:uid="{00000000-0005-0000-0000-0000F44B0000}"/>
    <cellStyle name="Normal 230 4 6" xfId="19701" xr:uid="{00000000-0005-0000-0000-0000F54B0000}"/>
    <cellStyle name="Normal 230 5" xfId="19702" xr:uid="{00000000-0005-0000-0000-0000F64B0000}"/>
    <cellStyle name="Normal 230 5 2" xfId="19703" xr:uid="{00000000-0005-0000-0000-0000F74B0000}"/>
    <cellStyle name="Normal 230 5 2 2" xfId="19704" xr:uid="{00000000-0005-0000-0000-0000F84B0000}"/>
    <cellStyle name="Normal 230 5 3" xfId="19705" xr:uid="{00000000-0005-0000-0000-0000F94B0000}"/>
    <cellStyle name="Normal 230 6" xfId="19706" xr:uid="{00000000-0005-0000-0000-0000FA4B0000}"/>
    <cellStyle name="Normal 230 6 2" xfId="19707" xr:uid="{00000000-0005-0000-0000-0000FB4B0000}"/>
    <cellStyle name="Normal 230 6 2 2" xfId="19708" xr:uid="{00000000-0005-0000-0000-0000FC4B0000}"/>
    <cellStyle name="Normal 230 6 3" xfId="19709" xr:uid="{00000000-0005-0000-0000-0000FD4B0000}"/>
    <cellStyle name="Normal 230 7" xfId="19710" xr:uid="{00000000-0005-0000-0000-0000FE4B0000}"/>
    <cellStyle name="Normal 230 7 2" xfId="19711" xr:uid="{00000000-0005-0000-0000-0000FF4B0000}"/>
    <cellStyle name="Normal 230 7 2 2" xfId="19712" xr:uid="{00000000-0005-0000-0000-0000004C0000}"/>
    <cellStyle name="Normal 230 7 3" xfId="19713" xr:uid="{00000000-0005-0000-0000-0000014C0000}"/>
    <cellStyle name="Normal 230 8" xfId="19714" xr:uid="{00000000-0005-0000-0000-0000024C0000}"/>
    <cellStyle name="Normal 231" xfId="19715" xr:uid="{00000000-0005-0000-0000-0000034C0000}"/>
    <cellStyle name="Normal 231 2" xfId="19716" xr:uid="{00000000-0005-0000-0000-0000044C0000}"/>
    <cellStyle name="Normal 231 2 2" xfId="19717" xr:uid="{00000000-0005-0000-0000-0000054C0000}"/>
    <cellStyle name="Normal 231 2 2 2" xfId="19718" xr:uid="{00000000-0005-0000-0000-0000064C0000}"/>
    <cellStyle name="Normal 231 2 2 2 2" xfId="19719" xr:uid="{00000000-0005-0000-0000-0000074C0000}"/>
    <cellStyle name="Normal 231 2 2 3" xfId="19720" xr:uid="{00000000-0005-0000-0000-0000084C0000}"/>
    <cellStyle name="Normal 231 2 2 3 2" xfId="19721" xr:uid="{00000000-0005-0000-0000-0000094C0000}"/>
    <cellStyle name="Normal 231 2 2 3 2 2" xfId="19722" xr:uid="{00000000-0005-0000-0000-00000A4C0000}"/>
    <cellStyle name="Normal 231 2 2 3 3" xfId="19723" xr:uid="{00000000-0005-0000-0000-00000B4C0000}"/>
    <cellStyle name="Normal 231 2 2 4" xfId="19724" xr:uid="{00000000-0005-0000-0000-00000C4C0000}"/>
    <cellStyle name="Normal 231 2 2 4 2" xfId="19725" xr:uid="{00000000-0005-0000-0000-00000D4C0000}"/>
    <cellStyle name="Normal 231 2 2 4 2 2" xfId="19726" xr:uid="{00000000-0005-0000-0000-00000E4C0000}"/>
    <cellStyle name="Normal 231 2 2 4 3" xfId="19727" xr:uid="{00000000-0005-0000-0000-00000F4C0000}"/>
    <cellStyle name="Normal 231 2 2 5" xfId="19728" xr:uid="{00000000-0005-0000-0000-0000104C0000}"/>
    <cellStyle name="Normal 231 2 3" xfId="19729" xr:uid="{00000000-0005-0000-0000-0000114C0000}"/>
    <cellStyle name="Normal 231 2 3 2" xfId="19730" xr:uid="{00000000-0005-0000-0000-0000124C0000}"/>
    <cellStyle name="Normal 231 2 3 2 2" xfId="19731" xr:uid="{00000000-0005-0000-0000-0000134C0000}"/>
    <cellStyle name="Normal 231 2 3 2 2 2" xfId="19732" xr:uid="{00000000-0005-0000-0000-0000144C0000}"/>
    <cellStyle name="Normal 231 2 3 2 3" xfId="19733" xr:uid="{00000000-0005-0000-0000-0000154C0000}"/>
    <cellStyle name="Normal 231 2 3 2 3 2" xfId="19734" xr:uid="{00000000-0005-0000-0000-0000164C0000}"/>
    <cellStyle name="Normal 231 2 3 2 3 2 2" xfId="19735" xr:uid="{00000000-0005-0000-0000-0000174C0000}"/>
    <cellStyle name="Normal 231 2 3 2 3 3" xfId="19736" xr:uid="{00000000-0005-0000-0000-0000184C0000}"/>
    <cellStyle name="Normal 231 2 3 2 4" xfId="19737" xr:uid="{00000000-0005-0000-0000-0000194C0000}"/>
    <cellStyle name="Normal 231 2 3 3" xfId="19738" xr:uid="{00000000-0005-0000-0000-00001A4C0000}"/>
    <cellStyle name="Normal 231 2 3 3 2" xfId="19739" xr:uid="{00000000-0005-0000-0000-00001B4C0000}"/>
    <cellStyle name="Normal 231 2 3 3 2 2" xfId="19740" xr:uid="{00000000-0005-0000-0000-00001C4C0000}"/>
    <cellStyle name="Normal 231 2 3 3 3" xfId="19741" xr:uid="{00000000-0005-0000-0000-00001D4C0000}"/>
    <cellStyle name="Normal 231 2 3 4" xfId="19742" xr:uid="{00000000-0005-0000-0000-00001E4C0000}"/>
    <cellStyle name="Normal 231 2 3 4 2" xfId="19743" xr:uid="{00000000-0005-0000-0000-00001F4C0000}"/>
    <cellStyle name="Normal 231 2 3 4 2 2" xfId="19744" xr:uid="{00000000-0005-0000-0000-0000204C0000}"/>
    <cellStyle name="Normal 231 2 3 4 3" xfId="19745" xr:uid="{00000000-0005-0000-0000-0000214C0000}"/>
    <cellStyle name="Normal 231 2 3 5" xfId="19746" xr:uid="{00000000-0005-0000-0000-0000224C0000}"/>
    <cellStyle name="Normal 231 2 3 5 2" xfId="19747" xr:uid="{00000000-0005-0000-0000-0000234C0000}"/>
    <cellStyle name="Normal 231 2 3 5 2 2" xfId="19748" xr:uid="{00000000-0005-0000-0000-0000244C0000}"/>
    <cellStyle name="Normal 231 2 3 5 3" xfId="19749" xr:uid="{00000000-0005-0000-0000-0000254C0000}"/>
    <cellStyle name="Normal 231 2 3 6" xfId="19750" xr:uid="{00000000-0005-0000-0000-0000264C0000}"/>
    <cellStyle name="Normal 231 2 4" xfId="19751" xr:uid="{00000000-0005-0000-0000-0000274C0000}"/>
    <cellStyle name="Normal 231 2 4 2" xfId="19752" xr:uid="{00000000-0005-0000-0000-0000284C0000}"/>
    <cellStyle name="Normal 231 2 4 2 2" xfId="19753" xr:uid="{00000000-0005-0000-0000-0000294C0000}"/>
    <cellStyle name="Normal 231 2 4 3" xfId="19754" xr:uid="{00000000-0005-0000-0000-00002A4C0000}"/>
    <cellStyle name="Normal 231 2 5" xfId="19755" xr:uid="{00000000-0005-0000-0000-00002B4C0000}"/>
    <cellStyle name="Normal 231 2 5 2" xfId="19756" xr:uid="{00000000-0005-0000-0000-00002C4C0000}"/>
    <cellStyle name="Normal 231 2 5 2 2" xfId="19757" xr:uid="{00000000-0005-0000-0000-00002D4C0000}"/>
    <cellStyle name="Normal 231 2 5 3" xfId="19758" xr:uid="{00000000-0005-0000-0000-00002E4C0000}"/>
    <cellStyle name="Normal 231 2 6" xfId="19759" xr:uid="{00000000-0005-0000-0000-00002F4C0000}"/>
    <cellStyle name="Normal 231 2 6 2" xfId="19760" xr:uid="{00000000-0005-0000-0000-0000304C0000}"/>
    <cellStyle name="Normal 231 2 6 2 2" xfId="19761" xr:uid="{00000000-0005-0000-0000-0000314C0000}"/>
    <cellStyle name="Normal 231 2 6 3" xfId="19762" xr:uid="{00000000-0005-0000-0000-0000324C0000}"/>
    <cellStyle name="Normal 231 2 7" xfId="19763" xr:uid="{00000000-0005-0000-0000-0000334C0000}"/>
    <cellStyle name="Normal 231 3" xfId="19764" xr:uid="{00000000-0005-0000-0000-0000344C0000}"/>
    <cellStyle name="Normal 231 3 2" xfId="19765" xr:uid="{00000000-0005-0000-0000-0000354C0000}"/>
    <cellStyle name="Normal 231 3 2 2" xfId="19766" xr:uid="{00000000-0005-0000-0000-0000364C0000}"/>
    <cellStyle name="Normal 231 3 3" xfId="19767" xr:uid="{00000000-0005-0000-0000-0000374C0000}"/>
    <cellStyle name="Normal 231 3 3 2" xfId="19768" xr:uid="{00000000-0005-0000-0000-0000384C0000}"/>
    <cellStyle name="Normal 231 3 3 2 2" xfId="19769" xr:uid="{00000000-0005-0000-0000-0000394C0000}"/>
    <cellStyle name="Normal 231 3 3 3" xfId="19770" xr:uid="{00000000-0005-0000-0000-00003A4C0000}"/>
    <cellStyle name="Normal 231 3 4" xfId="19771" xr:uid="{00000000-0005-0000-0000-00003B4C0000}"/>
    <cellStyle name="Normal 231 3 4 2" xfId="19772" xr:uid="{00000000-0005-0000-0000-00003C4C0000}"/>
    <cellStyle name="Normal 231 3 4 2 2" xfId="19773" xr:uid="{00000000-0005-0000-0000-00003D4C0000}"/>
    <cellStyle name="Normal 231 3 4 3" xfId="19774" xr:uid="{00000000-0005-0000-0000-00003E4C0000}"/>
    <cellStyle name="Normal 231 3 5" xfId="19775" xr:uid="{00000000-0005-0000-0000-00003F4C0000}"/>
    <cellStyle name="Normal 231 4" xfId="19776" xr:uid="{00000000-0005-0000-0000-0000404C0000}"/>
    <cellStyle name="Normal 231 4 2" xfId="19777" xr:uid="{00000000-0005-0000-0000-0000414C0000}"/>
    <cellStyle name="Normal 231 4 2 2" xfId="19778" xr:uid="{00000000-0005-0000-0000-0000424C0000}"/>
    <cellStyle name="Normal 231 4 2 2 2" xfId="19779" xr:uid="{00000000-0005-0000-0000-0000434C0000}"/>
    <cellStyle name="Normal 231 4 2 3" xfId="19780" xr:uid="{00000000-0005-0000-0000-0000444C0000}"/>
    <cellStyle name="Normal 231 4 2 3 2" xfId="19781" xr:uid="{00000000-0005-0000-0000-0000454C0000}"/>
    <cellStyle name="Normal 231 4 2 3 2 2" xfId="19782" xr:uid="{00000000-0005-0000-0000-0000464C0000}"/>
    <cellStyle name="Normal 231 4 2 3 3" xfId="19783" xr:uid="{00000000-0005-0000-0000-0000474C0000}"/>
    <cellStyle name="Normal 231 4 2 4" xfId="19784" xr:uid="{00000000-0005-0000-0000-0000484C0000}"/>
    <cellStyle name="Normal 231 4 3" xfId="19785" xr:uid="{00000000-0005-0000-0000-0000494C0000}"/>
    <cellStyle name="Normal 231 4 3 2" xfId="19786" xr:uid="{00000000-0005-0000-0000-00004A4C0000}"/>
    <cellStyle name="Normal 231 4 3 2 2" xfId="19787" xr:uid="{00000000-0005-0000-0000-00004B4C0000}"/>
    <cellStyle name="Normal 231 4 3 3" xfId="19788" xr:uid="{00000000-0005-0000-0000-00004C4C0000}"/>
    <cellStyle name="Normal 231 4 4" xfId="19789" xr:uid="{00000000-0005-0000-0000-00004D4C0000}"/>
    <cellStyle name="Normal 231 4 4 2" xfId="19790" xr:uid="{00000000-0005-0000-0000-00004E4C0000}"/>
    <cellStyle name="Normal 231 4 4 2 2" xfId="19791" xr:uid="{00000000-0005-0000-0000-00004F4C0000}"/>
    <cellStyle name="Normal 231 4 4 3" xfId="19792" xr:uid="{00000000-0005-0000-0000-0000504C0000}"/>
    <cellStyle name="Normal 231 4 5" xfId="19793" xr:uid="{00000000-0005-0000-0000-0000514C0000}"/>
    <cellStyle name="Normal 231 4 5 2" xfId="19794" xr:uid="{00000000-0005-0000-0000-0000524C0000}"/>
    <cellStyle name="Normal 231 4 5 2 2" xfId="19795" xr:uid="{00000000-0005-0000-0000-0000534C0000}"/>
    <cellStyle name="Normal 231 4 5 3" xfId="19796" xr:uid="{00000000-0005-0000-0000-0000544C0000}"/>
    <cellStyle name="Normal 231 4 6" xfId="19797" xr:uid="{00000000-0005-0000-0000-0000554C0000}"/>
    <cellStyle name="Normal 231 5" xfId="19798" xr:uid="{00000000-0005-0000-0000-0000564C0000}"/>
    <cellStyle name="Normal 231 5 2" xfId="19799" xr:uid="{00000000-0005-0000-0000-0000574C0000}"/>
    <cellStyle name="Normal 231 5 2 2" xfId="19800" xr:uid="{00000000-0005-0000-0000-0000584C0000}"/>
    <cellStyle name="Normal 231 5 3" xfId="19801" xr:uid="{00000000-0005-0000-0000-0000594C0000}"/>
    <cellStyle name="Normal 231 6" xfId="19802" xr:uid="{00000000-0005-0000-0000-00005A4C0000}"/>
    <cellStyle name="Normal 231 6 2" xfId="19803" xr:uid="{00000000-0005-0000-0000-00005B4C0000}"/>
    <cellStyle name="Normal 231 6 2 2" xfId="19804" xr:uid="{00000000-0005-0000-0000-00005C4C0000}"/>
    <cellStyle name="Normal 231 6 3" xfId="19805" xr:uid="{00000000-0005-0000-0000-00005D4C0000}"/>
    <cellStyle name="Normal 231 7" xfId="19806" xr:uid="{00000000-0005-0000-0000-00005E4C0000}"/>
    <cellStyle name="Normal 231 7 2" xfId="19807" xr:uid="{00000000-0005-0000-0000-00005F4C0000}"/>
    <cellStyle name="Normal 231 7 2 2" xfId="19808" xr:uid="{00000000-0005-0000-0000-0000604C0000}"/>
    <cellStyle name="Normal 231 7 3" xfId="19809" xr:uid="{00000000-0005-0000-0000-0000614C0000}"/>
    <cellStyle name="Normal 231 8" xfId="19810" xr:uid="{00000000-0005-0000-0000-0000624C0000}"/>
    <cellStyle name="Normal 232" xfId="19811" xr:uid="{00000000-0005-0000-0000-0000634C0000}"/>
    <cellStyle name="Normal 232 2" xfId="19812" xr:uid="{00000000-0005-0000-0000-0000644C0000}"/>
    <cellStyle name="Normal 232 2 2" xfId="19813" xr:uid="{00000000-0005-0000-0000-0000654C0000}"/>
    <cellStyle name="Normal 232 2 2 2" xfId="19814" xr:uid="{00000000-0005-0000-0000-0000664C0000}"/>
    <cellStyle name="Normal 232 2 2 2 2" xfId="19815" xr:uid="{00000000-0005-0000-0000-0000674C0000}"/>
    <cellStyle name="Normal 232 2 2 3" xfId="19816" xr:uid="{00000000-0005-0000-0000-0000684C0000}"/>
    <cellStyle name="Normal 232 2 2 3 2" xfId="19817" xr:uid="{00000000-0005-0000-0000-0000694C0000}"/>
    <cellStyle name="Normal 232 2 2 3 2 2" xfId="19818" xr:uid="{00000000-0005-0000-0000-00006A4C0000}"/>
    <cellStyle name="Normal 232 2 2 3 3" xfId="19819" xr:uid="{00000000-0005-0000-0000-00006B4C0000}"/>
    <cellStyle name="Normal 232 2 2 4" xfId="19820" xr:uid="{00000000-0005-0000-0000-00006C4C0000}"/>
    <cellStyle name="Normal 232 2 2 4 2" xfId="19821" xr:uid="{00000000-0005-0000-0000-00006D4C0000}"/>
    <cellStyle name="Normal 232 2 2 4 2 2" xfId="19822" xr:uid="{00000000-0005-0000-0000-00006E4C0000}"/>
    <cellStyle name="Normal 232 2 2 4 3" xfId="19823" xr:uid="{00000000-0005-0000-0000-00006F4C0000}"/>
    <cellStyle name="Normal 232 2 2 5" xfId="19824" xr:uid="{00000000-0005-0000-0000-0000704C0000}"/>
    <cellStyle name="Normal 232 2 3" xfId="19825" xr:uid="{00000000-0005-0000-0000-0000714C0000}"/>
    <cellStyle name="Normal 232 2 3 2" xfId="19826" xr:uid="{00000000-0005-0000-0000-0000724C0000}"/>
    <cellStyle name="Normal 232 2 3 2 2" xfId="19827" xr:uid="{00000000-0005-0000-0000-0000734C0000}"/>
    <cellStyle name="Normal 232 2 3 2 2 2" xfId="19828" xr:uid="{00000000-0005-0000-0000-0000744C0000}"/>
    <cellStyle name="Normal 232 2 3 2 3" xfId="19829" xr:uid="{00000000-0005-0000-0000-0000754C0000}"/>
    <cellStyle name="Normal 232 2 3 2 3 2" xfId="19830" xr:uid="{00000000-0005-0000-0000-0000764C0000}"/>
    <cellStyle name="Normal 232 2 3 2 3 2 2" xfId="19831" xr:uid="{00000000-0005-0000-0000-0000774C0000}"/>
    <cellStyle name="Normal 232 2 3 2 3 3" xfId="19832" xr:uid="{00000000-0005-0000-0000-0000784C0000}"/>
    <cellStyle name="Normal 232 2 3 2 4" xfId="19833" xr:uid="{00000000-0005-0000-0000-0000794C0000}"/>
    <cellStyle name="Normal 232 2 3 3" xfId="19834" xr:uid="{00000000-0005-0000-0000-00007A4C0000}"/>
    <cellStyle name="Normal 232 2 3 3 2" xfId="19835" xr:uid="{00000000-0005-0000-0000-00007B4C0000}"/>
    <cellStyle name="Normal 232 2 3 3 2 2" xfId="19836" xr:uid="{00000000-0005-0000-0000-00007C4C0000}"/>
    <cellStyle name="Normal 232 2 3 3 3" xfId="19837" xr:uid="{00000000-0005-0000-0000-00007D4C0000}"/>
    <cellStyle name="Normal 232 2 3 4" xfId="19838" xr:uid="{00000000-0005-0000-0000-00007E4C0000}"/>
    <cellStyle name="Normal 232 2 3 4 2" xfId="19839" xr:uid="{00000000-0005-0000-0000-00007F4C0000}"/>
    <cellStyle name="Normal 232 2 3 4 2 2" xfId="19840" xr:uid="{00000000-0005-0000-0000-0000804C0000}"/>
    <cellStyle name="Normal 232 2 3 4 3" xfId="19841" xr:uid="{00000000-0005-0000-0000-0000814C0000}"/>
    <cellStyle name="Normal 232 2 3 5" xfId="19842" xr:uid="{00000000-0005-0000-0000-0000824C0000}"/>
    <cellStyle name="Normal 232 2 3 5 2" xfId="19843" xr:uid="{00000000-0005-0000-0000-0000834C0000}"/>
    <cellStyle name="Normal 232 2 3 5 2 2" xfId="19844" xr:uid="{00000000-0005-0000-0000-0000844C0000}"/>
    <cellStyle name="Normal 232 2 3 5 3" xfId="19845" xr:uid="{00000000-0005-0000-0000-0000854C0000}"/>
    <cellStyle name="Normal 232 2 3 6" xfId="19846" xr:uid="{00000000-0005-0000-0000-0000864C0000}"/>
    <cellStyle name="Normal 232 2 4" xfId="19847" xr:uid="{00000000-0005-0000-0000-0000874C0000}"/>
    <cellStyle name="Normal 232 2 4 2" xfId="19848" xr:uid="{00000000-0005-0000-0000-0000884C0000}"/>
    <cellStyle name="Normal 232 2 4 2 2" xfId="19849" xr:uid="{00000000-0005-0000-0000-0000894C0000}"/>
    <cellStyle name="Normal 232 2 4 3" xfId="19850" xr:uid="{00000000-0005-0000-0000-00008A4C0000}"/>
    <cellStyle name="Normal 232 2 5" xfId="19851" xr:uid="{00000000-0005-0000-0000-00008B4C0000}"/>
    <cellStyle name="Normal 232 2 5 2" xfId="19852" xr:uid="{00000000-0005-0000-0000-00008C4C0000}"/>
    <cellStyle name="Normal 232 2 5 2 2" xfId="19853" xr:uid="{00000000-0005-0000-0000-00008D4C0000}"/>
    <cellStyle name="Normal 232 2 5 3" xfId="19854" xr:uid="{00000000-0005-0000-0000-00008E4C0000}"/>
    <cellStyle name="Normal 232 2 6" xfId="19855" xr:uid="{00000000-0005-0000-0000-00008F4C0000}"/>
    <cellStyle name="Normal 232 2 6 2" xfId="19856" xr:uid="{00000000-0005-0000-0000-0000904C0000}"/>
    <cellStyle name="Normal 232 2 6 2 2" xfId="19857" xr:uid="{00000000-0005-0000-0000-0000914C0000}"/>
    <cellStyle name="Normal 232 2 6 3" xfId="19858" xr:uid="{00000000-0005-0000-0000-0000924C0000}"/>
    <cellStyle name="Normal 232 2 7" xfId="19859" xr:uid="{00000000-0005-0000-0000-0000934C0000}"/>
    <cellStyle name="Normal 232 3" xfId="19860" xr:uid="{00000000-0005-0000-0000-0000944C0000}"/>
    <cellStyle name="Normal 232 3 2" xfId="19861" xr:uid="{00000000-0005-0000-0000-0000954C0000}"/>
    <cellStyle name="Normal 232 3 2 2" xfId="19862" xr:uid="{00000000-0005-0000-0000-0000964C0000}"/>
    <cellStyle name="Normal 232 3 3" xfId="19863" xr:uid="{00000000-0005-0000-0000-0000974C0000}"/>
    <cellStyle name="Normal 232 3 3 2" xfId="19864" xr:uid="{00000000-0005-0000-0000-0000984C0000}"/>
    <cellStyle name="Normal 232 3 3 2 2" xfId="19865" xr:uid="{00000000-0005-0000-0000-0000994C0000}"/>
    <cellStyle name="Normal 232 3 3 3" xfId="19866" xr:uid="{00000000-0005-0000-0000-00009A4C0000}"/>
    <cellStyle name="Normal 232 3 4" xfId="19867" xr:uid="{00000000-0005-0000-0000-00009B4C0000}"/>
    <cellStyle name="Normal 232 3 4 2" xfId="19868" xr:uid="{00000000-0005-0000-0000-00009C4C0000}"/>
    <cellStyle name="Normal 232 3 4 2 2" xfId="19869" xr:uid="{00000000-0005-0000-0000-00009D4C0000}"/>
    <cellStyle name="Normal 232 3 4 3" xfId="19870" xr:uid="{00000000-0005-0000-0000-00009E4C0000}"/>
    <cellStyle name="Normal 232 3 5" xfId="19871" xr:uid="{00000000-0005-0000-0000-00009F4C0000}"/>
    <cellStyle name="Normal 232 4" xfId="19872" xr:uid="{00000000-0005-0000-0000-0000A04C0000}"/>
    <cellStyle name="Normal 232 4 2" xfId="19873" xr:uid="{00000000-0005-0000-0000-0000A14C0000}"/>
    <cellStyle name="Normal 232 4 2 2" xfId="19874" xr:uid="{00000000-0005-0000-0000-0000A24C0000}"/>
    <cellStyle name="Normal 232 4 2 2 2" xfId="19875" xr:uid="{00000000-0005-0000-0000-0000A34C0000}"/>
    <cellStyle name="Normal 232 4 2 3" xfId="19876" xr:uid="{00000000-0005-0000-0000-0000A44C0000}"/>
    <cellStyle name="Normal 232 4 2 3 2" xfId="19877" xr:uid="{00000000-0005-0000-0000-0000A54C0000}"/>
    <cellStyle name="Normal 232 4 2 3 2 2" xfId="19878" xr:uid="{00000000-0005-0000-0000-0000A64C0000}"/>
    <cellStyle name="Normal 232 4 2 3 3" xfId="19879" xr:uid="{00000000-0005-0000-0000-0000A74C0000}"/>
    <cellStyle name="Normal 232 4 2 4" xfId="19880" xr:uid="{00000000-0005-0000-0000-0000A84C0000}"/>
    <cellStyle name="Normal 232 4 3" xfId="19881" xr:uid="{00000000-0005-0000-0000-0000A94C0000}"/>
    <cellStyle name="Normal 232 4 3 2" xfId="19882" xr:uid="{00000000-0005-0000-0000-0000AA4C0000}"/>
    <cellStyle name="Normal 232 4 3 2 2" xfId="19883" xr:uid="{00000000-0005-0000-0000-0000AB4C0000}"/>
    <cellStyle name="Normal 232 4 3 3" xfId="19884" xr:uid="{00000000-0005-0000-0000-0000AC4C0000}"/>
    <cellStyle name="Normal 232 4 4" xfId="19885" xr:uid="{00000000-0005-0000-0000-0000AD4C0000}"/>
    <cellStyle name="Normal 232 4 4 2" xfId="19886" xr:uid="{00000000-0005-0000-0000-0000AE4C0000}"/>
    <cellStyle name="Normal 232 4 4 2 2" xfId="19887" xr:uid="{00000000-0005-0000-0000-0000AF4C0000}"/>
    <cellStyle name="Normal 232 4 4 3" xfId="19888" xr:uid="{00000000-0005-0000-0000-0000B04C0000}"/>
    <cellStyle name="Normal 232 4 5" xfId="19889" xr:uid="{00000000-0005-0000-0000-0000B14C0000}"/>
    <cellStyle name="Normal 232 4 5 2" xfId="19890" xr:uid="{00000000-0005-0000-0000-0000B24C0000}"/>
    <cellStyle name="Normal 232 4 5 2 2" xfId="19891" xr:uid="{00000000-0005-0000-0000-0000B34C0000}"/>
    <cellStyle name="Normal 232 4 5 3" xfId="19892" xr:uid="{00000000-0005-0000-0000-0000B44C0000}"/>
    <cellStyle name="Normal 232 4 6" xfId="19893" xr:uid="{00000000-0005-0000-0000-0000B54C0000}"/>
    <cellStyle name="Normal 232 5" xfId="19894" xr:uid="{00000000-0005-0000-0000-0000B64C0000}"/>
    <cellStyle name="Normal 232 5 2" xfId="19895" xr:uid="{00000000-0005-0000-0000-0000B74C0000}"/>
    <cellStyle name="Normal 232 5 2 2" xfId="19896" xr:uid="{00000000-0005-0000-0000-0000B84C0000}"/>
    <cellStyle name="Normal 232 5 3" xfId="19897" xr:uid="{00000000-0005-0000-0000-0000B94C0000}"/>
    <cellStyle name="Normal 232 6" xfId="19898" xr:uid="{00000000-0005-0000-0000-0000BA4C0000}"/>
    <cellStyle name="Normal 232 6 2" xfId="19899" xr:uid="{00000000-0005-0000-0000-0000BB4C0000}"/>
    <cellStyle name="Normal 232 6 2 2" xfId="19900" xr:uid="{00000000-0005-0000-0000-0000BC4C0000}"/>
    <cellStyle name="Normal 232 6 3" xfId="19901" xr:uid="{00000000-0005-0000-0000-0000BD4C0000}"/>
    <cellStyle name="Normal 232 7" xfId="19902" xr:uid="{00000000-0005-0000-0000-0000BE4C0000}"/>
    <cellStyle name="Normal 232 7 2" xfId="19903" xr:uid="{00000000-0005-0000-0000-0000BF4C0000}"/>
    <cellStyle name="Normal 232 7 2 2" xfId="19904" xr:uid="{00000000-0005-0000-0000-0000C04C0000}"/>
    <cellStyle name="Normal 232 7 3" xfId="19905" xr:uid="{00000000-0005-0000-0000-0000C14C0000}"/>
    <cellStyle name="Normal 232 8" xfId="19906" xr:uid="{00000000-0005-0000-0000-0000C24C0000}"/>
    <cellStyle name="Normal 233" xfId="19907" xr:uid="{00000000-0005-0000-0000-0000C34C0000}"/>
    <cellStyle name="Normal 233 2" xfId="19908" xr:uid="{00000000-0005-0000-0000-0000C44C0000}"/>
    <cellStyle name="Normal 233 2 2" xfId="19909" xr:uid="{00000000-0005-0000-0000-0000C54C0000}"/>
    <cellStyle name="Normal 233 2 2 2" xfId="19910" xr:uid="{00000000-0005-0000-0000-0000C64C0000}"/>
    <cellStyle name="Normal 233 2 2 2 2" xfId="19911" xr:uid="{00000000-0005-0000-0000-0000C74C0000}"/>
    <cellStyle name="Normal 233 2 2 3" xfId="19912" xr:uid="{00000000-0005-0000-0000-0000C84C0000}"/>
    <cellStyle name="Normal 233 2 2 3 2" xfId="19913" xr:uid="{00000000-0005-0000-0000-0000C94C0000}"/>
    <cellStyle name="Normal 233 2 2 3 2 2" xfId="19914" xr:uid="{00000000-0005-0000-0000-0000CA4C0000}"/>
    <cellStyle name="Normal 233 2 2 3 3" xfId="19915" xr:uid="{00000000-0005-0000-0000-0000CB4C0000}"/>
    <cellStyle name="Normal 233 2 2 4" xfId="19916" xr:uid="{00000000-0005-0000-0000-0000CC4C0000}"/>
    <cellStyle name="Normal 233 2 2 4 2" xfId="19917" xr:uid="{00000000-0005-0000-0000-0000CD4C0000}"/>
    <cellStyle name="Normal 233 2 2 4 2 2" xfId="19918" xr:uid="{00000000-0005-0000-0000-0000CE4C0000}"/>
    <cellStyle name="Normal 233 2 2 4 3" xfId="19919" xr:uid="{00000000-0005-0000-0000-0000CF4C0000}"/>
    <cellStyle name="Normal 233 2 2 5" xfId="19920" xr:uid="{00000000-0005-0000-0000-0000D04C0000}"/>
    <cellStyle name="Normal 233 2 3" xfId="19921" xr:uid="{00000000-0005-0000-0000-0000D14C0000}"/>
    <cellStyle name="Normal 233 2 3 2" xfId="19922" xr:uid="{00000000-0005-0000-0000-0000D24C0000}"/>
    <cellStyle name="Normal 233 2 3 2 2" xfId="19923" xr:uid="{00000000-0005-0000-0000-0000D34C0000}"/>
    <cellStyle name="Normal 233 2 3 2 2 2" xfId="19924" xr:uid="{00000000-0005-0000-0000-0000D44C0000}"/>
    <cellStyle name="Normal 233 2 3 2 3" xfId="19925" xr:uid="{00000000-0005-0000-0000-0000D54C0000}"/>
    <cellStyle name="Normal 233 2 3 2 3 2" xfId="19926" xr:uid="{00000000-0005-0000-0000-0000D64C0000}"/>
    <cellStyle name="Normal 233 2 3 2 3 2 2" xfId="19927" xr:uid="{00000000-0005-0000-0000-0000D74C0000}"/>
    <cellStyle name="Normal 233 2 3 2 3 3" xfId="19928" xr:uid="{00000000-0005-0000-0000-0000D84C0000}"/>
    <cellStyle name="Normal 233 2 3 2 4" xfId="19929" xr:uid="{00000000-0005-0000-0000-0000D94C0000}"/>
    <cellStyle name="Normal 233 2 3 3" xfId="19930" xr:uid="{00000000-0005-0000-0000-0000DA4C0000}"/>
    <cellStyle name="Normal 233 2 3 3 2" xfId="19931" xr:uid="{00000000-0005-0000-0000-0000DB4C0000}"/>
    <cellStyle name="Normal 233 2 3 3 2 2" xfId="19932" xr:uid="{00000000-0005-0000-0000-0000DC4C0000}"/>
    <cellStyle name="Normal 233 2 3 3 3" xfId="19933" xr:uid="{00000000-0005-0000-0000-0000DD4C0000}"/>
    <cellStyle name="Normal 233 2 3 4" xfId="19934" xr:uid="{00000000-0005-0000-0000-0000DE4C0000}"/>
    <cellStyle name="Normal 233 2 3 4 2" xfId="19935" xr:uid="{00000000-0005-0000-0000-0000DF4C0000}"/>
    <cellStyle name="Normal 233 2 3 4 2 2" xfId="19936" xr:uid="{00000000-0005-0000-0000-0000E04C0000}"/>
    <cellStyle name="Normal 233 2 3 4 3" xfId="19937" xr:uid="{00000000-0005-0000-0000-0000E14C0000}"/>
    <cellStyle name="Normal 233 2 3 5" xfId="19938" xr:uid="{00000000-0005-0000-0000-0000E24C0000}"/>
    <cellStyle name="Normal 233 2 3 5 2" xfId="19939" xr:uid="{00000000-0005-0000-0000-0000E34C0000}"/>
    <cellStyle name="Normal 233 2 3 5 2 2" xfId="19940" xr:uid="{00000000-0005-0000-0000-0000E44C0000}"/>
    <cellStyle name="Normal 233 2 3 5 3" xfId="19941" xr:uid="{00000000-0005-0000-0000-0000E54C0000}"/>
    <cellStyle name="Normal 233 2 3 6" xfId="19942" xr:uid="{00000000-0005-0000-0000-0000E64C0000}"/>
    <cellStyle name="Normal 233 2 4" xfId="19943" xr:uid="{00000000-0005-0000-0000-0000E74C0000}"/>
    <cellStyle name="Normal 233 2 4 2" xfId="19944" xr:uid="{00000000-0005-0000-0000-0000E84C0000}"/>
    <cellStyle name="Normal 233 2 4 2 2" xfId="19945" xr:uid="{00000000-0005-0000-0000-0000E94C0000}"/>
    <cellStyle name="Normal 233 2 4 3" xfId="19946" xr:uid="{00000000-0005-0000-0000-0000EA4C0000}"/>
    <cellStyle name="Normal 233 2 5" xfId="19947" xr:uid="{00000000-0005-0000-0000-0000EB4C0000}"/>
    <cellStyle name="Normal 233 2 5 2" xfId="19948" xr:uid="{00000000-0005-0000-0000-0000EC4C0000}"/>
    <cellStyle name="Normal 233 2 5 2 2" xfId="19949" xr:uid="{00000000-0005-0000-0000-0000ED4C0000}"/>
    <cellStyle name="Normal 233 2 5 3" xfId="19950" xr:uid="{00000000-0005-0000-0000-0000EE4C0000}"/>
    <cellStyle name="Normal 233 2 6" xfId="19951" xr:uid="{00000000-0005-0000-0000-0000EF4C0000}"/>
    <cellStyle name="Normal 233 2 6 2" xfId="19952" xr:uid="{00000000-0005-0000-0000-0000F04C0000}"/>
    <cellStyle name="Normal 233 2 6 2 2" xfId="19953" xr:uid="{00000000-0005-0000-0000-0000F14C0000}"/>
    <cellStyle name="Normal 233 2 6 3" xfId="19954" xr:uid="{00000000-0005-0000-0000-0000F24C0000}"/>
    <cellStyle name="Normal 233 2 7" xfId="19955" xr:uid="{00000000-0005-0000-0000-0000F34C0000}"/>
    <cellStyle name="Normal 233 3" xfId="19956" xr:uid="{00000000-0005-0000-0000-0000F44C0000}"/>
    <cellStyle name="Normal 233 3 2" xfId="19957" xr:uid="{00000000-0005-0000-0000-0000F54C0000}"/>
    <cellStyle name="Normal 233 3 2 2" xfId="19958" xr:uid="{00000000-0005-0000-0000-0000F64C0000}"/>
    <cellStyle name="Normal 233 3 3" xfId="19959" xr:uid="{00000000-0005-0000-0000-0000F74C0000}"/>
    <cellStyle name="Normal 233 3 3 2" xfId="19960" xr:uid="{00000000-0005-0000-0000-0000F84C0000}"/>
    <cellStyle name="Normal 233 3 3 2 2" xfId="19961" xr:uid="{00000000-0005-0000-0000-0000F94C0000}"/>
    <cellStyle name="Normal 233 3 3 3" xfId="19962" xr:uid="{00000000-0005-0000-0000-0000FA4C0000}"/>
    <cellStyle name="Normal 233 3 4" xfId="19963" xr:uid="{00000000-0005-0000-0000-0000FB4C0000}"/>
    <cellStyle name="Normal 233 3 4 2" xfId="19964" xr:uid="{00000000-0005-0000-0000-0000FC4C0000}"/>
    <cellStyle name="Normal 233 3 4 2 2" xfId="19965" xr:uid="{00000000-0005-0000-0000-0000FD4C0000}"/>
    <cellStyle name="Normal 233 3 4 3" xfId="19966" xr:uid="{00000000-0005-0000-0000-0000FE4C0000}"/>
    <cellStyle name="Normal 233 3 5" xfId="19967" xr:uid="{00000000-0005-0000-0000-0000FF4C0000}"/>
    <cellStyle name="Normal 233 4" xfId="19968" xr:uid="{00000000-0005-0000-0000-0000004D0000}"/>
    <cellStyle name="Normal 233 4 2" xfId="19969" xr:uid="{00000000-0005-0000-0000-0000014D0000}"/>
    <cellStyle name="Normal 233 4 2 2" xfId="19970" xr:uid="{00000000-0005-0000-0000-0000024D0000}"/>
    <cellStyle name="Normal 233 4 2 2 2" xfId="19971" xr:uid="{00000000-0005-0000-0000-0000034D0000}"/>
    <cellStyle name="Normal 233 4 2 3" xfId="19972" xr:uid="{00000000-0005-0000-0000-0000044D0000}"/>
    <cellStyle name="Normal 233 4 2 3 2" xfId="19973" xr:uid="{00000000-0005-0000-0000-0000054D0000}"/>
    <cellStyle name="Normal 233 4 2 3 2 2" xfId="19974" xr:uid="{00000000-0005-0000-0000-0000064D0000}"/>
    <cellStyle name="Normal 233 4 2 3 3" xfId="19975" xr:uid="{00000000-0005-0000-0000-0000074D0000}"/>
    <cellStyle name="Normal 233 4 2 4" xfId="19976" xr:uid="{00000000-0005-0000-0000-0000084D0000}"/>
    <cellStyle name="Normal 233 4 3" xfId="19977" xr:uid="{00000000-0005-0000-0000-0000094D0000}"/>
    <cellStyle name="Normal 233 4 3 2" xfId="19978" xr:uid="{00000000-0005-0000-0000-00000A4D0000}"/>
    <cellStyle name="Normal 233 4 3 2 2" xfId="19979" xr:uid="{00000000-0005-0000-0000-00000B4D0000}"/>
    <cellStyle name="Normal 233 4 3 3" xfId="19980" xr:uid="{00000000-0005-0000-0000-00000C4D0000}"/>
    <cellStyle name="Normal 233 4 4" xfId="19981" xr:uid="{00000000-0005-0000-0000-00000D4D0000}"/>
    <cellStyle name="Normal 233 4 4 2" xfId="19982" xr:uid="{00000000-0005-0000-0000-00000E4D0000}"/>
    <cellStyle name="Normal 233 4 4 2 2" xfId="19983" xr:uid="{00000000-0005-0000-0000-00000F4D0000}"/>
    <cellStyle name="Normal 233 4 4 3" xfId="19984" xr:uid="{00000000-0005-0000-0000-0000104D0000}"/>
    <cellStyle name="Normal 233 4 5" xfId="19985" xr:uid="{00000000-0005-0000-0000-0000114D0000}"/>
    <cellStyle name="Normal 233 4 5 2" xfId="19986" xr:uid="{00000000-0005-0000-0000-0000124D0000}"/>
    <cellStyle name="Normal 233 4 5 2 2" xfId="19987" xr:uid="{00000000-0005-0000-0000-0000134D0000}"/>
    <cellStyle name="Normal 233 4 5 3" xfId="19988" xr:uid="{00000000-0005-0000-0000-0000144D0000}"/>
    <cellStyle name="Normal 233 4 6" xfId="19989" xr:uid="{00000000-0005-0000-0000-0000154D0000}"/>
    <cellStyle name="Normal 233 5" xfId="19990" xr:uid="{00000000-0005-0000-0000-0000164D0000}"/>
    <cellStyle name="Normal 233 5 2" xfId="19991" xr:uid="{00000000-0005-0000-0000-0000174D0000}"/>
    <cellStyle name="Normal 233 5 2 2" xfId="19992" xr:uid="{00000000-0005-0000-0000-0000184D0000}"/>
    <cellStyle name="Normal 233 5 3" xfId="19993" xr:uid="{00000000-0005-0000-0000-0000194D0000}"/>
    <cellStyle name="Normal 233 6" xfId="19994" xr:uid="{00000000-0005-0000-0000-00001A4D0000}"/>
    <cellStyle name="Normal 233 6 2" xfId="19995" xr:uid="{00000000-0005-0000-0000-00001B4D0000}"/>
    <cellStyle name="Normal 233 6 2 2" xfId="19996" xr:uid="{00000000-0005-0000-0000-00001C4D0000}"/>
    <cellStyle name="Normal 233 6 3" xfId="19997" xr:uid="{00000000-0005-0000-0000-00001D4D0000}"/>
    <cellStyle name="Normal 233 7" xfId="19998" xr:uid="{00000000-0005-0000-0000-00001E4D0000}"/>
    <cellStyle name="Normal 233 7 2" xfId="19999" xr:uid="{00000000-0005-0000-0000-00001F4D0000}"/>
    <cellStyle name="Normal 233 7 2 2" xfId="20000" xr:uid="{00000000-0005-0000-0000-0000204D0000}"/>
    <cellStyle name="Normal 233 7 3" xfId="20001" xr:uid="{00000000-0005-0000-0000-0000214D0000}"/>
    <cellStyle name="Normal 233 8" xfId="20002" xr:uid="{00000000-0005-0000-0000-0000224D0000}"/>
    <cellStyle name="Normal 234" xfId="20003" xr:uid="{00000000-0005-0000-0000-0000234D0000}"/>
    <cellStyle name="Normal 234 2" xfId="20004" xr:uid="{00000000-0005-0000-0000-0000244D0000}"/>
    <cellStyle name="Normal 234 2 2" xfId="20005" xr:uid="{00000000-0005-0000-0000-0000254D0000}"/>
    <cellStyle name="Normal 234 2 2 2" xfId="20006" xr:uid="{00000000-0005-0000-0000-0000264D0000}"/>
    <cellStyle name="Normal 234 2 2 2 2" xfId="20007" xr:uid="{00000000-0005-0000-0000-0000274D0000}"/>
    <cellStyle name="Normal 234 2 2 3" xfId="20008" xr:uid="{00000000-0005-0000-0000-0000284D0000}"/>
    <cellStyle name="Normal 234 2 2 3 2" xfId="20009" xr:uid="{00000000-0005-0000-0000-0000294D0000}"/>
    <cellStyle name="Normal 234 2 2 3 2 2" xfId="20010" xr:uid="{00000000-0005-0000-0000-00002A4D0000}"/>
    <cellStyle name="Normal 234 2 2 3 3" xfId="20011" xr:uid="{00000000-0005-0000-0000-00002B4D0000}"/>
    <cellStyle name="Normal 234 2 2 4" xfId="20012" xr:uid="{00000000-0005-0000-0000-00002C4D0000}"/>
    <cellStyle name="Normal 234 2 2 4 2" xfId="20013" xr:uid="{00000000-0005-0000-0000-00002D4D0000}"/>
    <cellStyle name="Normal 234 2 2 4 2 2" xfId="20014" xr:uid="{00000000-0005-0000-0000-00002E4D0000}"/>
    <cellStyle name="Normal 234 2 2 4 3" xfId="20015" xr:uid="{00000000-0005-0000-0000-00002F4D0000}"/>
    <cellStyle name="Normal 234 2 2 5" xfId="20016" xr:uid="{00000000-0005-0000-0000-0000304D0000}"/>
    <cellStyle name="Normal 234 2 3" xfId="20017" xr:uid="{00000000-0005-0000-0000-0000314D0000}"/>
    <cellStyle name="Normal 234 2 3 2" xfId="20018" xr:uid="{00000000-0005-0000-0000-0000324D0000}"/>
    <cellStyle name="Normal 234 2 3 2 2" xfId="20019" xr:uid="{00000000-0005-0000-0000-0000334D0000}"/>
    <cellStyle name="Normal 234 2 3 2 2 2" xfId="20020" xr:uid="{00000000-0005-0000-0000-0000344D0000}"/>
    <cellStyle name="Normal 234 2 3 2 3" xfId="20021" xr:uid="{00000000-0005-0000-0000-0000354D0000}"/>
    <cellStyle name="Normal 234 2 3 2 3 2" xfId="20022" xr:uid="{00000000-0005-0000-0000-0000364D0000}"/>
    <cellStyle name="Normal 234 2 3 2 3 2 2" xfId="20023" xr:uid="{00000000-0005-0000-0000-0000374D0000}"/>
    <cellStyle name="Normal 234 2 3 2 3 3" xfId="20024" xr:uid="{00000000-0005-0000-0000-0000384D0000}"/>
    <cellStyle name="Normal 234 2 3 2 4" xfId="20025" xr:uid="{00000000-0005-0000-0000-0000394D0000}"/>
    <cellStyle name="Normal 234 2 3 3" xfId="20026" xr:uid="{00000000-0005-0000-0000-00003A4D0000}"/>
    <cellStyle name="Normal 234 2 3 3 2" xfId="20027" xr:uid="{00000000-0005-0000-0000-00003B4D0000}"/>
    <cellStyle name="Normal 234 2 3 3 2 2" xfId="20028" xr:uid="{00000000-0005-0000-0000-00003C4D0000}"/>
    <cellStyle name="Normal 234 2 3 3 3" xfId="20029" xr:uid="{00000000-0005-0000-0000-00003D4D0000}"/>
    <cellStyle name="Normal 234 2 3 4" xfId="20030" xr:uid="{00000000-0005-0000-0000-00003E4D0000}"/>
    <cellStyle name="Normal 234 2 3 4 2" xfId="20031" xr:uid="{00000000-0005-0000-0000-00003F4D0000}"/>
    <cellStyle name="Normal 234 2 3 4 2 2" xfId="20032" xr:uid="{00000000-0005-0000-0000-0000404D0000}"/>
    <cellStyle name="Normal 234 2 3 4 3" xfId="20033" xr:uid="{00000000-0005-0000-0000-0000414D0000}"/>
    <cellStyle name="Normal 234 2 3 5" xfId="20034" xr:uid="{00000000-0005-0000-0000-0000424D0000}"/>
    <cellStyle name="Normal 234 2 3 5 2" xfId="20035" xr:uid="{00000000-0005-0000-0000-0000434D0000}"/>
    <cellStyle name="Normal 234 2 3 5 2 2" xfId="20036" xr:uid="{00000000-0005-0000-0000-0000444D0000}"/>
    <cellStyle name="Normal 234 2 3 5 3" xfId="20037" xr:uid="{00000000-0005-0000-0000-0000454D0000}"/>
    <cellStyle name="Normal 234 2 3 6" xfId="20038" xr:uid="{00000000-0005-0000-0000-0000464D0000}"/>
    <cellStyle name="Normal 234 2 4" xfId="20039" xr:uid="{00000000-0005-0000-0000-0000474D0000}"/>
    <cellStyle name="Normal 234 2 4 2" xfId="20040" xr:uid="{00000000-0005-0000-0000-0000484D0000}"/>
    <cellStyle name="Normal 234 2 4 2 2" xfId="20041" xr:uid="{00000000-0005-0000-0000-0000494D0000}"/>
    <cellStyle name="Normal 234 2 4 3" xfId="20042" xr:uid="{00000000-0005-0000-0000-00004A4D0000}"/>
    <cellStyle name="Normal 234 2 5" xfId="20043" xr:uid="{00000000-0005-0000-0000-00004B4D0000}"/>
    <cellStyle name="Normal 234 2 5 2" xfId="20044" xr:uid="{00000000-0005-0000-0000-00004C4D0000}"/>
    <cellStyle name="Normal 234 2 5 2 2" xfId="20045" xr:uid="{00000000-0005-0000-0000-00004D4D0000}"/>
    <cellStyle name="Normal 234 2 5 3" xfId="20046" xr:uid="{00000000-0005-0000-0000-00004E4D0000}"/>
    <cellStyle name="Normal 234 2 6" xfId="20047" xr:uid="{00000000-0005-0000-0000-00004F4D0000}"/>
    <cellStyle name="Normal 234 2 6 2" xfId="20048" xr:uid="{00000000-0005-0000-0000-0000504D0000}"/>
    <cellStyle name="Normal 234 2 6 2 2" xfId="20049" xr:uid="{00000000-0005-0000-0000-0000514D0000}"/>
    <cellStyle name="Normal 234 2 6 3" xfId="20050" xr:uid="{00000000-0005-0000-0000-0000524D0000}"/>
    <cellStyle name="Normal 234 2 7" xfId="20051" xr:uid="{00000000-0005-0000-0000-0000534D0000}"/>
    <cellStyle name="Normal 234 3" xfId="20052" xr:uid="{00000000-0005-0000-0000-0000544D0000}"/>
    <cellStyle name="Normal 234 3 2" xfId="20053" xr:uid="{00000000-0005-0000-0000-0000554D0000}"/>
    <cellStyle name="Normal 234 3 2 2" xfId="20054" xr:uid="{00000000-0005-0000-0000-0000564D0000}"/>
    <cellStyle name="Normal 234 3 3" xfId="20055" xr:uid="{00000000-0005-0000-0000-0000574D0000}"/>
    <cellStyle name="Normal 234 3 3 2" xfId="20056" xr:uid="{00000000-0005-0000-0000-0000584D0000}"/>
    <cellStyle name="Normal 234 3 3 2 2" xfId="20057" xr:uid="{00000000-0005-0000-0000-0000594D0000}"/>
    <cellStyle name="Normal 234 3 3 3" xfId="20058" xr:uid="{00000000-0005-0000-0000-00005A4D0000}"/>
    <cellStyle name="Normal 234 3 4" xfId="20059" xr:uid="{00000000-0005-0000-0000-00005B4D0000}"/>
    <cellStyle name="Normal 234 3 4 2" xfId="20060" xr:uid="{00000000-0005-0000-0000-00005C4D0000}"/>
    <cellStyle name="Normal 234 3 4 2 2" xfId="20061" xr:uid="{00000000-0005-0000-0000-00005D4D0000}"/>
    <cellStyle name="Normal 234 3 4 3" xfId="20062" xr:uid="{00000000-0005-0000-0000-00005E4D0000}"/>
    <cellStyle name="Normal 234 3 5" xfId="20063" xr:uid="{00000000-0005-0000-0000-00005F4D0000}"/>
    <cellStyle name="Normal 234 4" xfId="20064" xr:uid="{00000000-0005-0000-0000-0000604D0000}"/>
    <cellStyle name="Normal 234 4 2" xfId="20065" xr:uid="{00000000-0005-0000-0000-0000614D0000}"/>
    <cellStyle name="Normal 234 4 2 2" xfId="20066" xr:uid="{00000000-0005-0000-0000-0000624D0000}"/>
    <cellStyle name="Normal 234 4 2 2 2" xfId="20067" xr:uid="{00000000-0005-0000-0000-0000634D0000}"/>
    <cellStyle name="Normal 234 4 2 3" xfId="20068" xr:uid="{00000000-0005-0000-0000-0000644D0000}"/>
    <cellStyle name="Normal 234 4 2 3 2" xfId="20069" xr:uid="{00000000-0005-0000-0000-0000654D0000}"/>
    <cellStyle name="Normal 234 4 2 3 2 2" xfId="20070" xr:uid="{00000000-0005-0000-0000-0000664D0000}"/>
    <cellStyle name="Normal 234 4 2 3 3" xfId="20071" xr:uid="{00000000-0005-0000-0000-0000674D0000}"/>
    <cellStyle name="Normal 234 4 2 4" xfId="20072" xr:uid="{00000000-0005-0000-0000-0000684D0000}"/>
    <cellStyle name="Normal 234 4 3" xfId="20073" xr:uid="{00000000-0005-0000-0000-0000694D0000}"/>
    <cellStyle name="Normal 234 4 3 2" xfId="20074" xr:uid="{00000000-0005-0000-0000-00006A4D0000}"/>
    <cellStyle name="Normal 234 4 3 2 2" xfId="20075" xr:uid="{00000000-0005-0000-0000-00006B4D0000}"/>
    <cellStyle name="Normal 234 4 3 3" xfId="20076" xr:uid="{00000000-0005-0000-0000-00006C4D0000}"/>
    <cellStyle name="Normal 234 4 4" xfId="20077" xr:uid="{00000000-0005-0000-0000-00006D4D0000}"/>
    <cellStyle name="Normal 234 4 4 2" xfId="20078" xr:uid="{00000000-0005-0000-0000-00006E4D0000}"/>
    <cellStyle name="Normal 234 4 4 2 2" xfId="20079" xr:uid="{00000000-0005-0000-0000-00006F4D0000}"/>
    <cellStyle name="Normal 234 4 4 3" xfId="20080" xr:uid="{00000000-0005-0000-0000-0000704D0000}"/>
    <cellStyle name="Normal 234 4 5" xfId="20081" xr:uid="{00000000-0005-0000-0000-0000714D0000}"/>
    <cellStyle name="Normal 234 4 5 2" xfId="20082" xr:uid="{00000000-0005-0000-0000-0000724D0000}"/>
    <cellStyle name="Normal 234 4 5 2 2" xfId="20083" xr:uid="{00000000-0005-0000-0000-0000734D0000}"/>
    <cellStyle name="Normal 234 4 5 3" xfId="20084" xr:uid="{00000000-0005-0000-0000-0000744D0000}"/>
    <cellStyle name="Normal 234 4 6" xfId="20085" xr:uid="{00000000-0005-0000-0000-0000754D0000}"/>
    <cellStyle name="Normal 234 5" xfId="20086" xr:uid="{00000000-0005-0000-0000-0000764D0000}"/>
    <cellStyle name="Normal 234 5 2" xfId="20087" xr:uid="{00000000-0005-0000-0000-0000774D0000}"/>
    <cellStyle name="Normal 234 5 2 2" xfId="20088" xr:uid="{00000000-0005-0000-0000-0000784D0000}"/>
    <cellStyle name="Normal 234 5 3" xfId="20089" xr:uid="{00000000-0005-0000-0000-0000794D0000}"/>
    <cellStyle name="Normal 234 6" xfId="20090" xr:uid="{00000000-0005-0000-0000-00007A4D0000}"/>
    <cellStyle name="Normal 234 6 2" xfId="20091" xr:uid="{00000000-0005-0000-0000-00007B4D0000}"/>
    <cellStyle name="Normal 234 6 2 2" xfId="20092" xr:uid="{00000000-0005-0000-0000-00007C4D0000}"/>
    <cellStyle name="Normal 234 6 3" xfId="20093" xr:uid="{00000000-0005-0000-0000-00007D4D0000}"/>
    <cellStyle name="Normal 234 7" xfId="20094" xr:uid="{00000000-0005-0000-0000-00007E4D0000}"/>
    <cellStyle name="Normal 234 7 2" xfId="20095" xr:uid="{00000000-0005-0000-0000-00007F4D0000}"/>
    <cellStyle name="Normal 234 7 2 2" xfId="20096" xr:uid="{00000000-0005-0000-0000-0000804D0000}"/>
    <cellStyle name="Normal 234 7 3" xfId="20097" xr:uid="{00000000-0005-0000-0000-0000814D0000}"/>
    <cellStyle name="Normal 234 8" xfId="20098" xr:uid="{00000000-0005-0000-0000-0000824D0000}"/>
    <cellStyle name="Normal 235" xfId="20099" xr:uid="{00000000-0005-0000-0000-0000834D0000}"/>
    <cellStyle name="Normal 235 2" xfId="20100" xr:uid="{00000000-0005-0000-0000-0000844D0000}"/>
    <cellStyle name="Normal 235 2 2" xfId="20101" xr:uid="{00000000-0005-0000-0000-0000854D0000}"/>
    <cellStyle name="Normal 235 2 2 2" xfId="20102" xr:uid="{00000000-0005-0000-0000-0000864D0000}"/>
    <cellStyle name="Normal 235 2 2 2 2" xfId="20103" xr:uid="{00000000-0005-0000-0000-0000874D0000}"/>
    <cellStyle name="Normal 235 2 2 3" xfId="20104" xr:uid="{00000000-0005-0000-0000-0000884D0000}"/>
    <cellStyle name="Normal 235 2 2 3 2" xfId="20105" xr:uid="{00000000-0005-0000-0000-0000894D0000}"/>
    <cellStyle name="Normal 235 2 2 3 2 2" xfId="20106" xr:uid="{00000000-0005-0000-0000-00008A4D0000}"/>
    <cellStyle name="Normal 235 2 2 3 3" xfId="20107" xr:uid="{00000000-0005-0000-0000-00008B4D0000}"/>
    <cellStyle name="Normal 235 2 2 4" xfId="20108" xr:uid="{00000000-0005-0000-0000-00008C4D0000}"/>
    <cellStyle name="Normal 235 2 2 4 2" xfId="20109" xr:uid="{00000000-0005-0000-0000-00008D4D0000}"/>
    <cellStyle name="Normal 235 2 2 4 2 2" xfId="20110" xr:uid="{00000000-0005-0000-0000-00008E4D0000}"/>
    <cellStyle name="Normal 235 2 2 4 3" xfId="20111" xr:uid="{00000000-0005-0000-0000-00008F4D0000}"/>
    <cellStyle name="Normal 235 2 2 5" xfId="20112" xr:uid="{00000000-0005-0000-0000-0000904D0000}"/>
    <cellStyle name="Normal 235 2 3" xfId="20113" xr:uid="{00000000-0005-0000-0000-0000914D0000}"/>
    <cellStyle name="Normal 235 2 3 2" xfId="20114" xr:uid="{00000000-0005-0000-0000-0000924D0000}"/>
    <cellStyle name="Normal 235 2 3 2 2" xfId="20115" xr:uid="{00000000-0005-0000-0000-0000934D0000}"/>
    <cellStyle name="Normal 235 2 3 2 2 2" xfId="20116" xr:uid="{00000000-0005-0000-0000-0000944D0000}"/>
    <cellStyle name="Normal 235 2 3 2 3" xfId="20117" xr:uid="{00000000-0005-0000-0000-0000954D0000}"/>
    <cellStyle name="Normal 235 2 3 2 3 2" xfId="20118" xr:uid="{00000000-0005-0000-0000-0000964D0000}"/>
    <cellStyle name="Normal 235 2 3 2 3 2 2" xfId="20119" xr:uid="{00000000-0005-0000-0000-0000974D0000}"/>
    <cellStyle name="Normal 235 2 3 2 3 3" xfId="20120" xr:uid="{00000000-0005-0000-0000-0000984D0000}"/>
    <cellStyle name="Normal 235 2 3 2 4" xfId="20121" xr:uid="{00000000-0005-0000-0000-0000994D0000}"/>
    <cellStyle name="Normal 235 2 3 3" xfId="20122" xr:uid="{00000000-0005-0000-0000-00009A4D0000}"/>
    <cellStyle name="Normal 235 2 3 3 2" xfId="20123" xr:uid="{00000000-0005-0000-0000-00009B4D0000}"/>
    <cellStyle name="Normal 235 2 3 3 2 2" xfId="20124" xr:uid="{00000000-0005-0000-0000-00009C4D0000}"/>
    <cellStyle name="Normal 235 2 3 3 3" xfId="20125" xr:uid="{00000000-0005-0000-0000-00009D4D0000}"/>
    <cellStyle name="Normal 235 2 3 4" xfId="20126" xr:uid="{00000000-0005-0000-0000-00009E4D0000}"/>
    <cellStyle name="Normal 235 2 3 4 2" xfId="20127" xr:uid="{00000000-0005-0000-0000-00009F4D0000}"/>
    <cellStyle name="Normal 235 2 3 4 2 2" xfId="20128" xr:uid="{00000000-0005-0000-0000-0000A04D0000}"/>
    <cellStyle name="Normal 235 2 3 4 3" xfId="20129" xr:uid="{00000000-0005-0000-0000-0000A14D0000}"/>
    <cellStyle name="Normal 235 2 3 5" xfId="20130" xr:uid="{00000000-0005-0000-0000-0000A24D0000}"/>
    <cellStyle name="Normal 235 2 3 5 2" xfId="20131" xr:uid="{00000000-0005-0000-0000-0000A34D0000}"/>
    <cellStyle name="Normal 235 2 3 5 2 2" xfId="20132" xr:uid="{00000000-0005-0000-0000-0000A44D0000}"/>
    <cellStyle name="Normal 235 2 3 5 3" xfId="20133" xr:uid="{00000000-0005-0000-0000-0000A54D0000}"/>
    <cellStyle name="Normal 235 2 3 6" xfId="20134" xr:uid="{00000000-0005-0000-0000-0000A64D0000}"/>
    <cellStyle name="Normal 235 2 4" xfId="20135" xr:uid="{00000000-0005-0000-0000-0000A74D0000}"/>
    <cellStyle name="Normal 235 2 4 2" xfId="20136" xr:uid="{00000000-0005-0000-0000-0000A84D0000}"/>
    <cellStyle name="Normal 235 2 4 2 2" xfId="20137" xr:uid="{00000000-0005-0000-0000-0000A94D0000}"/>
    <cellStyle name="Normal 235 2 4 3" xfId="20138" xr:uid="{00000000-0005-0000-0000-0000AA4D0000}"/>
    <cellStyle name="Normal 235 2 5" xfId="20139" xr:uid="{00000000-0005-0000-0000-0000AB4D0000}"/>
    <cellStyle name="Normal 235 2 5 2" xfId="20140" xr:uid="{00000000-0005-0000-0000-0000AC4D0000}"/>
    <cellStyle name="Normal 235 2 5 2 2" xfId="20141" xr:uid="{00000000-0005-0000-0000-0000AD4D0000}"/>
    <cellStyle name="Normal 235 2 5 3" xfId="20142" xr:uid="{00000000-0005-0000-0000-0000AE4D0000}"/>
    <cellStyle name="Normal 235 2 6" xfId="20143" xr:uid="{00000000-0005-0000-0000-0000AF4D0000}"/>
    <cellStyle name="Normal 235 2 6 2" xfId="20144" xr:uid="{00000000-0005-0000-0000-0000B04D0000}"/>
    <cellStyle name="Normal 235 2 6 2 2" xfId="20145" xr:uid="{00000000-0005-0000-0000-0000B14D0000}"/>
    <cellStyle name="Normal 235 2 6 3" xfId="20146" xr:uid="{00000000-0005-0000-0000-0000B24D0000}"/>
    <cellStyle name="Normal 235 2 7" xfId="20147" xr:uid="{00000000-0005-0000-0000-0000B34D0000}"/>
    <cellStyle name="Normal 235 3" xfId="20148" xr:uid="{00000000-0005-0000-0000-0000B44D0000}"/>
    <cellStyle name="Normal 235 3 2" xfId="20149" xr:uid="{00000000-0005-0000-0000-0000B54D0000}"/>
    <cellStyle name="Normal 235 3 2 2" xfId="20150" xr:uid="{00000000-0005-0000-0000-0000B64D0000}"/>
    <cellStyle name="Normal 235 3 3" xfId="20151" xr:uid="{00000000-0005-0000-0000-0000B74D0000}"/>
    <cellStyle name="Normal 235 3 3 2" xfId="20152" xr:uid="{00000000-0005-0000-0000-0000B84D0000}"/>
    <cellStyle name="Normal 235 3 3 2 2" xfId="20153" xr:uid="{00000000-0005-0000-0000-0000B94D0000}"/>
    <cellStyle name="Normal 235 3 3 3" xfId="20154" xr:uid="{00000000-0005-0000-0000-0000BA4D0000}"/>
    <cellStyle name="Normal 235 3 4" xfId="20155" xr:uid="{00000000-0005-0000-0000-0000BB4D0000}"/>
    <cellStyle name="Normal 235 3 4 2" xfId="20156" xr:uid="{00000000-0005-0000-0000-0000BC4D0000}"/>
    <cellStyle name="Normal 235 3 4 2 2" xfId="20157" xr:uid="{00000000-0005-0000-0000-0000BD4D0000}"/>
    <cellStyle name="Normal 235 3 4 3" xfId="20158" xr:uid="{00000000-0005-0000-0000-0000BE4D0000}"/>
    <cellStyle name="Normal 235 3 5" xfId="20159" xr:uid="{00000000-0005-0000-0000-0000BF4D0000}"/>
    <cellStyle name="Normal 235 4" xfId="20160" xr:uid="{00000000-0005-0000-0000-0000C04D0000}"/>
    <cellStyle name="Normal 235 4 2" xfId="20161" xr:uid="{00000000-0005-0000-0000-0000C14D0000}"/>
    <cellStyle name="Normal 235 4 2 2" xfId="20162" xr:uid="{00000000-0005-0000-0000-0000C24D0000}"/>
    <cellStyle name="Normal 235 4 2 2 2" xfId="20163" xr:uid="{00000000-0005-0000-0000-0000C34D0000}"/>
    <cellStyle name="Normal 235 4 2 3" xfId="20164" xr:uid="{00000000-0005-0000-0000-0000C44D0000}"/>
    <cellStyle name="Normal 235 4 2 3 2" xfId="20165" xr:uid="{00000000-0005-0000-0000-0000C54D0000}"/>
    <cellStyle name="Normal 235 4 2 3 2 2" xfId="20166" xr:uid="{00000000-0005-0000-0000-0000C64D0000}"/>
    <cellStyle name="Normal 235 4 2 3 3" xfId="20167" xr:uid="{00000000-0005-0000-0000-0000C74D0000}"/>
    <cellStyle name="Normal 235 4 2 4" xfId="20168" xr:uid="{00000000-0005-0000-0000-0000C84D0000}"/>
    <cellStyle name="Normal 235 4 3" xfId="20169" xr:uid="{00000000-0005-0000-0000-0000C94D0000}"/>
    <cellStyle name="Normal 235 4 3 2" xfId="20170" xr:uid="{00000000-0005-0000-0000-0000CA4D0000}"/>
    <cellStyle name="Normal 235 4 3 2 2" xfId="20171" xr:uid="{00000000-0005-0000-0000-0000CB4D0000}"/>
    <cellStyle name="Normal 235 4 3 3" xfId="20172" xr:uid="{00000000-0005-0000-0000-0000CC4D0000}"/>
    <cellStyle name="Normal 235 4 4" xfId="20173" xr:uid="{00000000-0005-0000-0000-0000CD4D0000}"/>
    <cellStyle name="Normal 235 4 4 2" xfId="20174" xr:uid="{00000000-0005-0000-0000-0000CE4D0000}"/>
    <cellStyle name="Normal 235 4 4 2 2" xfId="20175" xr:uid="{00000000-0005-0000-0000-0000CF4D0000}"/>
    <cellStyle name="Normal 235 4 4 3" xfId="20176" xr:uid="{00000000-0005-0000-0000-0000D04D0000}"/>
    <cellStyle name="Normal 235 4 5" xfId="20177" xr:uid="{00000000-0005-0000-0000-0000D14D0000}"/>
    <cellStyle name="Normal 235 4 5 2" xfId="20178" xr:uid="{00000000-0005-0000-0000-0000D24D0000}"/>
    <cellStyle name="Normal 235 4 5 2 2" xfId="20179" xr:uid="{00000000-0005-0000-0000-0000D34D0000}"/>
    <cellStyle name="Normal 235 4 5 3" xfId="20180" xr:uid="{00000000-0005-0000-0000-0000D44D0000}"/>
    <cellStyle name="Normal 235 4 6" xfId="20181" xr:uid="{00000000-0005-0000-0000-0000D54D0000}"/>
    <cellStyle name="Normal 235 5" xfId="20182" xr:uid="{00000000-0005-0000-0000-0000D64D0000}"/>
    <cellStyle name="Normal 235 5 2" xfId="20183" xr:uid="{00000000-0005-0000-0000-0000D74D0000}"/>
    <cellStyle name="Normal 235 5 2 2" xfId="20184" xr:uid="{00000000-0005-0000-0000-0000D84D0000}"/>
    <cellStyle name="Normal 235 5 3" xfId="20185" xr:uid="{00000000-0005-0000-0000-0000D94D0000}"/>
    <cellStyle name="Normal 235 6" xfId="20186" xr:uid="{00000000-0005-0000-0000-0000DA4D0000}"/>
    <cellStyle name="Normal 235 6 2" xfId="20187" xr:uid="{00000000-0005-0000-0000-0000DB4D0000}"/>
    <cellStyle name="Normal 235 6 2 2" xfId="20188" xr:uid="{00000000-0005-0000-0000-0000DC4D0000}"/>
    <cellStyle name="Normal 235 6 3" xfId="20189" xr:uid="{00000000-0005-0000-0000-0000DD4D0000}"/>
    <cellStyle name="Normal 235 7" xfId="20190" xr:uid="{00000000-0005-0000-0000-0000DE4D0000}"/>
    <cellStyle name="Normal 235 7 2" xfId="20191" xr:uid="{00000000-0005-0000-0000-0000DF4D0000}"/>
    <cellStyle name="Normal 235 7 2 2" xfId="20192" xr:uid="{00000000-0005-0000-0000-0000E04D0000}"/>
    <cellStyle name="Normal 235 7 3" xfId="20193" xr:uid="{00000000-0005-0000-0000-0000E14D0000}"/>
    <cellStyle name="Normal 235 8" xfId="20194" xr:uid="{00000000-0005-0000-0000-0000E24D0000}"/>
    <cellStyle name="Normal 236" xfId="20195" xr:uid="{00000000-0005-0000-0000-0000E34D0000}"/>
    <cellStyle name="Normal 236 2" xfId="20196" xr:uid="{00000000-0005-0000-0000-0000E44D0000}"/>
    <cellStyle name="Normal 236 2 2" xfId="20197" xr:uid="{00000000-0005-0000-0000-0000E54D0000}"/>
    <cellStyle name="Normal 236 2 2 2" xfId="20198" xr:uid="{00000000-0005-0000-0000-0000E64D0000}"/>
    <cellStyle name="Normal 236 2 2 2 2" xfId="20199" xr:uid="{00000000-0005-0000-0000-0000E74D0000}"/>
    <cellStyle name="Normal 236 2 2 3" xfId="20200" xr:uid="{00000000-0005-0000-0000-0000E84D0000}"/>
    <cellStyle name="Normal 236 2 2 3 2" xfId="20201" xr:uid="{00000000-0005-0000-0000-0000E94D0000}"/>
    <cellStyle name="Normal 236 2 2 3 2 2" xfId="20202" xr:uid="{00000000-0005-0000-0000-0000EA4D0000}"/>
    <cellStyle name="Normal 236 2 2 3 3" xfId="20203" xr:uid="{00000000-0005-0000-0000-0000EB4D0000}"/>
    <cellStyle name="Normal 236 2 2 4" xfId="20204" xr:uid="{00000000-0005-0000-0000-0000EC4D0000}"/>
    <cellStyle name="Normal 236 2 2 4 2" xfId="20205" xr:uid="{00000000-0005-0000-0000-0000ED4D0000}"/>
    <cellStyle name="Normal 236 2 2 4 2 2" xfId="20206" xr:uid="{00000000-0005-0000-0000-0000EE4D0000}"/>
    <cellStyle name="Normal 236 2 2 4 3" xfId="20207" xr:uid="{00000000-0005-0000-0000-0000EF4D0000}"/>
    <cellStyle name="Normal 236 2 2 5" xfId="20208" xr:uid="{00000000-0005-0000-0000-0000F04D0000}"/>
    <cellStyle name="Normal 236 2 3" xfId="20209" xr:uid="{00000000-0005-0000-0000-0000F14D0000}"/>
    <cellStyle name="Normal 236 2 3 2" xfId="20210" xr:uid="{00000000-0005-0000-0000-0000F24D0000}"/>
    <cellStyle name="Normal 236 2 3 2 2" xfId="20211" xr:uid="{00000000-0005-0000-0000-0000F34D0000}"/>
    <cellStyle name="Normal 236 2 3 2 2 2" xfId="20212" xr:uid="{00000000-0005-0000-0000-0000F44D0000}"/>
    <cellStyle name="Normal 236 2 3 2 3" xfId="20213" xr:uid="{00000000-0005-0000-0000-0000F54D0000}"/>
    <cellStyle name="Normal 236 2 3 2 3 2" xfId="20214" xr:uid="{00000000-0005-0000-0000-0000F64D0000}"/>
    <cellStyle name="Normal 236 2 3 2 3 2 2" xfId="20215" xr:uid="{00000000-0005-0000-0000-0000F74D0000}"/>
    <cellStyle name="Normal 236 2 3 2 3 3" xfId="20216" xr:uid="{00000000-0005-0000-0000-0000F84D0000}"/>
    <cellStyle name="Normal 236 2 3 2 4" xfId="20217" xr:uid="{00000000-0005-0000-0000-0000F94D0000}"/>
    <cellStyle name="Normal 236 2 3 3" xfId="20218" xr:uid="{00000000-0005-0000-0000-0000FA4D0000}"/>
    <cellStyle name="Normal 236 2 3 3 2" xfId="20219" xr:uid="{00000000-0005-0000-0000-0000FB4D0000}"/>
    <cellStyle name="Normal 236 2 3 3 2 2" xfId="20220" xr:uid="{00000000-0005-0000-0000-0000FC4D0000}"/>
    <cellStyle name="Normal 236 2 3 3 3" xfId="20221" xr:uid="{00000000-0005-0000-0000-0000FD4D0000}"/>
    <cellStyle name="Normal 236 2 3 4" xfId="20222" xr:uid="{00000000-0005-0000-0000-0000FE4D0000}"/>
    <cellStyle name="Normal 236 2 3 4 2" xfId="20223" xr:uid="{00000000-0005-0000-0000-0000FF4D0000}"/>
    <cellStyle name="Normal 236 2 3 4 2 2" xfId="20224" xr:uid="{00000000-0005-0000-0000-0000004E0000}"/>
    <cellStyle name="Normal 236 2 3 4 3" xfId="20225" xr:uid="{00000000-0005-0000-0000-0000014E0000}"/>
    <cellStyle name="Normal 236 2 3 5" xfId="20226" xr:uid="{00000000-0005-0000-0000-0000024E0000}"/>
    <cellStyle name="Normal 236 2 3 5 2" xfId="20227" xr:uid="{00000000-0005-0000-0000-0000034E0000}"/>
    <cellStyle name="Normal 236 2 3 5 2 2" xfId="20228" xr:uid="{00000000-0005-0000-0000-0000044E0000}"/>
    <cellStyle name="Normal 236 2 3 5 3" xfId="20229" xr:uid="{00000000-0005-0000-0000-0000054E0000}"/>
    <cellStyle name="Normal 236 2 3 6" xfId="20230" xr:uid="{00000000-0005-0000-0000-0000064E0000}"/>
    <cellStyle name="Normal 236 2 4" xfId="20231" xr:uid="{00000000-0005-0000-0000-0000074E0000}"/>
    <cellStyle name="Normal 236 2 4 2" xfId="20232" xr:uid="{00000000-0005-0000-0000-0000084E0000}"/>
    <cellStyle name="Normal 236 2 4 2 2" xfId="20233" xr:uid="{00000000-0005-0000-0000-0000094E0000}"/>
    <cellStyle name="Normal 236 2 4 3" xfId="20234" xr:uid="{00000000-0005-0000-0000-00000A4E0000}"/>
    <cellStyle name="Normal 236 2 5" xfId="20235" xr:uid="{00000000-0005-0000-0000-00000B4E0000}"/>
    <cellStyle name="Normal 236 2 5 2" xfId="20236" xr:uid="{00000000-0005-0000-0000-00000C4E0000}"/>
    <cellStyle name="Normal 236 2 5 2 2" xfId="20237" xr:uid="{00000000-0005-0000-0000-00000D4E0000}"/>
    <cellStyle name="Normal 236 2 5 3" xfId="20238" xr:uid="{00000000-0005-0000-0000-00000E4E0000}"/>
    <cellStyle name="Normal 236 2 6" xfId="20239" xr:uid="{00000000-0005-0000-0000-00000F4E0000}"/>
    <cellStyle name="Normal 236 2 6 2" xfId="20240" xr:uid="{00000000-0005-0000-0000-0000104E0000}"/>
    <cellStyle name="Normal 236 2 6 2 2" xfId="20241" xr:uid="{00000000-0005-0000-0000-0000114E0000}"/>
    <cellStyle name="Normal 236 2 6 3" xfId="20242" xr:uid="{00000000-0005-0000-0000-0000124E0000}"/>
    <cellStyle name="Normal 236 2 7" xfId="20243" xr:uid="{00000000-0005-0000-0000-0000134E0000}"/>
    <cellStyle name="Normal 236 3" xfId="20244" xr:uid="{00000000-0005-0000-0000-0000144E0000}"/>
    <cellStyle name="Normal 236 3 2" xfId="20245" xr:uid="{00000000-0005-0000-0000-0000154E0000}"/>
    <cellStyle name="Normal 236 3 2 2" xfId="20246" xr:uid="{00000000-0005-0000-0000-0000164E0000}"/>
    <cellStyle name="Normal 236 3 3" xfId="20247" xr:uid="{00000000-0005-0000-0000-0000174E0000}"/>
    <cellStyle name="Normal 236 3 3 2" xfId="20248" xr:uid="{00000000-0005-0000-0000-0000184E0000}"/>
    <cellStyle name="Normal 236 3 3 2 2" xfId="20249" xr:uid="{00000000-0005-0000-0000-0000194E0000}"/>
    <cellStyle name="Normal 236 3 3 3" xfId="20250" xr:uid="{00000000-0005-0000-0000-00001A4E0000}"/>
    <cellStyle name="Normal 236 3 4" xfId="20251" xr:uid="{00000000-0005-0000-0000-00001B4E0000}"/>
    <cellStyle name="Normal 236 3 4 2" xfId="20252" xr:uid="{00000000-0005-0000-0000-00001C4E0000}"/>
    <cellStyle name="Normal 236 3 4 2 2" xfId="20253" xr:uid="{00000000-0005-0000-0000-00001D4E0000}"/>
    <cellStyle name="Normal 236 3 4 3" xfId="20254" xr:uid="{00000000-0005-0000-0000-00001E4E0000}"/>
    <cellStyle name="Normal 236 3 5" xfId="20255" xr:uid="{00000000-0005-0000-0000-00001F4E0000}"/>
    <cellStyle name="Normal 236 4" xfId="20256" xr:uid="{00000000-0005-0000-0000-0000204E0000}"/>
    <cellStyle name="Normal 236 4 2" xfId="20257" xr:uid="{00000000-0005-0000-0000-0000214E0000}"/>
    <cellStyle name="Normal 236 4 2 2" xfId="20258" xr:uid="{00000000-0005-0000-0000-0000224E0000}"/>
    <cellStyle name="Normal 236 4 2 2 2" xfId="20259" xr:uid="{00000000-0005-0000-0000-0000234E0000}"/>
    <cellStyle name="Normal 236 4 2 3" xfId="20260" xr:uid="{00000000-0005-0000-0000-0000244E0000}"/>
    <cellStyle name="Normal 236 4 2 3 2" xfId="20261" xr:uid="{00000000-0005-0000-0000-0000254E0000}"/>
    <cellStyle name="Normal 236 4 2 3 2 2" xfId="20262" xr:uid="{00000000-0005-0000-0000-0000264E0000}"/>
    <cellStyle name="Normal 236 4 2 3 3" xfId="20263" xr:uid="{00000000-0005-0000-0000-0000274E0000}"/>
    <cellStyle name="Normal 236 4 2 4" xfId="20264" xr:uid="{00000000-0005-0000-0000-0000284E0000}"/>
    <cellStyle name="Normal 236 4 3" xfId="20265" xr:uid="{00000000-0005-0000-0000-0000294E0000}"/>
    <cellStyle name="Normal 236 4 3 2" xfId="20266" xr:uid="{00000000-0005-0000-0000-00002A4E0000}"/>
    <cellStyle name="Normal 236 4 3 2 2" xfId="20267" xr:uid="{00000000-0005-0000-0000-00002B4E0000}"/>
    <cellStyle name="Normal 236 4 3 3" xfId="20268" xr:uid="{00000000-0005-0000-0000-00002C4E0000}"/>
    <cellStyle name="Normal 236 4 4" xfId="20269" xr:uid="{00000000-0005-0000-0000-00002D4E0000}"/>
    <cellStyle name="Normal 236 4 4 2" xfId="20270" xr:uid="{00000000-0005-0000-0000-00002E4E0000}"/>
    <cellStyle name="Normal 236 4 4 2 2" xfId="20271" xr:uid="{00000000-0005-0000-0000-00002F4E0000}"/>
    <cellStyle name="Normal 236 4 4 3" xfId="20272" xr:uid="{00000000-0005-0000-0000-0000304E0000}"/>
    <cellStyle name="Normal 236 4 5" xfId="20273" xr:uid="{00000000-0005-0000-0000-0000314E0000}"/>
    <cellStyle name="Normal 236 4 5 2" xfId="20274" xr:uid="{00000000-0005-0000-0000-0000324E0000}"/>
    <cellStyle name="Normal 236 4 5 2 2" xfId="20275" xr:uid="{00000000-0005-0000-0000-0000334E0000}"/>
    <cellStyle name="Normal 236 4 5 3" xfId="20276" xr:uid="{00000000-0005-0000-0000-0000344E0000}"/>
    <cellStyle name="Normal 236 4 6" xfId="20277" xr:uid="{00000000-0005-0000-0000-0000354E0000}"/>
    <cellStyle name="Normal 236 5" xfId="20278" xr:uid="{00000000-0005-0000-0000-0000364E0000}"/>
    <cellStyle name="Normal 236 5 2" xfId="20279" xr:uid="{00000000-0005-0000-0000-0000374E0000}"/>
    <cellStyle name="Normal 236 5 2 2" xfId="20280" xr:uid="{00000000-0005-0000-0000-0000384E0000}"/>
    <cellStyle name="Normal 236 5 3" xfId="20281" xr:uid="{00000000-0005-0000-0000-0000394E0000}"/>
    <cellStyle name="Normal 236 6" xfId="20282" xr:uid="{00000000-0005-0000-0000-00003A4E0000}"/>
    <cellStyle name="Normal 236 6 2" xfId="20283" xr:uid="{00000000-0005-0000-0000-00003B4E0000}"/>
    <cellStyle name="Normal 236 6 2 2" xfId="20284" xr:uid="{00000000-0005-0000-0000-00003C4E0000}"/>
    <cellStyle name="Normal 236 6 3" xfId="20285" xr:uid="{00000000-0005-0000-0000-00003D4E0000}"/>
    <cellStyle name="Normal 236 7" xfId="20286" xr:uid="{00000000-0005-0000-0000-00003E4E0000}"/>
    <cellStyle name="Normal 236 7 2" xfId="20287" xr:uid="{00000000-0005-0000-0000-00003F4E0000}"/>
    <cellStyle name="Normal 236 7 2 2" xfId="20288" xr:uid="{00000000-0005-0000-0000-0000404E0000}"/>
    <cellStyle name="Normal 236 7 3" xfId="20289" xr:uid="{00000000-0005-0000-0000-0000414E0000}"/>
    <cellStyle name="Normal 236 8" xfId="20290" xr:uid="{00000000-0005-0000-0000-0000424E0000}"/>
    <cellStyle name="Normal 237" xfId="20291" xr:uid="{00000000-0005-0000-0000-0000434E0000}"/>
    <cellStyle name="Normal 237 2" xfId="20292" xr:uid="{00000000-0005-0000-0000-0000444E0000}"/>
    <cellStyle name="Normal 237 2 2" xfId="20293" xr:uid="{00000000-0005-0000-0000-0000454E0000}"/>
    <cellStyle name="Normal 237 2 2 2" xfId="20294" xr:uid="{00000000-0005-0000-0000-0000464E0000}"/>
    <cellStyle name="Normal 237 2 2 2 2" xfId="20295" xr:uid="{00000000-0005-0000-0000-0000474E0000}"/>
    <cellStyle name="Normal 237 2 2 3" xfId="20296" xr:uid="{00000000-0005-0000-0000-0000484E0000}"/>
    <cellStyle name="Normal 237 2 2 3 2" xfId="20297" xr:uid="{00000000-0005-0000-0000-0000494E0000}"/>
    <cellStyle name="Normal 237 2 2 3 2 2" xfId="20298" xr:uid="{00000000-0005-0000-0000-00004A4E0000}"/>
    <cellStyle name="Normal 237 2 2 3 3" xfId="20299" xr:uid="{00000000-0005-0000-0000-00004B4E0000}"/>
    <cellStyle name="Normal 237 2 2 4" xfId="20300" xr:uid="{00000000-0005-0000-0000-00004C4E0000}"/>
    <cellStyle name="Normal 237 2 2 4 2" xfId="20301" xr:uid="{00000000-0005-0000-0000-00004D4E0000}"/>
    <cellStyle name="Normal 237 2 2 4 2 2" xfId="20302" xr:uid="{00000000-0005-0000-0000-00004E4E0000}"/>
    <cellStyle name="Normal 237 2 2 4 3" xfId="20303" xr:uid="{00000000-0005-0000-0000-00004F4E0000}"/>
    <cellStyle name="Normal 237 2 2 5" xfId="20304" xr:uid="{00000000-0005-0000-0000-0000504E0000}"/>
    <cellStyle name="Normal 237 2 3" xfId="20305" xr:uid="{00000000-0005-0000-0000-0000514E0000}"/>
    <cellStyle name="Normal 237 2 3 2" xfId="20306" xr:uid="{00000000-0005-0000-0000-0000524E0000}"/>
    <cellStyle name="Normal 237 2 3 2 2" xfId="20307" xr:uid="{00000000-0005-0000-0000-0000534E0000}"/>
    <cellStyle name="Normal 237 2 3 2 2 2" xfId="20308" xr:uid="{00000000-0005-0000-0000-0000544E0000}"/>
    <cellStyle name="Normal 237 2 3 2 3" xfId="20309" xr:uid="{00000000-0005-0000-0000-0000554E0000}"/>
    <cellStyle name="Normal 237 2 3 2 3 2" xfId="20310" xr:uid="{00000000-0005-0000-0000-0000564E0000}"/>
    <cellStyle name="Normal 237 2 3 2 3 2 2" xfId="20311" xr:uid="{00000000-0005-0000-0000-0000574E0000}"/>
    <cellStyle name="Normal 237 2 3 2 3 3" xfId="20312" xr:uid="{00000000-0005-0000-0000-0000584E0000}"/>
    <cellStyle name="Normal 237 2 3 2 4" xfId="20313" xr:uid="{00000000-0005-0000-0000-0000594E0000}"/>
    <cellStyle name="Normal 237 2 3 3" xfId="20314" xr:uid="{00000000-0005-0000-0000-00005A4E0000}"/>
    <cellStyle name="Normal 237 2 3 3 2" xfId="20315" xr:uid="{00000000-0005-0000-0000-00005B4E0000}"/>
    <cellStyle name="Normal 237 2 3 3 2 2" xfId="20316" xr:uid="{00000000-0005-0000-0000-00005C4E0000}"/>
    <cellStyle name="Normal 237 2 3 3 3" xfId="20317" xr:uid="{00000000-0005-0000-0000-00005D4E0000}"/>
    <cellStyle name="Normal 237 2 3 4" xfId="20318" xr:uid="{00000000-0005-0000-0000-00005E4E0000}"/>
    <cellStyle name="Normal 237 2 3 4 2" xfId="20319" xr:uid="{00000000-0005-0000-0000-00005F4E0000}"/>
    <cellStyle name="Normal 237 2 3 4 2 2" xfId="20320" xr:uid="{00000000-0005-0000-0000-0000604E0000}"/>
    <cellStyle name="Normal 237 2 3 4 3" xfId="20321" xr:uid="{00000000-0005-0000-0000-0000614E0000}"/>
    <cellStyle name="Normal 237 2 3 5" xfId="20322" xr:uid="{00000000-0005-0000-0000-0000624E0000}"/>
    <cellStyle name="Normal 237 2 3 5 2" xfId="20323" xr:uid="{00000000-0005-0000-0000-0000634E0000}"/>
    <cellStyle name="Normal 237 2 3 5 2 2" xfId="20324" xr:uid="{00000000-0005-0000-0000-0000644E0000}"/>
    <cellStyle name="Normal 237 2 3 5 3" xfId="20325" xr:uid="{00000000-0005-0000-0000-0000654E0000}"/>
    <cellStyle name="Normal 237 2 3 6" xfId="20326" xr:uid="{00000000-0005-0000-0000-0000664E0000}"/>
    <cellStyle name="Normal 237 2 4" xfId="20327" xr:uid="{00000000-0005-0000-0000-0000674E0000}"/>
    <cellStyle name="Normal 237 2 4 2" xfId="20328" xr:uid="{00000000-0005-0000-0000-0000684E0000}"/>
    <cellStyle name="Normal 237 2 4 2 2" xfId="20329" xr:uid="{00000000-0005-0000-0000-0000694E0000}"/>
    <cellStyle name="Normal 237 2 4 3" xfId="20330" xr:uid="{00000000-0005-0000-0000-00006A4E0000}"/>
    <cellStyle name="Normal 237 2 5" xfId="20331" xr:uid="{00000000-0005-0000-0000-00006B4E0000}"/>
    <cellStyle name="Normal 237 2 5 2" xfId="20332" xr:uid="{00000000-0005-0000-0000-00006C4E0000}"/>
    <cellStyle name="Normal 237 2 5 2 2" xfId="20333" xr:uid="{00000000-0005-0000-0000-00006D4E0000}"/>
    <cellStyle name="Normal 237 2 5 3" xfId="20334" xr:uid="{00000000-0005-0000-0000-00006E4E0000}"/>
    <cellStyle name="Normal 237 2 6" xfId="20335" xr:uid="{00000000-0005-0000-0000-00006F4E0000}"/>
    <cellStyle name="Normal 237 2 6 2" xfId="20336" xr:uid="{00000000-0005-0000-0000-0000704E0000}"/>
    <cellStyle name="Normal 237 2 6 2 2" xfId="20337" xr:uid="{00000000-0005-0000-0000-0000714E0000}"/>
    <cellStyle name="Normal 237 2 6 3" xfId="20338" xr:uid="{00000000-0005-0000-0000-0000724E0000}"/>
    <cellStyle name="Normal 237 2 7" xfId="20339" xr:uid="{00000000-0005-0000-0000-0000734E0000}"/>
    <cellStyle name="Normal 237 3" xfId="20340" xr:uid="{00000000-0005-0000-0000-0000744E0000}"/>
    <cellStyle name="Normal 237 3 2" xfId="20341" xr:uid="{00000000-0005-0000-0000-0000754E0000}"/>
    <cellStyle name="Normal 237 3 2 2" xfId="20342" xr:uid="{00000000-0005-0000-0000-0000764E0000}"/>
    <cellStyle name="Normal 237 3 3" xfId="20343" xr:uid="{00000000-0005-0000-0000-0000774E0000}"/>
    <cellStyle name="Normal 237 3 3 2" xfId="20344" xr:uid="{00000000-0005-0000-0000-0000784E0000}"/>
    <cellStyle name="Normal 237 3 3 2 2" xfId="20345" xr:uid="{00000000-0005-0000-0000-0000794E0000}"/>
    <cellStyle name="Normal 237 3 3 3" xfId="20346" xr:uid="{00000000-0005-0000-0000-00007A4E0000}"/>
    <cellStyle name="Normal 237 3 4" xfId="20347" xr:uid="{00000000-0005-0000-0000-00007B4E0000}"/>
    <cellStyle name="Normal 237 3 4 2" xfId="20348" xr:uid="{00000000-0005-0000-0000-00007C4E0000}"/>
    <cellStyle name="Normal 237 3 4 2 2" xfId="20349" xr:uid="{00000000-0005-0000-0000-00007D4E0000}"/>
    <cellStyle name="Normal 237 3 4 3" xfId="20350" xr:uid="{00000000-0005-0000-0000-00007E4E0000}"/>
    <cellStyle name="Normal 237 3 5" xfId="20351" xr:uid="{00000000-0005-0000-0000-00007F4E0000}"/>
    <cellStyle name="Normal 237 4" xfId="20352" xr:uid="{00000000-0005-0000-0000-0000804E0000}"/>
    <cellStyle name="Normal 237 4 2" xfId="20353" xr:uid="{00000000-0005-0000-0000-0000814E0000}"/>
    <cellStyle name="Normal 237 4 2 2" xfId="20354" xr:uid="{00000000-0005-0000-0000-0000824E0000}"/>
    <cellStyle name="Normal 237 4 2 2 2" xfId="20355" xr:uid="{00000000-0005-0000-0000-0000834E0000}"/>
    <cellStyle name="Normal 237 4 2 3" xfId="20356" xr:uid="{00000000-0005-0000-0000-0000844E0000}"/>
    <cellStyle name="Normal 237 4 2 3 2" xfId="20357" xr:uid="{00000000-0005-0000-0000-0000854E0000}"/>
    <cellStyle name="Normal 237 4 2 3 2 2" xfId="20358" xr:uid="{00000000-0005-0000-0000-0000864E0000}"/>
    <cellStyle name="Normal 237 4 2 3 3" xfId="20359" xr:uid="{00000000-0005-0000-0000-0000874E0000}"/>
    <cellStyle name="Normal 237 4 2 4" xfId="20360" xr:uid="{00000000-0005-0000-0000-0000884E0000}"/>
    <cellStyle name="Normal 237 4 3" xfId="20361" xr:uid="{00000000-0005-0000-0000-0000894E0000}"/>
    <cellStyle name="Normal 237 4 3 2" xfId="20362" xr:uid="{00000000-0005-0000-0000-00008A4E0000}"/>
    <cellStyle name="Normal 237 4 3 2 2" xfId="20363" xr:uid="{00000000-0005-0000-0000-00008B4E0000}"/>
    <cellStyle name="Normal 237 4 3 3" xfId="20364" xr:uid="{00000000-0005-0000-0000-00008C4E0000}"/>
    <cellStyle name="Normal 237 4 4" xfId="20365" xr:uid="{00000000-0005-0000-0000-00008D4E0000}"/>
    <cellStyle name="Normal 237 4 4 2" xfId="20366" xr:uid="{00000000-0005-0000-0000-00008E4E0000}"/>
    <cellStyle name="Normal 237 4 4 2 2" xfId="20367" xr:uid="{00000000-0005-0000-0000-00008F4E0000}"/>
    <cellStyle name="Normal 237 4 4 3" xfId="20368" xr:uid="{00000000-0005-0000-0000-0000904E0000}"/>
    <cellStyle name="Normal 237 4 5" xfId="20369" xr:uid="{00000000-0005-0000-0000-0000914E0000}"/>
    <cellStyle name="Normal 237 4 5 2" xfId="20370" xr:uid="{00000000-0005-0000-0000-0000924E0000}"/>
    <cellStyle name="Normal 237 4 5 2 2" xfId="20371" xr:uid="{00000000-0005-0000-0000-0000934E0000}"/>
    <cellStyle name="Normal 237 4 5 3" xfId="20372" xr:uid="{00000000-0005-0000-0000-0000944E0000}"/>
    <cellStyle name="Normal 237 4 6" xfId="20373" xr:uid="{00000000-0005-0000-0000-0000954E0000}"/>
    <cellStyle name="Normal 237 5" xfId="20374" xr:uid="{00000000-0005-0000-0000-0000964E0000}"/>
    <cellStyle name="Normal 237 5 2" xfId="20375" xr:uid="{00000000-0005-0000-0000-0000974E0000}"/>
    <cellStyle name="Normal 237 5 2 2" xfId="20376" xr:uid="{00000000-0005-0000-0000-0000984E0000}"/>
    <cellStyle name="Normal 237 5 3" xfId="20377" xr:uid="{00000000-0005-0000-0000-0000994E0000}"/>
    <cellStyle name="Normal 237 6" xfId="20378" xr:uid="{00000000-0005-0000-0000-00009A4E0000}"/>
    <cellStyle name="Normal 237 6 2" xfId="20379" xr:uid="{00000000-0005-0000-0000-00009B4E0000}"/>
    <cellStyle name="Normal 237 6 2 2" xfId="20380" xr:uid="{00000000-0005-0000-0000-00009C4E0000}"/>
    <cellStyle name="Normal 237 6 3" xfId="20381" xr:uid="{00000000-0005-0000-0000-00009D4E0000}"/>
    <cellStyle name="Normal 237 7" xfId="20382" xr:uid="{00000000-0005-0000-0000-00009E4E0000}"/>
    <cellStyle name="Normal 237 7 2" xfId="20383" xr:uid="{00000000-0005-0000-0000-00009F4E0000}"/>
    <cellStyle name="Normal 237 7 2 2" xfId="20384" xr:uid="{00000000-0005-0000-0000-0000A04E0000}"/>
    <cellStyle name="Normal 237 7 3" xfId="20385" xr:uid="{00000000-0005-0000-0000-0000A14E0000}"/>
    <cellStyle name="Normal 237 8" xfId="20386" xr:uid="{00000000-0005-0000-0000-0000A24E0000}"/>
    <cellStyle name="Normal 238" xfId="20387" xr:uid="{00000000-0005-0000-0000-0000A34E0000}"/>
    <cellStyle name="Normal 238 2" xfId="20388" xr:uid="{00000000-0005-0000-0000-0000A44E0000}"/>
    <cellStyle name="Normal 238 2 2" xfId="20389" xr:uid="{00000000-0005-0000-0000-0000A54E0000}"/>
    <cellStyle name="Normal 238 2 2 2" xfId="20390" xr:uid="{00000000-0005-0000-0000-0000A64E0000}"/>
    <cellStyle name="Normal 238 2 2 2 2" xfId="20391" xr:uid="{00000000-0005-0000-0000-0000A74E0000}"/>
    <cellStyle name="Normal 238 2 2 3" xfId="20392" xr:uid="{00000000-0005-0000-0000-0000A84E0000}"/>
    <cellStyle name="Normal 238 2 2 3 2" xfId="20393" xr:uid="{00000000-0005-0000-0000-0000A94E0000}"/>
    <cellStyle name="Normal 238 2 2 3 2 2" xfId="20394" xr:uid="{00000000-0005-0000-0000-0000AA4E0000}"/>
    <cellStyle name="Normal 238 2 2 3 3" xfId="20395" xr:uid="{00000000-0005-0000-0000-0000AB4E0000}"/>
    <cellStyle name="Normal 238 2 2 4" xfId="20396" xr:uid="{00000000-0005-0000-0000-0000AC4E0000}"/>
    <cellStyle name="Normal 238 2 2 4 2" xfId="20397" xr:uid="{00000000-0005-0000-0000-0000AD4E0000}"/>
    <cellStyle name="Normal 238 2 2 4 2 2" xfId="20398" xr:uid="{00000000-0005-0000-0000-0000AE4E0000}"/>
    <cellStyle name="Normal 238 2 2 4 3" xfId="20399" xr:uid="{00000000-0005-0000-0000-0000AF4E0000}"/>
    <cellStyle name="Normal 238 2 2 5" xfId="20400" xr:uid="{00000000-0005-0000-0000-0000B04E0000}"/>
    <cellStyle name="Normal 238 2 3" xfId="20401" xr:uid="{00000000-0005-0000-0000-0000B14E0000}"/>
    <cellStyle name="Normal 238 2 3 2" xfId="20402" xr:uid="{00000000-0005-0000-0000-0000B24E0000}"/>
    <cellStyle name="Normal 238 2 3 2 2" xfId="20403" xr:uid="{00000000-0005-0000-0000-0000B34E0000}"/>
    <cellStyle name="Normal 238 2 3 2 2 2" xfId="20404" xr:uid="{00000000-0005-0000-0000-0000B44E0000}"/>
    <cellStyle name="Normal 238 2 3 2 3" xfId="20405" xr:uid="{00000000-0005-0000-0000-0000B54E0000}"/>
    <cellStyle name="Normal 238 2 3 2 3 2" xfId="20406" xr:uid="{00000000-0005-0000-0000-0000B64E0000}"/>
    <cellStyle name="Normal 238 2 3 2 3 2 2" xfId="20407" xr:uid="{00000000-0005-0000-0000-0000B74E0000}"/>
    <cellStyle name="Normal 238 2 3 2 3 3" xfId="20408" xr:uid="{00000000-0005-0000-0000-0000B84E0000}"/>
    <cellStyle name="Normal 238 2 3 2 4" xfId="20409" xr:uid="{00000000-0005-0000-0000-0000B94E0000}"/>
    <cellStyle name="Normal 238 2 3 3" xfId="20410" xr:uid="{00000000-0005-0000-0000-0000BA4E0000}"/>
    <cellStyle name="Normal 238 2 3 3 2" xfId="20411" xr:uid="{00000000-0005-0000-0000-0000BB4E0000}"/>
    <cellStyle name="Normal 238 2 3 3 2 2" xfId="20412" xr:uid="{00000000-0005-0000-0000-0000BC4E0000}"/>
    <cellStyle name="Normal 238 2 3 3 3" xfId="20413" xr:uid="{00000000-0005-0000-0000-0000BD4E0000}"/>
    <cellStyle name="Normal 238 2 3 4" xfId="20414" xr:uid="{00000000-0005-0000-0000-0000BE4E0000}"/>
    <cellStyle name="Normal 238 2 3 4 2" xfId="20415" xr:uid="{00000000-0005-0000-0000-0000BF4E0000}"/>
    <cellStyle name="Normal 238 2 3 4 2 2" xfId="20416" xr:uid="{00000000-0005-0000-0000-0000C04E0000}"/>
    <cellStyle name="Normal 238 2 3 4 3" xfId="20417" xr:uid="{00000000-0005-0000-0000-0000C14E0000}"/>
    <cellStyle name="Normal 238 2 3 5" xfId="20418" xr:uid="{00000000-0005-0000-0000-0000C24E0000}"/>
    <cellStyle name="Normal 238 2 3 5 2" xfId="20419" xr:uid="{00000000-0005-0000-0000-0000C34E0000}"/>
    <cellStyle name="Normal 238 2 3 5 2 2" xfId="20420" xr:uid="{00000000-0005-0000-0000-0000C44E0000}"/>
    <cellStyle name="Normal 238 2 3 5 3" xfId="20421" xr:uid="{00000000-0005-0000-0000-0000C54E0000}"/>
    <cellStyle name="Normal 238 2 3 6" xfId="20422" xr:uid="{00000000-0005-0000-0000-0000C64E0000}"/>
    <cellStyle name="Normal 238 2 4" xfId="20423" xr:uid="{00000000-0005-0000-0000-0000C74E0000}"/>
    <cellStyle name="Normal 238 2 4 2" xfId="20424" xr:uid="{00000000-0005-0000-0000-0000C84E0000}"/>
    <cellStyle name="Normal 238 2 4 2 2" xfId="20425" xr:uid="{00000000-0005-0000-0000-0000C94E0000}"/>
    <cellStyle name="Normal 238 2 4 3" xfId="20426" xr:uid="{00000000-0005-0000-0000-0000CA4E0000}"/>
    <cellStyle name="Normal 238 2 5" xfId="20427" xr:uid="{00000000-0005-0000-0000-0000CB4E0000}"/>
    <cellStyle name="Normal 238 2 5 2" xfId="20428" xr:uid="{00000000-0005-0000-0000-0000CC4E0000}"/>
    <cellStyle name="Normal 238 2 5 2 2" xfId="20429" xr:uid="{00000000-0005-0000-0000-0000CD4E0000}"/>
    <cellStyle name="Normal 238 2 5 3" xfId="20430" xr:uid="{00000000-0005-0000-0000-0000CE4E0000}"/>
    <cellStyle name="Normal 238 2 6" xfId="20431" xr:uid="{00000000-0005-0000-0000-0000CF4E0000}"/>
    <cellStyle name="Normal 238 2 6 2" xfId="20432" xr:uid="{00000000-0005-0000-0000-0000D04E0000}"/>
    <cellStyle name="Normal 238 2 6 2 2" xfId="20433" xr:uid="{00000000-0005-0000-0000-0000D14E0000}"/>
    <cellStyle name="Normal 238 2 6 3" xfId="20434" xr:uid="{00000000-0005-0000-0000-0000D24E0000}"/>
    <cellStyle name="Normal 238 2 7" xfId="20435" xr:uid="{00000000-0005-0000-0000-0000D34E0000}"/>
    <cellStyle name="Normal 238 3" xfId="20436" xr:uid="{00000000-0005-0000-0000-0000D44E0000}"/>
    <cellStyle name="Normal 238 3 2" xfId="20437" xr:uid="{00000000-0005-0000-0000-0000D54E0000}"/>
    <cellStyle name="Normal 238 3 2 2" xfId="20438" xr:uid="{00000000-0005-0000-0000-0000D64E0000}"/>
    <cellStyle name="Normal 238 3 3" xfId="20439" xr:uid="{00000000-0005-0000-0000-0000D74E0000}"/>
    <cellStyle name="Normal 238 3 3 2" xfId="20440" xr:uid="{00000000-0005-0000-0000-0000D84E0000}"/>
    <cellStyle name="Normal 238 3 3 2 2" xfId="20441" xr:uid="{00000000-0005-0000-0000-0000D94E0000}"/>
    <cellStyle name="Normal 238 3 3 3" xfId="20442" xr:uid="{00000000-0005-0000-0000-0000DA4E0000}"/>
    <cellStyle name="Normal 238 3 4" xfId="20443" xr:uid="{00000000-0005-0000-0000-0000DB4E0000}"/>
    <cellStyle name="Normal 238 3 4 2" xfId="20444" xr:uid="{00000000-0005-0000-0000-0000DC4E0000}"/>
    <cellStyle name="Normal 238 3 4 2 2" xfId="20445" xr:uid="{00000000-0005-0000-0000-0000DD4E0000}"/>
    <cellStyle name="Normal 238 3 4 3" xfId="20446" xr:uid="{00000000-0005-0000-0000-0000DE4E0000}"/>
    <cellStyle name="Normal 238 3 5" xfId="20447" xr:uid="{00000000-0005-0000-0000-0000DF4E0000}"/>
    <cellStyle name="Normal 238 4" xfId="20448" xr:uid="{00000000-0005-0000-0000-0000E04E0000}"/>
    <cellStyle name="Normal 238 4 2" xfId="20449" xr:uid="{00000000-0005-0000-0000-0000E14E0000}"/>
    <cellStyle name="Normal 238 4 2 2" xfId="20450" xr:uid="{00000000-0005-0000-0000-0000E24E0000}"/>
    <cellStyle name="Normal 238 4 2 2 2" xfId="20451" xr:uid="{00000000-0005-0000-0000-0000E34E0000}"/>
    <cellStyle name="Normal 238 4 2 3" xfId="20452" xr:uid="{00000000-0005-0000-0000-0000E44E0000}"/>
    <cellStyle name="Normal 238 4 2 3 2" xfId="20453" xr:uid="{00000000-0005-0000-0000-0000E54E0000}"/>
    <cellStyle name="Normal 238 4 2 3 2 2" xfId="20454" xr:uid="{00000000-0005-0000-0000-0000E64E0000}"/>
    <cellStyle name="Normal 238 4 2 3 3" xfId="20455" xr:uid="{00000000-0005-0000-0000-0000E74E0000}"/>
    <cellStyle name="Normal 238 4 2 4" xfId="20456" xr:uid="{00000000-0005-0000-0000-0000E84E0000}"/>
    <cellStyle name="Normal 238 4 3" xfId="20457" xr:uid="{00000000-0005-0000-0000-0000E94E0000}"/>
    <cellStyle name="Normal 238 4 3 2" xfId="20458" xr:uid="{00000000-0005-0000-0000-0000EA4E0000}"/>
    <cellStyle name="Normal 238 4 3 2 2" xfId="20459" xr:uid="{00000000-0005-0000-0000-0000EB4E0000}"/>
    <cellStyle name="Normal 238 4 3 3" xfId="20460" xr:uid="{00000000-0005-0000-0000-0000EC4E0000}"/>
    <cellStyle name="Normal 238 4 4" xfId="20461" xr:uid="{00000000-0005-0000-0000-0000ED4E0000}"/>
    <cellStyle name="Normal 238 4 4 2" xfId="20462" xr:uid="{00000000-0005-0000-0000-0000EE4E0000}"/>
    <cellStyle name="Normal 238 4 4 2 2" xfId="20463" xr:uid="{00000000-0005-0000-0000-0000EF4E0000}"/>
    <cellStyle name="Normal 238 4 4 3" xfId="20464" xr:uid="{00000000-0005-0000-0000-0000F04E0000}"/>
    <cellStyle name="Normal 238 4 5" xfId="20465" xr:uid="{00000000-0005-0000-0000-0000F14E0000}"/>
    <cellStyle name="Normal 238 4 5 2" xfId="20466" xr:uid="{00000000-0005-0000-0000-0000F24E0000}"/>
    <cellStyle name="Normal 238 4 5 2 2" xfId="20467" xr:uid="{00000000-0005-0000-0000-0000F34E0000}"/>
    <cellStyle name="Normal 238 4 5 3" xfId="20468" xr:uid="{00000000-0005-0000-0000-0000F44E0000}"/>
    <cellStyle name="Normal 238 4 6" xfId="20469" xr:uid="{00000000-0005-0000-0000-0000F54E0000}"/>
    <cellStyle name="Normal 238 5" xfId="20470" xr:uid="{00000000-0005-0000-0000-0000F64E0000}"/>
    <cellStyle name="Normal 238 5 2" xfId="20471" xr:uid="{00000000-0005-0000-0000-0000F74E0000}"/>
    <cellStyle name="Normal 238 5 2 2" xfId="20472" xr:uid="{00000000-0005-0000-0000-0000F84E0000}"/>
    <cellStyle name="Normal 238 5 3" xfId="20473" xr:uid="{00000000-0005-0000-0000-0000F94E0000}"/>
    <cellStyle name="Normal 238 6" xfId="20474" xr:uid="{00000000-0005-0000-0000-0000FA4E0000}"/>
    <cellStyle name="Normal 238 6 2" xfId="20475" xr:uid="{00000000-0005-0000-0000-0000FB4E0000}"/>
    <cellStyle name="Normal 238 6 2 2" xfId="20476" xr:uid="{00000000-0005-0000-0000-0000FC4E0000}"/>
    <cellStyle name="Normal 238 6 3" xfId="20477" xr:uid="{00000000-0005-0000-0000-0000FD4E0000}"/>
    <cellStyle name="Normal 238 7" xfId="20478" xr:uid="{00000000-0005-0000-0000-0000FE4E0000}"/>
    <cellStyle name="Normal 238 7 2" xfId="20479" xr:uid="{00000000-0005-0000-0000-0000FF4E0000}"/>
    <cellStyle name="Normal 238 7 2 2" xfId="20480" xr:uid="{00000000-0005-0000-0000-0000004F0000}"/>
    <cellStyle name="Normal 238 7 3" xfId="20481" xr:uid="{00000000-0005-0000-0000-0000014F0000}"/>
    <cellStyle name="Normal 238 8" xfId="20482" xr:uid="{00000000-0005-0000-0000-0000024F0000}"/>
    <cellStyle name="Normal 239" xfId="20483" xr:uid="{00000000-0005-0000-0000-0000034F0000}"/>
    <cellStyle name="Normal 239 2" xfId="20484" xr:uid="{00000000-0005-0000-0000-0000044F0000}"/>
    <cellStyle name="Normal 239 2 2" xfId="20485" xr:uid="{00000000-0005-0000-0000-0000054F0000}"/>
    <cellStyle name="Normal 239 2 2 2" xfId="20486" xr:uid="{00000000-0005-0000-0000-0000064F0000}"/>
    <cellStyle name="Normal 239 2 2 2 2" xfId="20487" xr:uid="{00000000-0005-0000-0000-0000074F0000}"/>
    <cellStyle name="Normal 239 2 2 3" xfId="20488" xr:uid="{00000000-0005-0000-0000-0000084F0000}"/>
    <cellStyle name="Normal 239 2 2 3 2" xfId="20489" xr:uid="{00000000-0005-0000-0000-0000094F0000}"/>
    <cellStyle name="Normal 239 2 2 3 2 2" xfId="20490" xr:uid="{00000000-0005-0000-0000-00000A4F0000}"/>
    <cellStyle name="Normal 239 2 2 3 3" xfId="20491" xr:uid="{00000000-0005-0000-0000-00000B4F0000}"/>
    <cellStyle name="Normal 239 2 2 4" xfId="20492" xr:uid="{00000000-0005-0000-0000-00000C4F0000}"/>
    <cellStyle name="Normal 239 2 2 4 2" xfId="20493" xr:uid="{00000000-0005-0000-0000-00000D4F0000}"/>
    <cellStyle name="Normal 239 2 2 4 2 2" xfId="20494" xr:uid="{00000000-0005-0000-0000-00000E4F0000}"/>
    <cellStyle name="Normal 239 2 2 4 3" xfId="20495" xr:uid="{00000000-0005-0000-0000-00000F4F0000}"/>
    <cellStyle name="Normal 239 2 2 5" xfId="20496" xr:uid="{00000000-0005-0000-0000-0000104F0000}"/>
    <cellStyle name="Normal 239 2 3" xfId="20497" xr:uid="{00000000-0005-0000-0000-0000114F0000}"/>
    <cellStyle name="Normal 239 2 3 2" xfId="20498" xr:uid="{00000000-0005-0000-0000-0000124F0000}"/>
    <cellStyle name="Normal 239 2 3 2 2" xfId="20499" xr:uid="{00000000-0005-0000-0000-0000134F0000}"/>
    <cellStyle name="Normal 239 2 3 2 2 2" xfId="20500" xr:uid="{00000000-0005-0000-0000-0000144F0000}"/>
    <cellStyle name="Normal 239 2 3 2 3" xfId="20501" xr:uid="{00000000-0005-0000-0000-0000154F0000}"/>
    <cellStyle name="Normal 239 2 3 2 3 2" xfId="20502" xr:uid="{00000000-0005-0000-0000-0000164F0000}"/>
    <cellStyle name="Normal 239 2 3 2 3 2 2" xfId="20503" xr:uid="{00000000-0005-0000-0000-0000174F0000}"/>
    <cellStyle name="Normal 239 2 3 2 3 3" xfId="20504" xr:uid="{00000000-0005-0000-0000-0000184F0000}"/>
    <cellStyle name="Normal 239 2 3 2 4" xfId="20505" xr:uid="{00000000-0005-0000-0000-0000194F0000}"/>
    <cellStyle name="Normal 239 2 3 3" xfId="20506" xr:uid="{00000000-0005-0000-0000-00001A4F0000}"/>
    <cellStyle name="Normal 239 2 3 3 2" xfId="20507" xr:uid="{00000000-0005-0000-0000-00001B4F0000}"/>
    <cellStyle name="Normal 239 2 3 3 2 2" xfId="20508" xr:uid="{00000000-0005-0000-0000-00001C4F0000}"/>
    <cellStyle name="Normal 239 2 3 3 3" xfId="20509" xr:uid="{00000000-0005-0000-0000-00001D4F0000}"/>
    <cellStyle name="Normal 239 2 3 4" xfId="20510" xr:uid="{00000000-0005-0000-0000-00001E4F0000}"/>
    <cellStyle name="Normal 239 2 3 4 2" xfId="20511" xr:uid="{00000000-0005-0000-0000-00001F4F0000}"/>
    <cellStyle name="Normal 239 2 3 4 2 2" xfId="20512" xr:uid="{00000000-0005-0000-0000-0000204F0000}"/>
    <cellStyle name="Normal 239 2 3 4 3" xfId="20513" xr:uid="{00000000-0005-0000-0000-0000214F0000}"/>
    <cellStyle name="Normal 239 2 3 5" xfId="20514" xr:uid="{00000000-0005-0000-0000-0000224F0000}"/>
    <cellStyle name="Normal 239 2 3 5 2" xfId="20515" xr:uid="{00000000-0005-0000-0000-0000234F0000}"/>
    <cellStyle name="Normal 239 2 3 5 2 2" xfId="20516" xr:uid="{00000000-0005-0000-0000-0000244F0000}"/>
    <cellStyle name="Normal 239 2 3 5 3" xfId="20517" xr:uid="{00000000-0005-0000-0000-0000254F0000}"/>
    <cellStyle name="Normal 239 2 3 6" xfId="20518" xr:uid="{00000000-0005-0000-0000-0000264F0000}"/>
    <cellStyle name="Normal 239 2 4" xfId="20519" xr:uid="{00000000-0005-0000-0000-0000274F0000}"/>
    <cellStyle name="Normal 239 2 4 2" xfId="20520" xr:uid="{00000000-0005-0000-0000-0000284F0000}"/>
    <cellStyle name="Normal 239 2 4 2 2" xfId="20521" xr:uid="{00000000-0005-0000-0000-0000294F0000}"/>
    <cellStyle name="Normal 239 2 4 3" xfId="20522" xr:uid="{00000000-0005-0000-0000-00002A4F0000}"/>
    <cellStyle name="Normal 239 2 5" xfId="20523" xr:uid="{00000000-0005-0000-0000-00002B4F0000}"/>
    <cellStyle name="Normal 239 2 5 2" xfId="20524" xr:uid="{00000000-0005-0000-0000-00002C4F0000}"/>
    <cellStyle name="Normal 239 2 5 2 2" xfId="20525" xr:uid="{00000000-0005-0000-0000-00002D4F0000}"/>
    <cellStyle name="Normal 239 2 5 3" xfId="20526" xr:uid="{00000000-0005-0000-0000-00002E4F0000}"/>
    <cellStyle name="Normal 239 2 6" xfId="20527" xr:uid="{00000000-0005-0000-0000-00002F4F0000}"/>
    <cellStyle name="Normal 239 2 6 2" xfId="20528" xr:uid="{00000000-0005-0000-0000-0000304F0000}"/>
    <cellStyle name="Normal 239 2 6 2 2" xfId="20529" xr:uid="{00000000-0005-0000-0000-0000314F0000}"/>
    <cellStyle name="Normal 239 2 6 3" xfId="20530" xr:uid="{00000000-0005-0000-0000-0000324F0000}"/>
    <cellStyle name="Normal 239 2 7" xfId="20531" xr:uid="{00000000-0005-0000-0000-0000334F0000}"/>
    <cellStyle name="Normal 239 3" xfId="20532" xr:uid="{00000000-0005-0000-0000-0000344F0000}"/>
    <cellStyle name="Normal 239 3 2" xfId="20533" xr:uid="{00000000-0005-0000-0000-0000354F0000}"/>
    <cellStyle name="Normal 239 3 2 2" xfId="20534" xr:uid="{00000000-0005-0000-0000-0000364F0000}"/>
    <cellStyle name="Normal 239 3 3" xfId="20535" xr:uid="{00000000-0005-0000-0000-0000374F0000}"/>
    <cellStyle name="Normal 239 3 3 2" xfId="20536" xr:uid="{00000000-0005-0000-0000-0000384F0000}"/>
    <cellStyle name="Normal 239 3 3 2 2" xfId="20537" xr:uid="{00000000-0005-0000-0000-0000394F0000}"/>
    <cellStyle name="Normal 239 3 3 3" xfId="20538" xr:uid="{00000000-0005-0000-0000-00003A4F0000}"/>
    <cellStyle name="Normal 239 3 4" xfId="20539" xr:uid="{00000000-0005-0000-0000-00003B4F0000}"/>
    <cellStyle name="Normal 239 3 4 2" xfId="20540" xr:uid="{00000000-0005-0000-0000-00003C4F0000}"/>
    <cellStyle name="Normal 239 3 4 2 2" xfId="20541" xr:uid="{00000000-0005-0000-0000-00003D4F0000}"/>
    <cellStyle name="Normal 239 3 4 3" xfId="20542" xr:uid="{00000000-0005-0000-0000-00003E4F0000}"/>
    <cellStyle name="Normal 239 3 5" xfId="20543" xr:uid="{00000000-0005-0000-0000-00003F4F0000}"/>
    <cellStyle name="Normal 239 4" xfId="20544" xr:uid="{00000000-0005-0000-0000-0000404F0000}"/>
    <cellStyle name="Normal 239 4 2" xfId="20545" xr:uid="{00000000-0005-0000-0000-0000414F0000}"/>
    <cellStyle name="Normal 239 4 2 2" xfId="20546" xr:uid="{00000000-0005-0000-0000-0000424F0000}"/>
    <cellStyle name="Normal 239 4 2 2 2" xfId="20547" xr:uid="{00000000-0005-0000-0000-0000434F0000}"/>
    <cellStyle name="Normal 239 4 2 3" xfId="20548" xr:uid="{00000000-0005-0000-0000-0000444F0000}"/>
    <cellStyle name="Normal 239 4 2 3 2" xfId="20549" xr:uid="{00000000-0005-0000-0000-0000454F0000}"/>
    <cellStyle name="Normal 239 4 2 3 2 2" xfId="20550" xr:uid="{00000000-0005-0000-0000-0000464F0000}"/>
    <cellStyle name="Normal 239 4 2 3 3" xfId="20551" xr:uid="{00000000-0005-0000-0000-0000474F0000}"/>
    <cellStyle name="Normal 239 4 2 4" xfId="20552" xr:uid="{00000000-0005-0000-0000-0000484F0000}"/>
    <cellStyle name="Normal 239 4 3" xfId="20553" xr:uid="{00000000-0005-0000-0000-0000494F0000}"/>
    <cellStyle name="Normal 239 4 3 2" xfId="20554" xr:uid="{00000000-0005-0000-0000-00004A4F0000}"/>
    <cellStyle name="Normal 239 4 3 2 2" xfId="20555" xr:uid="{00000000-0005-0000-0000-00004B4F0000}"/>
    <cellStyle name="Normal 239 4 3 3" xfId="20556" xr:uid="{00000000-0005-0000-0000-00004C4F0000}"/>
    <cellStyle name="Normal 239 4 4" xfId="20557" xr:uid="{00000000-0005-0000-0000-00004D4F0000}"/>
    <cellStyle name="Normal 239 4 4 2" xfId="20558" xr:uid="{00000000-0005-0000-0000-00004E4F0000}"/>
    <cellStyle name="Normal 239 4 4 2 2" xfId="20559" xr:uid="{00000000-0005-0000-0000-00004F4F0000}"/>
    <cellStyle name="Normal 239 4 4 3" xfId="20560" xr:uid="{00000000-0005-0000-0000-0000504F0000}"/>
    <cellStyle name="Normal 239 4 5" xfId="20561" xr:uid="{00000000-0005-0000-0000-0000514F0000}"/>
    <cellStyle name="Normal 239 4 5 2" xfId="20562" xr:uid="{00000000-0005-0000-0000-0000524F0000}"/>
    <cellStyle name="Normal 239 4 5 2 2" xfId="20563" xr:uid="{00000000-0005-0000-0000-0000534F0000}"/>
    <cellStyle name="Normal 239 4 5 3" xfId="20564" xr:uid="{00000000-0005-0000-0000-0000544F0000}"/>
    <cellStyle name="Normal 239 4 6" xfId="20565" xr:uid="{00000000-0005-0000-0000-0000554F0000}"/>
    <cellStyle name="Normal 239 5" xfId="20566" xr:uid="{00000000-0005-0000-0000-0000564F0000}"/>
    <cellStyle name="Normal 239 5 2" xfId="20567" xr:uid="{00000000-0005-0000-0000-0000574F0000}"/>
    <cellStyle name="Normal 239 5 2 2" xfId="20568" xr:uid="{00000000-0005-0000-0000-0000584F0000}"/>
    <cellStyle name="Normal 239 5 3" xfId="20569" xr:uid="{00000000-0005-0000-0000-0000594F0000}"/>
    <cellStyle name="Normal 239 6" xfId="20570" xr:uid="{00000000-0005-0000-0000-00005A4F0000}"/>
    <cellStyle name="Normal 239 6 2" xfId="20571" xr:uid="{00000000-0005-0000-0000-00005B4F0000}"/>
    <cellStyle name="Normal 239 6 2 2" xfId="20572" xr:uid="{00000000-0005-0000-0000-00005C4F0000}"/>
    <cellStyle name="Normal 239 6 3" xfId="20573" xr:uid="{00000000-0005-0000-0000-00005D4F0000}"/>
    <cellStyle name="Normal 239 7" xfId="20574" xr:uid="{00000000-0005-0000-0000-00005E4F0000}"/>
    <cellStyle name="Normal 239 7 2" xfId="20575" xr:uid="{00000000-0005-0000-0000-00005F4F0000}"/>
    <cellStyle name="Normal 239 7 2 2" xfId="20576" xr:uid="{00000000-0005-0000-0000-0000604F0000}"/>
    <cellStyle name="Normal 239 7 3" xfId="20577" xr:uid="{00000000-0005-0000-0000-0000614F0000}"/>
    <cellStyle name="Normal 239 8" xfId="20578" xr:uid="{00000000-0005-0000-0000-0000624F0000}"/>
    <cellStyle name="Normal 24" xfId="20579" xr:uid="{00000000-0005-0000-0000-0000634F0000}"/>
    <cellStyle name="Normal 24 2" xfId="20580" xr:uid="{00000000-0005-0000-0000-0000644F0000}"/>
    <cellStyle name="Normal 24 2 2" xfId="20581" xr:uid="{00000000-0005-0000-0000-0000654F0000}"/>
    <cellStyle name="Normal 24 2 2 2" xfId="20582" xr:uid="{00000000-0005-0000-0000-0000664F0000}"/>
    <cellStyle name="Normal 24 2 2 2 2" xfId="20583" xr:uid="{00000000-0005-0000-0000-0000674F0000}"/>
    <cellStyle name="Normal 24 2 2 3" xfId="20584" xr:uid="{00000000-0005-0000-0000-0000684F0000}"/>
    <cellStyle name="Normal 24 2 2 3 2" xfId="20585" xr:uid="{00000000-0005-0000-0000-0000694F0000}"/>
    <cellStyle name="Normal 24 2 2 3 2 2" xfId="20586" xr:uid="{00000000-0005-0000-0000-00006A4F0000}"/>
    <cellStyle name="Normal 24 2 2 3 3" xfId="20587" xr:uid="{00000000-0005-0000-0000-00006B4F0000}"/>
    <cellStyle name="Normal 24 2 2 4" xfId="20588" xr:uid="{00000000-0005-0000-0000-00006C4F0000}"/>
    <cellStyle name="Normal 24 2 2 4 2" xfId="20589" xr:uid="{00000000-0005-0000-0000-00006D4F0000}"/>
    <cellStyle name="Normal 24 2 2 4 2 2" xfId="20590" xr:uid="{00000000-0005-0000-0000-00006E4F0000}"/>
    <cellStyle name="Normal 24 2 2 4 3" xfId="20591" xr:uid="{00000000-0005-0000-0000-00006F4F0000}"/>
    <cellStyle name="Normal 24 2 2 5" xfId="20592" xr:uid="{00000000-0005-0000-0000-0000704F0000}"/>
    <cellStyle name="Normal 24 2 3" xfId="20593" xr:uid="{00000000-0005-0000-0000-0000714F0000}"/>
    <cellStyle name="Normal 24 2 3 2" xfId="20594" xr:uid="{00000000-0005-0000-0000-0000724F0000}"/>
    <cellStyle name="Normal 24 2 3 2 2" xfId="20595" xr:uid="{00000000-0005-0000-0000-0000734F0000}"/>
    <cellStyle name="Normal 24 2 3 3" xfId="20596" xr:uid="{00000000-0005-0000-0000-0000744F0000}"/>
    <cellStyle name="Normal 24 2 4" xfId="20597" xr:uid="{00000000-0005-0000-0000-0000754F0000}"/>
    <cellStyle name="Normal 24 2 4 2" xfId="20598" xr:uid="{00000000-0005-0000-0000-0000764F0000}"/>
    <cellStyle name="Normal 24 2 4 2 2" xfId="20599" xr:uid="{00000000-0005-0000-0000-0000774F0000}"/>
    <cellStyle name="Normal 24 2 4 3" xfId="20600" xr:uid="{00000000-0005-0000-0000-0000784F0000}"/>
    <cellStyle name="Normal 24 2 5" xfId="20601" xr:uid="{00000000-0005-0000-0000-0000794F0000}"/>
    <cellStyle name="Normal 24 2 5 2" xfId="20602" xr:uid="{00000000-0005-0000-0000-00007A4F0000}"/>
    <cellStyle name="Normal 24 2 5 2 2" xfId="20603" xr:uid="{00000000-0005-0000-0000-00007B4F0000}"/>
    <cellStyle name="Normal 24 2 5 3" xfId="20604" xr:uid="{00000000-0005-0000-0000-00007C4F0000}"/>
    <cellStyle name="Normal 24 2 6" xfId="20605" xr:uid="{00000000-0005-0000-0000-00007D4F0000}"/>
    <cellStyle name="Normal 24 3" xfId="20606" xr:uid="{00000000-0005-0000-0000-00007E4F0000}"/>
    <cellStyle name="Normal 24 3 2" xfId="20607" xr:uid="{00000000-0005-0000-0000-00007F4F0000}"/>
    <cellStyle name="Normal 24 3 2 2" xfId="20608" xr:uid="{00000000-0005-0000-0000-0000804F0000}"/>
    <cellStyle name="Normal 24 3 3" xfId="20609" xr:uid="{00000000-0005-0000-0000-0000814F0000}"/>
    <cellStyle name="Normal 24 3 3 2" xfId="20610" xr:uid="{00000000-0005-0000-0000-0000824F0000}"/>
    <cellStyle name="Normal 24 3 3 2 2" xfId="20611" xr:uid="{00000000-0005-0000-0000-0000834F0000}"/>
    <cellStyle name="Normal 24 3 3 3" xfId="20612" xr:uid="{00000000-0005-0000-0000-0000844F0000}"/>
    <cellStyle name="Normal 24 3 4" xfId="20613" xr:uid="{00000000-0005-0000-0000-0000854F0000}"/>
    <cellStyle name="Normal 24 3 4 2" xfId="20614" xr:uid="{00000000-0005-0000-0000-0000864F0000}"/>
    <cellStyle name="Normal 24 3 4 2 2" xfId="20615" xr:uid="{00000000-0005-0000-0000-0000874F0000}"/>
    <cellStyle name="Normal 24 3 4 3" xfId="20616" xr:uid="{00000000-0005-0000-0000-0000884F0000}"/>
    <cellStyle name="Normal 24 3 5" xfId="20617" xr:uid="{00000000-0005-0000-0000-0000894F0000}"/>
    <cellStyle name="Normal 24 4" xfId="20618" xr:uid="{00000000-0005-0000-0000-00008A4F0000}"/>
    <cellStyle name="Normal 24 4 2" xfId="20619" xr:uid="{00000000-0005-0000-0000-00008B4F0000}"/>
    <cellStyle name="Normal 24 4 2 2" xfId="20620" xr:uid="{00000000-0005-0000-0000-00008C4F0000}"/>
    <cellStyle name="Normal 24 4 3" xfId="20621" xr:uid="{00000000-0005-0000-0000-00008D4F0000}"/>
    <cellStyle name="Normal 24 4 3 2" xfId="20622" xr:uid="{00000000-0005-0000-0000-00008E4F0000}"/>
    <cellStyle name="Normal 24 4 3 2 2" xfId="20623" xr:uid="{00000000-0005-0000-0000-00008F4F0000}"/>
    <cellStyle name="Normal 24 4 3 3" xfId="20624" xr:uid="{00000000-0005-0000-0000-0000904F0000}"/>
    <cellStyle name="Normal 24 4 4" xfId="20625" xr:uid="{00000000-0005-0000-0000-0000914F0000}"/>
    <cellStyle name="Normal 24 4 4 2" xfId="20626" xr:uid="{00000000-0005-0000-0000-0000924F0000}"/>
    <cellStyle name="Normal 24 4 4 2 2" xfId="20627" xr:uid="{00000000-0005-0000-0000-0000934F0000}"/>
    <cellStyle name="Normal 24 4 4 3" xfId="20628" xr:uid="{00000000-0005-0000-0000-0000944F0000}"/>
    <cellStyle name="Normal 24 4 5" xfId="20629" xr:uid="{00000000-0005-0000-0000-0000954F0000}"/>
    <cellStyle name="Normal 24 5" xfId="20630" xr:uid="{00000000-0005-0000-0000-0000964F0000}"/>
    <cellStyle name="Normal 24 5 2" xfId="20631" xr:uid="{00000000-0005-0000-0000-0000974F0000}"/>
    <cellStyle name="Normal 24 5 2 2" xfId="20632" xr:uid="{00000000-0005-0000-0000-0000984F0000}"/>
    <cellStyle name="Normal 24 5 3" xfId="20633" xr:uid="{00000000-0005-0000-0000-0000994F0000}"/>
    <cellStyle name="Normal 24 6" xfId="20634" xr:uid="{00000000-0005-0000-0000-00009A4F0000}"/>
    <cellStyle name="Normal 24 6 2" xfId="20635" xr:uid="{00000000-0005-0000-0000-00009B4F0000}"/>
    <cellStyle name="Normal 24 6 2 2" xfId="20636" xr:uid="{00000000-0005-0000-0000-00009C4F0000}"/>
    <cellStyle name="Normal 24 6 3" xfId="20637" xr:uid="{00000000-0005-0000-0000-00009D4F0000}"/>
    <cellStyle name="Normal 24 7" xfId="20638" xr:uid="{00000000-0005-0000-0000-00009E4F0000}"/>
    <cellStyle name="Normal 24 7 2" xfId="20639" xr:uid="{00000000-0005-0000-0000-00009F4F0000}"/>
    <cellStyle name="Normal 24 7 2 2" xfId="20640" xr:uid="{00000000-0005-0000-0000-0000A04F0000}"/>
    <cellStyle name="Normal 24 7 3" xfId="20641" xr:uid="{00000000-0005-0000-0000-0000A14F0000}"/>
    <cellStyle name="Normal 24 8" xfId="20642" xr:uid="{00000000-0005-0000-0000-0000A24F0000}"/>
    <cellStyle name="Normal 240" xfId="20643" xr:uid="{00000000-0005-0000-0000-0000A34F0000}"/>
    <cellStyle name="Normal 240 2" xfId="20644" xr:uid="{00000000-0005-0000-0000-0000A44F0000}"/>
    <cellStyle name="Normal 240 2 2" xfId="20645" xr:uid="{00000000-0005-0000-0000-0000A54F0000}"/>
    <cellStyle name="Normal 240 2 2 2" xfId="20646" xr:uid="{00000000-0005-0000-0000-0000A64F0000}"/>
    <cellStyle name="Normal 240 2 2 2 2" xfId="20647" xr:uid="{00000000-0005-0000-0000-0000A74F0000}"/>
    <cellStyle name="Normal 240 2 2 3" xfId="20648" xr:uid="{00000000-0005-0000-0000-0000A84F0000}"/>
    <cellStyle name="Normal 240 2 2 3 2" xfId="20649" xr:uid="{00000000-0005-0000-0000-0000A94F0000}"/>
    <cellStyle name="Normal 240 2 2 3 2 2" xfId="20650" xr:uid="{00000000-0005-0000-0000-0000AA4F0000}"/>
    <cellStyle name="Normal 240 2 2 3 3" xfId="20651" xr:uid="{00000000-0005-0000-0000-0000AB4F0000}"/>
    <cellStyle name="Normal 240 2 2 4" xfId="20652" xr:uid="{00000000-0005-0000-0000-0000AC4F0000}"/>
    <cellStyle name="Normal 240 2 2 4 2" xfId="20653" xr:uid="{00000000-0005-0000-0000-0000AD4F0000}"/>
    <cellStyle name="Normal 240 2 2 4 2 2" xfId="20654" xr:uid="{00000000-0005-0000-0000-0000AE4F0000}"/>
    <cellStyle name="Normal 240 2 2 4 3" xfId="20655" xr:uid="{00000000-0005-0000-0000-0000AF4F0000}"/>
    <cellStyle name="Normal 240 2 2 5" xfId="20656" xr:uid="{00000000-0005-0000-0000-0000B04F0000}"/>
    <cellStyle name="Normal 240 2 3" xfId="20657" xr:uid="{00000000-0005-0000-0000-0000B14F0000}"/>
    <cellStyle name="Normal 240 2 3 2" xfId="20658" xr:uid="{00000000-0005-0000-0000-0000B24F0000}"/>
    <cellStyle name="Normal 240 2 3 2 2" xfId="20659" xr:uid="{00000000-0005-0000-0000-0000B34F0000}"/>
    <cellStyle name="Normal 240 2 3 2 2 2" xfId="20660" xr:uid="{00000000-0005-0000-0000-0000B44F0000}"/>
    <cellStyle name="Normal 240 2 3 2 3" xfId="20661" xr:uid="{00000000-0005-0000-0000-0000B54F0000}"/>
    <cellStyle name="Normal 240 2 3 2 3 2" xfId="20662" xr:uid="{00000000-0005-0000-0000-0000B64F0000}"/>
    <cellStyle name="Normal 240 2 3 2 3 2 2" xfId="20663" xr:uid="{00000000-0005-0000-0000-0000B74F0000}"/>
    <cellStyle name="Normal 240 2 3 2 3 3" xfId="20664" xr:uid="{00000000-0005-0000-0000-0000B84F0000}"/>
    <cellStyle name="Normal 240 2 3 2 4" xfId="20665" xr:uid="{00000000-0005-0000-0000-0000B94F0000}"/>
    <cellStyle name="Normal 240 2 3 3" xfId="20666" xr:uid="{00000000-0005-0000-0000-0000BA4F0000}"/>
    <cellStyle name="Normal 240 2 3 3 2" xfId="20667" xr:uid="{00000000-0005-0000-0000-0000BB4F0000}"/>
    <cellStyle name="Normal 240 2 3 3 2 2" xfId="20668" xr:uid="{00000000-0005-0000-0000-0000BC4F0000}"/>
    <cellStyle name="Normal 240 2 3 3 3" xfId="20669" xr:uid="{00000000-0005-0000-0000-0000BD4F0000}"/>
    <cellStyle name="Normal 240 2 3 4" xfId="20670" xr:uid="{00000000-0005-0000-0000-0000BE4F0000}"/>
    <cellStyle name="Normal 240 2 3 4 2" xfId="20671" xr:uid="{00000000-0005-0000-0000-0000BF4F0000}"/>
    <cellStyle name="Normal 240 2 3 4 2 2" xfId="20672" xr:uid="{00000000-0005-0000-0000-0000C04F0000}"/>
    <cellStyle name="Normal 240 2 3 4 3" xfId="20673" xr:uid="{00000000-0005-0000-0000-0000C14F0000}"/>
    <cellStyle name="Normal 240 2 3 5" xfId="20674" xr:uid="{00000000-0005-0000-0000-0000C24F0000}"/>
    <cellStyle name="Normal 240 2 3 5 2" xfId="20675" xr:uid="{00000000-0005-0000-0000-0000C34F0000}"/>
    <cellStyle name="Normal 240 2 3 5 2 2" xfId="20676" xr:uid="{00000000-0005-0000-0000-0000C44F0000}"/>
    <cellStyle name="Normal 240 2 3 5 3" xfId="20677" xr:uid="{00000000-0005-0000-0000-0000C54F0000}"/>
    <cellStyle name="Normal 240 2 3 6" xfId="20678" xr:uid="{00000000-0005-0000-0000-0000C64F0000}"/>
    <cellStyle name="Normal 240 2 4" xfId="20679" xr:uid="{00000000-0005-0000-0000-0000C74F0000}"/>
    <cellStyle name="Normal 240 2 4 2" xfId="20680" xr:uid="{00000000-0005-0000-0000-0000C84F0000}"/>
    <cellStyle name="Normal 240 2 4 2 2" xfId="20681" xr:uid="{00000000-0005-0000-0000-0000C94F0000}"/>
    <cellStyle name="Normal 240 2 4 3" xfId="20682" xr:uid="{00000000-0005-0000-0000-0000CA4F0000}"/>
    <cellStyle name="Normal 240 2 5" xfId="20683" xr:uid="{00000000-0005-0000-0000-0000CB4F0000}"/>
    <cellStyle name="Normal 240 2 5 2" xfId="20684" xr:uid="{00000000-0005-0000-0000-0000CC4F0000}"/>
    <cellStyle name="Normal 240 2 5 2 2" xfId="20685" xr:uid="{00000000-0005-0000-0000-0000CD4F0000}"/>
    <cellStyle name="Normal 240 2 5 3" xfId="20686" xr:uid="{00000000-0005-0000-0000-0000CE4F0000}"/>
    <cellStyle name="Normal 240 2 6" xfId="20687" xr:uid="{00000000-0005-0000-0000-0000CF4F0000}"/>
    <cellStyle name="Normal 240 2 6 2" xfId="20688" xr:uid="{00000000-0005-0000-0000-0000D04F0000}"/>
    <cellStyle name="Normal 240 2 6 2 2" xfId="20689" xr:uid="{00000000-0005-0000-0000-0000D14F0000}"/>
    <cellStyle name="Normal 240 2 6 3" xfId="20690" xr:uid="{00000000-0005-0000-0000-0000D24F0000}"/>
    <cellStyle name="Normal 240 2 7" xfId="20691" xr:uid="{00000000-0005-0000-0000-0000D34F0000}"/>
    <cellStyle name="Normal 240 3" xfId="20692" xr:uid="{00000000-0005-0000-0000-0000D44F0000}"/>
    <cellStyle name="Normal 240 3 2" xfId="20693" xr:uid="{00000000-0005-0000-0000-0000D54F0000}"/>
    <cellStyle name="Normal 240 3 2 2" xfId="20694" xr:uid="{00000000-0005-0000-0000-0000D64F0000}"/>
    <cellStyle name="Normal 240 3 3" xfId="20695" xr:uid="{00000000-0005-0000-0000-0000D74F0000}"/>
    <cellStyle name="Normal 240 3 3 2" xfId="20696" xr:uid="{00000000-0005-0000-0000-0000D84F0000}"/>
    <cellStyle name="Normal 240 3 3 2 2" xfId="20697" xr:uid="{00000000-0005-0000-0000-0000D94F0000}"/>
    <cellStyle name="Normal 240 3 3 3" xfId="20698" xr:uid="{00000000-0005-0000-0000-0000DA4F0000}"/>
    <cellStyle name="Normal 240 3 4" xfId="20699" xr:uid="{00000000-0005-0000-0000-0000DB4F0000}"/>
    <cellStyle name="Normal 240 3 4 2" xfId="20700" xr:uid="{00000000-0005-0000-0000-0000DC4F0000}"/>
    <cellStyle name="Normal 240 3 4 2 2" xfId="20701" xr:uid="{00000000-0005-0000-0000-0000DD4F0000}"/>
    <cellStyle name="Normal 240 3 4 3" xfId="20702" xr:uid="{00000000-0005-0000-0000-0000DE4F0000}"/>
    <cellStyle name="Normal 240 3 5" xfId="20703" xr:uid="{00000000-0005-0000-0000-0000DF4F0000}"/>
    <cellStyle name="Normal 240 4" xfId="20704" xr:uid="{00000000-0005-0000-0000-0000E04F0000}"/>
    <cellStyle name="Normal 240 4 2" xfId="20705" xr:uid="{00000000-0005-0000-0000-0000E14F0000}"/>
    <cellStyle name="Normal 240 4 2 2" xfId="20706" xr:uid="{00000000-0005-0000-0000-0000E24F0000}"/>
    <cellStyle name="Normal 240 4 2 2 2" xfId="20707" xr:uid="{00000000-0005-0000-0000-0000E34F0000}"/>
    <cellStyle name="Normal 240 4 2 3" xfId="20708" xr:uid="{00000000-0005-0000-0000-0000E44F0000}"/>
    <cellStyle name="Normal 240 4 2 3 2" xfId="20709" xr:uid="{00000000-0005-0000-0000-0000E54F0000}"/>
    <cellStyle name="Normal 240 4 2 3 2 2" xfId="20710" xr:uid="{00000000-0005-0000-0000-0000E64F0000}"/>
    <cellStyle name="Normal 240 4 2 3 3" xfId="20711" xr:uid="{00000000-0005-0000-0000-0000E74F0000}"/>
    <cellStyle name="Normal 240 4 2 4" xfId="20712" xr:uid="{00000000-0005-0000-0000-0000E84F0000}"/>
    <cellStyle name="Normal 240 4 3" xfId="20713" xr:uid="{00000000-0005-0000-0000-0000E94F0000}"/>
    <cellStyle name="Normal 240 4 3 2" xfId="20714" xr:uid="{00000000-0005-0000-0000-0000EA4F0000}"/>
    <cellStyle name="Normal 240 4 3 2 2" xfId="20715" xr:uid="{00000000-0005-0000-0000-0000EB4F0000}"/>
    <cellStyle name="Normal 240 4 3 3" xfId="20716" xr:uid="{00000000-0005-0000-0000-0000EC4F0000}"/>
    <cellStyle name="Normal 240 4 4" xfId="20717" xr:uid="{00000000-0005-0000-0000-0000ED4F0000}"/>
    <cellStyle name="Normal 240 4 4 2" xfId="20718" xr:uid="{00000000-0005-0000-0000-0000EE4F0000}"/>
    <cellStyle name="Normal 240 4 4 2 2" xfId="20719" xr:uid="{00000000-0005-0000-0000-0000EF4F0000}"/>
    <cellStyle name="Normal 240 4 4 3" xfId="20720" xr:uid="{00000000-0005-0000-0000-0000F04F0000}"/>
    <cellStyle name="Normal 240 4 5" xfId="20721" xr:uid="{00000000-0005-0000-0000-0000F14F0000}"/>
    <cellStyle name="Normal 240 4 5 2" xfId="20722" xr:uid="{00000000-0005-0000-0000-0000F24F0000}"/>
    <cellStyle name="Normal 240 4 5 2 2" xfId="20723" xr:uid="{00000000-0005-0000-0000-0000F34F0000}"/>
    <cellStyle name="Normal 240 4 5 3" xfId="20724" xr:uid="{00000000-0005-0000-0000-0000F44F0000}"/>
    <cellStyle name="Normal 240 4 6" xfId="20725" xr:uid="{00000000-0005-0000-0000-0000F54F0000}"/>
    <cellStyle name="Normal 240 5" xfId="20726" xr:uid="{00000000-0005-0000-0000-0000F64F0000}"/>
    <cellStyle name="Normal 240 5 2" xfId="20727" xr:uid="{00000000-0005-0000-0000-0000F74F0000}"/>
    <cellStyle name="Normal 240 5 2 2" xfId="20728" xr:uid="{00000000-0005-0000-0000-0000F84F0000}"/>
    <cellStyle name="Normal 240 5 3" xfId="20729" xr:uid="{00000000-0005-0000-0000-0000F94F0000}"/>
    <cellStyle name="Normal 240 6" xfId="20730" xr:uid="{00000000-0005-0000-0000-0000FA4F0000}"/>
    <cellStyle name="Normal 240 6 2" xfId="20731" xr:uid="{00000000-0005-0000-0000-0000FB4F0000}"/>
    <cellStyle name="Normal 240 6 2 2" xfId="20732" xr:uid="{00000000-0005-0000-0000-0000FC4F0000}"/>
    <cellStyle name="Normal 240 6 3" xfId="20733" xr:uid="{00000000-0005-0000-0000-0000FD4F0000}"/>
    <cellStyle name="Normal 240 7" xfId="20734" xr:uid="{00000000-0005-0000-0000-0000FE4F0000}"/>
    <cellStyle name="Normal 240 7 2" xfId="20735" xr:uid="{00000000-0005-0000-0000-0000FF4F0000}"/>
    <cellStyle name="Normal 240 7 2 2" xfId="20736" xr:uid="{00000000-0005-0000-0000-000000500000}"/>
    <cellStyle name="Normal 240 7 3" xfId="20737" xr:uid="{00000000-0005-0000-0000-000001500000}"/>
    <cellStyle name="Normal 240 8" xfId="20738" xr:uid="{00000000-0005-0000-0000-000002500000}"/>
    <cellStyle name="Normal 241" xfId="20739" xr:uid="{00000000-0005-0000-0000-000003500000}"/>
    <cellStyle name="Normal 241 2" xfId="20740" xr:uid="{00000000-0005-0000-0000-000004500000}"/>
    <cellStyle name="Normal 241 2 2" xfId="20741" xr:uid="{00000000-0005-0000-0000-000005500000}"/>
    <cellStyle name="Normal 241 2 2 2" xfId="20742" xr:uid="{00000000-0005-0000-0000-000006500000}"/>
    <cellStyle name="Normal 241 2 2 2 2" xfId="20743" xr:uid="{00000000-0005-0000-0000-000007500000}"/>
    <cellStyle name="Normal 241 2 2 3" xfId="20744" xr:uid="{00000000-0005-0000-0000-000008500000}"/>
    <cellStyle name="Normal 241 2 2 3 2" xfId="20745" xr:uid="{00000000-0005-0000-0000-000009500000}"/>
    <cellStyle name="Normal 241 2 2 3 2 2" xfId="20746" xr:uid="{00000000-0005-0000-0000-00000A500000}"/>
    <cellStyle name="Normal 241 2 2 3 3" xfId="20747" xr:uid="{00000000-0005-0000-0000-00000B500000}"/>
    <cellStyle name="Normal 241 2 2 4" xfId="20748" xr:uid="{00000000-0005-0000-0000-00000C500000}"/>
    <cellStyle name="Normal 241 2 2 4 2" xfId="20749" xr:uid="{00000000-0005-0000-0000-00000D500000}"/>
    <cellStyle name="Normal 241 2 2 4 2 2" xfId="20750" xr:uid="{00000000-0005-0000-0000-00000E500000}"/>
    <cellStyle name="Normal 241 2 2 4 3" xfId="20751" xr:uid="{00000000-0005-0000-0000-00000F500000}"/>
    <cellStyle name="Normal 241 2 2 5" xfId="20752" xr:uid="{00000000-0005-0000-0000-000010500000}"/>
    <cellStyle name="Normal 241 2 3" xfId="20753" xr:uid="{00000000-0005-0000-0000-000011500000}"/>
    <cellStyle name="Normal 241 2 3 2" xfId="20754" xr:uid="{00000000-0005-0000-0000-000012500000}"/>
    <cellStyle name="Normal 241 2 3 2 2" xfId="20755" xr:uid="{00000000-0005-0000-0000-000013500000}"/>
    <cellStyle name="Normal 241 2 3 2 2 2" xfId="20756" xr:uid="{00000000-0005-0000-0000-000014500000}"/>
    <cellStyle name="Normal 241 2 3 2 3" xfId="20757" xr:uid="{00000000-0005-0000-0000-000015500000}"/>
    <cellStyle name="Normal 241 2 3 2 3 2" xfId="20758" xr:uid="{00000000-0005-0000-0000-000016500000}"/>
    <cellStyle name="Normal 241 2 3 2 3 2 2" xfId="20759" xr:uid="{00000000-0005-0000-0000-000017500000}"/>
    <cellStyle name="Normal 241 2 3 2 3 3" xfId="20760" xr:uid="{00000000-0005-0000-0000-000018500000}"/>
    <cellStyle name="Normal 241 2 3 2 4" xfId="20761" xr:uid="{00000000-0005-0000-0000-000019500000}"/>
    <cellStyle name="Normal 241 2 3 3" xfId="20762" xr:uid="{00000000-0005-0000-0000-00001A500000}"/>
    <cellStyle name="Normal 241 2 3 3 2" xfId="20763" xr:uid="{00000000-0005-0000-0000-00001B500000}"/>
    <cellStyle name="Normal 241 2 3 3 2 2" xfId="20764" xr:uid="{00000000-0005-0000-0000-00001C500000}"/>
    <cellStyle name="Normal 241 2 3 3 3" xfId="20765" xr:uid="{00000000-0005-0000-0000-00001D500000}"/>
    <cellStyle name="Normal 241 2 3 4" xfId="20766" xr:uid="{00000000-0005-0000-0000-00001E500000}"/>
    <cellStyle name="Normal 241 2 3 4 2" xfId="20767" xr:uid="{00000000-0005-0000-0000-00001F500000}"/>
    <cellStyle name="Normal 241 2 3 4 2 2" xfId="20768" xr:uid="{00000000-0005-0000-0000-000020500000}"/>
    <cellStyle name="Normal 241 2 3 4 3" xfId="20769" xr:uid="{00000000-0005-0000-0000-000021500000}"/>
    <cellStyle name="Normal 241 2 3 5" xfId="20770" xr:uid="{00000000-0005-0000-0000-000022500000}"/>
    <cellStyle name="Normal 241 2 3 5 2" xfId="20771" xr:uid="{00000000-0005-0000-0000-000023500000}"/>
    <cellStyle name="Normal 241 2 3 5 2 2" xfId="20772" xr:uid="{00000000-0005-0000-0000-000024500000}"/>
    <cellStyle name="Normal 241 2 3 5 3" xfId="20773" xr:uid="{00000000-0005-0000-0000-000025500000}"/>
    <cellStyle name="Normal 241 2 3 6" xfId="20774" xr:uid="{00000000-0005-0000-0000-000026500000}"/>
    <cellStyle name="Normal 241 2 4" xfId="20775" xr:uid="{00000000-0005-0000-0000-000027500000}"/>
    <cellStyle name="Normal 241 2 4 2" xfId="20776" xr:uid="{00000000-0005-0000-0000-000028500000}"/>
    <cellStyle name="Normal 241 2 4 2 2" xfId="20777" xr:uid="{00000000-0005-0000-0000-000029500000}"/>
    <cellStyle name="Normal 241 2 4 3" xfId="20778" xr:uid="{00000000-0005-0000-0000-00002A500000}"/>
    <cellStyle name="Normal 241 2 5" xfId="20779" xr:uid="{00000000-0005-0000-0000-00002B500000}"/>
    <cellStyle name="Normal 241 2 5 2" xfId="20780" xr:uid="{00000000-0005-0000-0000-00002C500000}"/>
    <cellStyle name="Normal 241 2 5 2 2" xfId="20781" xr:uid="{00000000-0005-0000-0000-00002D500000}"/>
    <cellStyle name="Normal 241 2 5 3" xfId="20782" xr:uid="{00000000-0005-0000-0000-00002E500000}"/>
    <cellStyle name="Normal 241 2 6" xfId="20783" xr:uid="{00000000-0005-0000-0000-00002F500000}"/>
    <cellStyle name="Normal 241 2 6 2" xfId="20784" xr:uid="{00000000-0005-0000-0000-000030500000}"/>
    <cellStyle name="Normal 241 2 6 2 2" xfId="20785" xr:uid="{00000000-0005-0000-0000-000031500000}"/>
    <cellStyle name="Normal 241 2 6 3" xfId="20786" xr:uid="{00000000-0005-0000-0000-000032500000}"/>
    <cellStyle name="Normal 241 2 7" xfId="20787" xr:uid="{00000000-0005-0000-0000-000033500000}"/>
    <cellStyle name="Normal 241 3" xfId="20788" xr:uid="{00000000-0005-0000-0000-000034500000}"/>
    <cellStyle name="Normal 241 3 2" xfId="20789" xr:uid="{00000000-0005-0000-0000-000035500000}"/>
    <cellStyle name="Normal 241 3 2 2" xfId="20790" xr:uid="{00000000-0005-0000-0000-000036500000}"/>
    <cellStyle name="Normal 241 3 3" xfId="20791" xr:uid="{00000000-0005-0000-0000-000037500000}"/>
    <cellStyle name="Normal 241 3 3 2" xfId="20792" xr:uid="{00000000-0005-0000-0000-000038500000}"/>
    <cellStyle name="Normal 241 3 3 2 2" xfId="20793" xr:uid="{00000000-0005-0000-0000-000039500000}"/>
    <cellStyle name="Normal 241 3 3 3" xfId="20794" xr:uid="{00000000-0005-0000-0000-00003A500000}"/>
    <cellStyle name="Normal 241 3 4" xfId="20795" xr:uid="{00000000-0005-0000-0000-00003B500000}"/>
    <cellStyle name="Normal 241 3 4 2" xfId="20796" xr:uid="{00000000-0005-0000-0000-00003C500000}"/>
    <cellStyle name="Normal 241 3 4 2 2" xfId="20797" xr:uid="{00000000-0005-0000-0000-00003D500000}"/>
    <cellStyle name="Normal 241 3 4 3" xfId="20798" xr:uid="{00000000-0005-0000-0000-00003E500000}"/>
    <cellStyle name="Normal 241 3 5" xfId="20799" xr:uid="{00000000-0005-0000-0000-00003F500000}"/>
    <cellStyle name="Normal 241 4" xfId="20800" xr:uid="{00000000-0005-0000-0000-000040500000}"/>
    <cellStyle name="Normal 241 4 2" xfId="20801" xr:uid="{00000000-0005-0000-0000-000041500000}"/>
    <cellStyle name="Normal 241 4 2 2" xfId="20802" xr:uid="{00000000-0005-0000-0000-000042500000}"/>
    <cellStyle name="Normal 241 4 2 2 2" xfId="20803" xr:uid="{00000000-0005-0000-0000-000043500000}"/>
    <cellStyle name="Normal 241 4 2 3" xfId="20804" xr:uid="{00000000-0005-0000-0000-000044500000}"/>
    <cellStyle name="Normal 241 4 2 3 2" xfId="20805" xr:uid="{00000000-0005-0000-0000-000045500000}"/>
    <cellStyle name="Normal 241 4 2 3 2 2" xfId="20806" xr:uid="{00000000-0005-0000-0000-000046500000}"/>
    <cellStyle name="Normal 241 4 2 3 3" xfId="20807" xr:uid="{00000000-0005-0000-0000-000047500000}"/>
    <cellStyle name="Normal 241 4 2 4" xfId="20808" xr:uid="{00000000-0005-0000-0000-000048500000}"/>
    <cellStyle name="Normal 241 4 3" xfId="20809" xr:uid="{00000000-0005-0000-0000-000049500000}"/>
    <cellStyle name="Normal 241 4 3 2" xfId="20810" xr:uid="{00000000-0005-0000-0000-00004A500000}"/>
    <cellStyle name="Normal 241 4 3 2 2" xfId="20811" xr:uid="{00000000-0005-0000-0000-00004B500000}"/>
    <cellStyle name="Normal 241 4 3 3" xfId="20812" xr:uid="{00000000-0005-0000-0000-00004C500000}"/>
    <cellStyle name="Normal 241 4 4" xfId="20813" xr:uid="{00000000-0005-0000-0000-00004D500000}"/>
    <cellStyle name="Normal 241 4 4 2" xfId="20814" xr:uid="{00000000-0005-0000-0000-00004E500000}"/>
    <cellStyle name="Normal 241 4 4 2 2" xfId="20815" xr:uid="{00000000-0005-0000-0000-00004F500000}"/>
    <cellStyle name="Normal 241 4 4 3" xfId="20816" xr:uid="{00000000-0005-0000-0000-000050500000}"/>
    <cellStyle name="Normal 241 4 5" xfId="20817" xr:uid="{00000000-0005-0000-0000-000051500000}"/>
    <cellStyle name="Normal 241 4 5 2" xfId="20818" xr:uid="{00000000-0005-0000-0000-000052500000}"/>
    <cellStyle name="Normal 241 4 5 2 2" xfId="20819" xr:uid="{00000000-0005-0000-0000-000053500000}"/>
    <cellStyle name="Normal 241 4 5 3" xfId="20820" xr:uid="{00000000-0005-0000-0000-000054500000}"/>
    <cellStyle name="Normal 241 4 6" xfId="20821" xr:uid="{00000000-0005-0000-0000-000055500000}"/>
    <cellStyle name="Normal 241 5" xfId="20822" xr:uid="{00000000-0005-0000-0000-000056500000}"/>
    <cellStyle name="Normal 241 5 2" xfId="20823" xr:uid="{00000000-0005-0000-0000-000057500000}"/>
    <cellStyle name="Normal 241 5 2 2" xfId="20824" xr:uid="{00000000-0005-0000-0000-000058500000}"/>
    <cellStyle name="Normal 241 5 3" xfId="20825" xr:uid="{00000000-0005-0000-0000-000059500000}"/>
    <cellStyle name="Normal 241 6" xfId="20826" xr:uid="{00000000-0005-0000-0000-00005A500000}"/>
    <cellStyle name="Normal 241 6 2" xfId="20827" xr:uid="{00000000-0005-0000-0000-00005B500000}"/>
    <cellStyle name="Normal 241 6 2 2" xfId="20828" xr:uid="{00000000-0005-0000-0000-00005C500000}"/>
    <cellStyle name="Normal 241 6 3" xfId="20829" xr:uid="{00000000-0005-0000-0000-00005D500000}"/>
    <cellStyle name="Normal 241 7" xfId="20830" xr:uid="{00000000-0005-0000-0000-00005E500000}"/>
    <cellStyle name="Normal 241 7 2" xfId="20831" xr:uid="{00000000-0005-0000-0000-00005F500000}"/>
    <cellStyle name="Normal 241 7 2 2" xfId="20832" xr:uid="{00000000-0005-0000-0000-000060500000}"/>
    <cellStyle name="Normal 241 7 3" xfId="20833" xr:uid="{00000000-0005-0000-0000-000061500000}"/>
    <cellStyle name="Normal 241 8" xfId="20834" xr:uid="{00000000-0005-0000-0000-000062500000}"/>
    <cellStyle name="Normal 242" xfId="20835" xr:uid="{00000000-0005-0000-0000-000063500000}"/>
    <cellStyle name="Normal 242 2" xfId="20836" xr:uid="{00000000-0005-0000-0000-000064500000}"/>
    <cellStyle name="Normal 242 2 2" xfId="20837" xr:uid="{00000000-0005-0000-0000-000065500000}"/>
    <cellStyle name="Normal 242 2 2 2" xfId="20838" xr:uid="{00000000-0005-0000-0000-000066500000}"/>
    <cellStyle name="Normal 242 2 2 2 2" xfId="20839" xr:uid="{00000000-0005-0000-0000-000067500000}"/>
    <cellStyle name="Normal 242 2 2 3" xfId="20840" xr:uid="{00000000-0005-0000-0000-000068500000}"/>
    <cellStyle name="Normal 242 2 2 3 2" xfId="20841" xr:uid="{00000000-0005-0000-0000-000069500000}"/>
    <cellStyle name="Normal 242 2 2 3 2 2" xfId="20842" xr:uid="{00000000-0005-0000-0000-00006A500000}"/>
    <cellStyle name="Normal 242 2 2 3 3" xfId="20843" xr:uid="{00000000-0005-0000-0000-00006B500000}"/>
    <cellStyle name="Normal 242 2 2 4" xfId="20844" xr:uid="{00000000-0005-0000-0000-00006C500000}"/>
    <cellStyle name="Normal 242 2 2 4 2" xfId="20845" xr:uid="{00000000-0005-0000-0000-00006D500000}"/>
    <cellStyle name="Normal 242 2 2 4 2 2" xfId="20846" xr:uid="{00000000-0005-0000-0000-00006E500000}"/>
    <cellStyle name="Normal 242 2 2 4 3" xfId="20847" xr:uid="{00000000-0005-0000-0000-00006F500000}"/>
    <cellStyle name="Normal 242 2 2 5" xfId="20848" xr:uid="{00000000-0005-0000-0000-000070500000}"/>
    <cellStyle name="Normal 242 2 3" xfId="20849" xr:uid="{00000000-0005-0000-0000-000071500000}"/>
    <cellStyle name="Normal 242 2 3 2" xfId="20850" xr:uid="{00000000-0005-0000-0000-000072500000}"/>
    <cellStyle name="Normal 242 2 3 2 2" xfId="20851" xr:uid="{00000000-0005-0000-0000-000073500000}"/>
    <cellStyle name="Normal 242 2 3 2 2 2" xfId="20852" xr:uid="{00000000-0005-0000-0000-000074500000}"/>
    <cellStyle name="Normal 242 2 3 2 3" xfId="20853" xr:uid="{00000000-0005-0000-0000-000075500000}"/>
    <cellStyle name="Normal 242 2 3 2 3 2" xfId="20854" xr:uid="{00000000-0005-0000-0000-000076500000}"/>
    <cellStyle name="Normal 242 2 3 2 3 2 2" xfId="20855" xr:uid="{00000000-0005-0000-0000-000077500000}"/>
    <cellStyle name="Normal 242 2 3 2 3 3" xfId="20856" xr:uid="{00000000-0005-0000-0000-000078500000}"/>
    <cellStyle name="Normal 242 2 3 2 4" xfId="20857" xr:uid="{00000000-0005-0000-0000-000079500000}"/>
    <cellStyle name="Normal 242 2 3 3" xfId="20858" xr:uid="{00000000-0005-0000-0000-00007A500000}"/>
    <cellStyle name="Normal 242 2 3 3 2" xfId="20859" xr:uid="{00000000-0005-0000-0000-00007B500000}"/>
    <cellStyle name="Normal 242 2 3 3 2 2" xfId="20860" xr:uid="{00000000-0005-0000-0000-00007C500000}"/>
    <cellStyle name="Normal 242 2 3 3 3" xfId="20861" xr:uid="{00000000-0005-0000-0000-00007D500000}"/>
    <cellStyle name="Normal 242 2 3 4" xfId="20862" xr:uid="{00000000-0005-0000-0000-00007E500000}"/>
    <cellStyle name="Normal 242 2 3 4 2" xfId="20863" xr:uid="{00000000-0005-0000-0000-00007F500000}"/>
    <cellStyle name="Normal 242 2 3 4 2 2" xfId="20864" xr:uid="{00000000-0005-0000-0000-000080500000}"/>
    <cellStyle name="Normal 242 2 3 4 3" xfId="20865" xr:uid="{00000000-0005-0000-0000-000081500000}"/>
    <cellStyle name="Normal 242 2 3 5" xfId="20866" xr:uid="{00000000-0005-0000-0000-000082500000}"/>
    <cellStyle name="Normal 242 2 3 5 2" xfId="20867" xr:uid="{00000000-0005-0000-0000-000083500000}"/>
    <cellStyle name="Normal 242 2 3 5 2 2" xfId="20868" xr:uid="{00000000-0005-0000-0000-000084500000}"/>
    <cellStyle name="Normal 242 2 3 5 3" xfId="20869" xr:uid="{00000000-0005-0000-0000-000085500000}"/>
    <cellStyle name="Normal 242 2 3 6" xfId="20870" xr:uid="{00000000-0005-0000-0000-000086500000}"/>
    <cellStyle name="Normal 242 2 4" xfId="20871" xr:uid="{00000000-0005-0000-0000-000087500000}"/>
    <cellStyle name="Normal 242 2 4 2" xfId="20872" xr:uid="{00000000-0005-0000-0000-000088500000}"/>
    <cellStyle name="Normal 242 2 4 2 2" xfId="20873" xr:uid="{00000000-0005-0000-0000-000089500000}"/>
    <cellStyle name="Normal 242 2 4 3" xfId="20874" xr:uid="{00000000-0005-0000-0000-00008A500000}"/>
    <cellStyle name="Normal 242 2 5" xfId="20875" xr:uid="{00000000-0005-0000-0000-00008B500000}"/>
    <cellStyle name="Normal 242 2 5 2" xfId="20876" xr:uid="{00000000-0005-0000-0000-00008C500000}"/>
    <cellStyle name="Normal 242 2 5 2 2" xfId="20877" xr:uid="{00000000-0005-0000-0000-00008D500000}"/>
    <cellStyle name="Normal 242 2 5 3" xfId="20878" xr:uid="{00000000-0005-0000-0000-00008E500000}"/>
    <cellStyle name="Normal 242 2 6" xfId="20879" xr:uid="{00000000-0005-0000-0000-00008F500000}"/>
    <cellStyle name="Normal 242 2 6 2" xfId="20880" xr:uid="{00000000-0005-0000-0000-000090500000}"/>
    <cellStyle name="Normal 242 2 6 2 2" xfId="20881" xr:uid="{00000000-0005-0000-0000-000091500000}"/>
    <cellStyle name="Normal 242 2 6 3" xfId="20882" xr:uid="{00000000-0005-0000-0000-000092500000}"/>
    <cellStyle name="Normal 242 2 7" xfId="20883" xr:uid="{00000000-0005-0000-0000-000093500000}"/>
    <cellStyle name="Normal 242 3" xfId="20884" xr:uid="{00000000-0005-0000-0000-000094500000}"/>
    <cellStyle name="Normal 242 3 2" xfId="20885" xr:uid="{00000000-0005-0000-0000-000095500000}"/>
    <cellStyle name="Normal 242 3 2 2" xfId="20886" xr:uid="{00000000-0005-0000-0000-000096500000}"/>
    <cellStyle name="Normal 242 3 3" xfId="20887" xr:uid="{00000000-0005-0000-0000-000097500000}"/>
    <cellStyle name="Normal 242 3 3 2" xfId="20888" xr:uid="{00000000-0005-0000-0000-000098500000}"/>
    <cellStyle name="Normal 242 3 3 2 2" xfId="20889" xr:uid="{00000000-0005-0000-0000-000099500000}"/>
    <cellStyle name="Normal 242 3 3 3" xfId="20890" xr:uid="{00000000-0005-0000-0000-00009A500000}"/>
    <cellStyle name="Normal 242 3 4" xfId="20891" xr:uid="{00000000-0005-0000-0000-00009B500000}"/>
    <cellStyle name="Normal 242 3 4 2" xfId="20892" xr:uid="{00000000-0005-0000-0000-00009C500000}"/>
    <cellStyle name="Normal 242 3 4 2 2" xfId="20893" xr:uid="{00000000-0005-0000-0000-00009D500000}"/>
    <cellStyle name="Normal 242 3 4 3" xfId="20894" xr:uid="{00000000-0005-0000-0000-00009E500000}"/>
    <cellStyle name="Normal 242 3 5" xfId="20895" xr:uid="{00000000-0005-0000-0000-00009F500000}"/>
    <cellStyle name="Normal 242 4" xfId="20896" xr:uid="{00000000-0005-0000-0000-0000A0500000}"/>
    <cellStyle name="Normal 242 4 2" xfId="20897" xr:uid="{00000000-0005-0000-0000-0000A1500000}"/>
    <cellStyle name="Normal 242 4 2 2" xfId="20898" xr:uid="{00000000-0005-0000-0000-0000A2500000}"/>
    <cellStyle name="Normal 242 4 2 2 2" xfId="20899" xr:uid="{00000000-0005-0000-0000-0000A3500000}"/>
    <cellStyle name="Normal 242 4 2 3" xfId="20900" xr:uid="{00000000-0005-0000-0000-0000A4500000}"/>
    <cellStyle name="Normal 242 4 2 3 2" xfId="20901" xr:uid="{00000000-0005-0000-0000-0000A5500000}"/>
    <cellStyle name="Normal 242 4 2 3 2 2" xfId="20902" xr:uid="{00000000-0005-0000-0000-0000A6500000}"/>
    <cellStyle name="Normal 242 4 2 3 3" xfId="20903" xr:uid="{00000000-0005-0000-0000-0000A7500000}"/>
    <cellStyle name="Normal 242 4 2 4" xfId="20904" xr:uid="{00000000-0005-0000-0000-0000A8500000}"/>
    <cellStyle name="Normal 242 4 3" xfId="20905" xr:uid="{00000000-0005-0000-0000-0000A9500000}"/>
    <cellStyle name="Normal 242 4 3 2" xfId="20906" xr:uid="{00000000-0005-0000-0000-0000AA500000}"/>
    <cellStyle name="Normal 242 4 3 2 2" xfId="20907" xr:uid="{00000000-0005-0000-0000-0000AB500000}"/>
    <cellStyle name="Normal 242 4 3 3" xfId="20908" xr:uid="{00000000-0005-0000-0000-0000AC500000}"/>
    <cellStyle name="Normal 242 4 4" xfId="20909" xr:uid="{00000000-0005-0000-0000-0000AD500000}"/>
    <cellStyle name="Normal 242 4 4 2" xfId="20910" xr:uid="{00000000-0005-0000-0000-0000AE500000}"/>
    <cellStyle name="Normal 242 4 4 2 2" xfId="20911" xr:uid="{00000000-0005-0000-0000-0000AF500000}"/>
    <cellStyle name="Normal 242 4 4 3" xfId="20912" xr:uid="{00000000-0005-0000-0000-0000B0500000}"/>
    <cellStyle name="Normal 242 4 5" xfId="20913" xr:uid="{00000000-0005-0000-0000-0000B1500000}"/>
    <cellStyle name="Normal 242 4 5 2" xfId="20914" xr:uid="{00000000-0005-0000-0000-0000B2500000}"/>
    <cellStyle name="Normal 242 4 5 2 2" xfId="20915" xr:uid="{00000000-0005-0000-0000-0000B3500000}"/>
    <cellStyle name="Normal 242 4 5 3" xfId="20916" xr:uid="{00000000-0005-0000-0000-0000B4500000}"/>
    <cellStyle name="Normal 242 4 6" xfId="20917" xr:uid="{00000000-0005-0000-0000-0000B5500000}"/>
    <cellStyle name="Normal 242 5" xfId="20918" xr:uid="{00000000-0005-0000-0000-0000B6500000}"/>
    <cellStyle name="Normal 242 5 2" xfId="20919" xr:uid="{00000000-0005-0000-0000-0000B7500000}"/>
    <cellStyle name="Normal 242 5 2 2" xfId="20920" xr:uid="{00000000-0005-0000-0000-0000B8500000}"/>
    <cellStyle name="Normal 242 5 3" xfId="20921" xr:uid="{00000000-0005-0000-0000-0000B9500000}"/>
    <cellStyle name="Normal 242 6" xfId="20922" xr:uid="{00000000-0005-0000-0000-0000BA500000}"/>
    <cellStyle name="Normal 242 6 2" xfId="20923" xr:uid="{00000000-0005-0000-0000-0000BB500000}"/>
    <cellStyle name="Normal 242 6 2 2" xfId="20924" xr:uid="{00000000-0005-0000-0000-0000BC500000}"/>
    <cellStyle name="Normal 242 6 3" xfId="20925" xr:uid="{00000000-0005-0000-0000-0000BD500000}"/>
    <cellStyle name="Normal 242 7" xfId="20926" xr:uid="{00000000-0005-0000-0000-0000BE500000}"/>
    <cellStyle name="Normal 242 7 2" xfId="20927" xr:uid="{00000000-0005-0000-0000-0000BF500000}"/>
    <cellStyle name="Normal 242 7 2 2" xfId="20928" xr:uid="{00000000-0005-0000-0000-0000C0500000}"/>
    <cellStyle name="Normal 242 7 3" xfId="20929" xr:uid="{00000000-0005-0000-0000-0000C1500000}"/>
    <cellStyle name="Normal 242 8" xfId="20930" xr:uid="{00000000-0005-0000-0000-0000C2500000}"/>
    <cellStyle name="Normal 243" xfId="20931" xr:uid="{00000000-0005-0000-0000-0000C3500000}"/>
    <cellStyle name="Normal 243 2" xfId="20932" xr:uid="{00000000-0005-0000-0000-0000C4500000}"/>
    <cellStyle name="Normal 243 2 2" xfId="20933" xr:uid="{00000000-0005-0000-0000-0000C5500000}"/>
    <cellStyle name="Normal 243 2 2 2" xfId="20934" xr:uid="{00000000-0005-0000-0000-0000C6500000}"/>
    <cellStyle name="Normal 243 2 2 2 2" xfId="20935" xr:uid="{00000000-0005-0000-0000-0000C7500000}"/>
    <cellStyle name="Normal 243 2 2 3" xfId="20936" xr:uid="{00000000-0005-0000-0000-0000C8500000}"/>
    <cellStyle name="Normal 243 2 2 3 2" xfId="20937" xr:uid="{00000000-0005-0000-0000-0000C9500000}"/>
    <cellStyle name="Normal 243 2 2 3 2 2" xfId="20938" xr:uid="{00000000-0005-0000-0000-0000CA500000}"/>
    <cellStyle name="Normal 243 2 2 3 3" xfId="20939" xr:uid="{00000000-0005-0000-0000-0000CB500000}"/>
    <cellStyle name="Normal 243 2 2 4" xfId="20940" xr:uid="{00000000-0005-0000-0000-0000CC500000}"/>
    <cellStyle name="Normal 243 2 2 4 2" xfId="20941" xr:uid="{00000000-0005-0000-0000-0000CD500000}"/>
    <cellStyle name="Normal 243 2 2 4 2 2" xfId="20942" xr:uid="{00000000-0005-0000-0000-0000CE500000}"/>
    <cellStyle name="Normal 243 2 2 4 3" xfId="20943" xr:uid="{00000000-0005-0000-0000-0000CF500000}"/>
    <cellStyle name="Normal 243 2 2 5" xfId="20944" xr:uid="{00000000-0005-0000-0000-0000D0500000}"/>
    <cellStyle name="Normal 243 2 3" xfId="20945" xr:uid="{00000000-0005-0000-0000-0000D1500000}"/>
    <cellStyle name="Normal 243 2 3 2" xfId="20946" xr:uid="{00000000-0005-0000-0000-0000D2500000}"/>
    <cellStyle name="Normal 243 2 3 2 2" xfId="20947" xr:uid="{00000000-0005-0000-0000-0000D3500000}"/>
    <cellStyle name="Normal 243 2 3 2 2 2" xfId="20948" xr:uid="{00000000-0005-0000-0000-0000D4500000}"/>
    <cellStyle name="Normal 243 2 3 2 3" xfId="20949" xr:uid="{00000000-0005-0000-0000-0000D5500000}"/>
    <cellStyle name="Normal 243 2 3 2 3 2" xfId="20950" xr:uid="{00000000-0005-0000-0000-0000D6500000}"/>
    <cellStyle name="Normal 243 2 3 2 3 2 2" xfId="20951" xr:uid="{00000000-0005-0000-0000-0000D7500000}"/>
    <cellStyle name="Normal 243 2 3 2 3 3" xfId="20952" xr:uid="{00000000-0005-0000-0000-0000D8500000}"/>
    <cellStyle name="Normal 243 2 3 2 4" xfId="20953" xr:uid="{00000000-0005-0000-0000-0000D9500000}"/>
    <cellStyle name="Normal 243 2 3 3" xfId="20954" xr:uid="{00000000-0005-0000-0000-0000DA500000}"/>
    <cellStyle name="Normal 243 2 3 3 2" xfId="20955" xr:uid="{00000000-0005-0000-0000-0000DB500000}"/>
    <cellStyle name="Normal 243 2 3 3 2 2" xfId="20956" xr:uid="{00000000-0005-0000-0000-0000DC500000}"/>
    <cellStyle name="Normal 243 2 3 3 3" xfId="20957" xr:uid="{00000000-0005-0000-0000-0000DD500000}"/>
    <cellStyle name="Normal 243 2 3 4" xfId="20958" xr:uid="{00000000-0005-0000-0000-0000DE500000}"/>
    <cellStyle name="Normal 243 2 3 4 2" xfId="20959" xr:uid="{00000000-0005-0000-0000-0000DF500000}"/>
    <cellStyle name="Normal 243 2 3 4 2 2" xfId="20960" xr:uid="{00000000-0005-0000-0000-0000E0500000}"/>
    <cellStyle name="Normal 243 2 3 4 3" xfId="20961" xr:uid="{00000000-0005-0000-0000-0000E1500000}"/>
    <cellStyle name="Normal 243 2 3 5" xfId="20962" xr:uid="{00000000-0005-0000-0000-0000E2500000}"/>
    <cellStyle name="Normal 243 2 3 5 2" xfId="20963" xr:uid="{00000000-0005-0000-0000-0000E3500000}"/>
    <cellStyle name="Normal 243 2 3 5 2 2" xfId="20964" xr:uid="{00000000-0005-0000-0000-0000E4500000}"/>
    <cellStyle name="Normal 243 2 3 5 3" xfId="20965" xr:uid="{00000000-0005-0000-0000-0000E5500000}"/>
    <cellStyle name="Normal 243 2 3 6" xfId="20966" xr:uid="{00000000-0005-0000-0000-0000E6500000}"/>
    <cellStyle name="Normal 243 2 4" xfId="20967" xr:uid="{00000000-0005-0000-0000-0000E7500000}"/>
    <cellStyle name="Normal 243 2 4 2" xfId="20968" xr:uid="{00000000-0005-0000-0000-0000E8500000}"/>
    <cellStyle name="Normal 243 2 4 2 2" xfId="20969" xr:uid="{00000000-0005-0000-0000-0000E9500000}"/>
    <cellStyle name="Normal 243 2 4 3" xfId="20970" xr:uid="{00000000-0005-0000-0000-0000EA500000}"/>
    <cellStyle name="Normal 243 2 5" xfId="20971" xr:uid="{00000000-0005-0000-0000-0000EB500000}"/>
    <cellStyle name="Normal 243 2 5 2" xfId="20972" xr:uid="{00000000-0005-0000-0000-0000EC500000}"/>
    <cellStyle name="Normal 243 2 5 2 2" xfId="20973" xr:uid="{00000000-0005-0000-0000-0000ED500000}"/>
    <cellStyle name="Normal 243 2 5 3" xfId="20974" xr:uid="{00000000-0005-0000-0000-0000EE500000}"/>
    <cellStyle name="Normal 243 2 6" xfId="20975" xr:uid="{00000000-0005-0000-0000-0000EF500000}"/>
    <cellStyle name="Normal 243 2 6 2" xfId="20976" xr:uid="{00000000-0005-0000-0000-0000F0500000}"/>
    <cellStyle name="Normal 243 2 6 2 2" xfId="20977" xr:uid="{00000000-0005-0000-0000-0000F1500000}"/>
    <cellStyle name="Normal 243 2 6 3" xfId="20978" xr:uid="{00000000-0005-0000-0000-0000F2500000}"/>
    <cellStyle name="Normal 243 2 7" xfId="20979" xr:uid="{00000000-0005-0000-0000-0000F3500000}"/>
    <cellStyle name="Normal 243 3" xfId="20980" xr:uid="{00000000-0005-0000-0000-0000F4500000}"/>
    <cellStyle name="Normal 243 3 2" xfId="20981" xr:uid="{00000000-0005-0000-0000-0000F5500000}"/>
    <cellStyle name="Normal 243 3 2 2" xfId="20982" xr:uid="{00000000-0005-0000-0000-0000F6500000}"/>
    <cellStyle name="Normal 243 3 3" xfId="20983" xr:uid="{00000000-0005-0000-0000-0000F7500000}"/>
    <cellStyle name="Normal 243 3 3 2" xfId="20984" xr:uid="{00000000-0005-0000-0000-0000F8500000}"/>
    <cellStyle name="Normal 243 3 3 2 2" xfId="20985" xr:uid="{00000000-0005-0000-0000-0000F9500000}"/>
    <cellStyle name="Normal 243 3 3 3" xfId="20986" xr:uid="{00000000-0005-0000-0000-0000FA500000}"/>
    <cellStyle name="Normal 243 3 4" xfId="20987" xr:uid="{00000000-0005-0000-0000-0000FB500000}"/>
    <cellStyle name="Normal 243 3 4 2" xfId="20988" xr:uid="{00000000-0005-0000-0000-0000FC500000}"/>
    <cellStyle name="Normal 243 3 4 2 2" xfId="20989" xr:uid="{00000000-0005-0000-0000-0000FD500000}"/>
    <cellStyle name="Normal 243 3 4 3" xfId="20990" xr:uid="{00000000-0005-0000-0000-0000FE500000}"/>
    <cellStyle name="Normal 243 3 5" xfId="20991" xr:uid="{00000000-0005-0000-0000-0000FF500000}"/>
    <cellStyle name="Normal 243 4" xfId="20992" xr:uid="{00000000-0005-0000-0000-000000510000}"/>
    <cellStyle name="Normal 243 4 2" xfId="20993" xr:uid="{00000000-0005-0000-0000-000001510000}"/>
    <cellStyle name="Normal 243 4 2 2" xfId="20994" xr:uid="{00000000-0005-0000-0000-000002510000}"/>
    <cellStyle name="Normal 243 4 2 2 2" xfId="20995" xr:uid="{00000000-0005-0000-0000-000003510000}"/>
    <cellStyle name="Normal 243 4 2 3" xfId="20996" xr:uid="{00000000-0005-0000-0000-000004510000}"/>
    <cellStyle name="Normal 243 4 2 3 2" xfId="20997" xr:uid="{00000000-0005-0000-0000-000005510000}"/>
    <cellStyle name="Normal 243 4 2 3 2 2" xfId="20998" xr:uid="{00000000-0005-0000-0000-000006510000}"/>
    <cellStyle name="Normal 243 4 2 3 3" xfId="20999" xr:uid="{00000000-0005-0000-0000-000007510000}"/>
    <cellStyle name="Normal 243 4 2 4" xfId="21000" xr:uid="{00000000-0005-0000-0000-000008510000}"/>
    <cellStyle name="Normal 243 4 3" xfId="21001" xr:uid="{00000000-0005-0000-0000-000009510000}"/>
    <cellStyle name="Normal 243 4 3 2" xfId="21002" xr:uid="{00000000-0005-0000-0000-00000A510000}"/>
    <cellStyle name="Normal 243 4 3 2 2" xfId="21003" xr:uid="{00000000-0005-0000-0000-00000B510000}"/>
    <cellStyle name="Normal 243 4 3 3" xfId="21004" xr:uid="{00000000-0005-0000-0000-00000C510000}"/>
    <cellStyle name="Normal 243 4 4" xfId="21005" xr:uid="{00000000-0005-0000-0000-00000D510000}"/>
    <cellStyle name="Normal 243 4 4 2" xfId="21006" xr:uid="{00000000-0005-0000-0000-00000E510000}"/>
    <cellStyle name="Normal 243 4 4 2 2" xfId="21007" xr:uid="{00000000-0005-0000-0000-00000F510000}"/>
    <cellStyle name="Normal 243 4 4 3" xfId="21008" xr:uid="{00000000-0005-0000-0000-000010510000}"/>
    <cellStyle name="Normal 243 4 5" xfId="21009" xr:uid="{00000000-0005-0000-0000-000011510000}"/>
    <cellStyle name="Normal 243 4 5 2" xfId="21010" xr:uid="{00000000-0005-0000-0000-000012510000}"/>
    <cellStyle name="Normal 243 4 5 2 2" xfId="21011" xr:uid="{00000000-0005-0000-0000-000013510000}"/>
    <cellStyle name="Normal 243 4 5 3" xfId="21012" xr:uid="{00000000-0005-0000-0000-000014510000}"/>
    <cellStyle name="Normal 243 4 6" xfId="21013" xr:uid="{00000000-0005-0000-0000-000015510000}"/>
    <cellStyle name="Normal 243 5" xfId="21014" xr:uid="{00000000-0005-0000-0000-000016510000}"/>
    <cellStyle name="Normal 243 5 2" xfId="21015" xr:uid="{00000000-0005-0000-0000-000017510000}"/>
    <cellStyle name="Normal 243 5 2 2" xfId="21016" xr:uid="{00000000-0005-0000-0000-000018510000}"/>
    <cellStyle name="Normal 243 5 3" xfId="21017" xr:uid="{00000000-0005-0000-0000-000019510000}"/>
    <cellStyle name="Normal 243 6" xfId="21018" xr:uid="{00000000-0005-0000-0000-00001A510000}"/>
    <cellStyle name="Normal 243 6 2" xfId="21019" xr:uid="{00000000-0005-0000-0000-00001B510000}"/>
    <cellStyle name="Normal 243 6 2 2" xfId="21020" xr:uid="{00000000-0005-0000-0000-00001C510000}"/>
    <cellStyle name="Normal 243 6 3" xfId="21021" xr:uid="{00000000-0005-0000-0000-00001D510000}"/>
    <cellStyle name="Normal 243 7" xfId="21022" xr:uid="{00000000-0005-0000-0000-00001E510000}"/>
    <cellStyle name="Normal 243 7 2" xfId="21023" xr:uid="{00000000-0005-0000-0000-00001F510000}"/>
    <cellStyle name="Normal 243 7 2 2" xfId="21024" xr:uid="{00000000-0005-0000-0000-000020510000}"/>
    <cellStyle name="Normal 243 7 3" xfId="21025" xr:uid="{00000000-0005-0000-0000-000021510000}"/>
    <cellStyle name="Normal 243 8" xfId="21026" xr:uid="{00000000-0005-0000-0000-000022510000}"/>
    <cellStyle name="Normal 244" xfId="21027" xr:uid="{00000000-0005-0000-0000-000023510000}"/>
    <cellStyle name="Normal 244 2" xfId="21028" xr:uid="{00000000-0005-0000-0000-000024510000}"/>
    <cellStyle name="Normal 244 2 2" xfId="21029" xr:uid="{00000000-0005-0000-0000-000025510000}"/>
    <cellStyle name="Normal 244 2 2 2" xfId="21030" xr:uid="{00000000-0005-0000-0000-000026510000}"/>
    <cellStyle name="Normal 244 2 2 2 2" xfId="21031" xr:uid="{00000000-0005-0000-0000-000027510000}"/>
    <cellStyle name="Normal 244 2 2 3" xfId="21032" xr:uid="{00000000-0005-0000-0000-000028510000}"/>
    <cellStyle name="Normal 244 2 2 3 2" xfId="21033" xr:uid="{00000000-0005-0000-0000-000029510000}"/>
    <cellStyle name="Normal 244 2 2 3 2 2" xfId="21034" xr:uid="{00000000-0005-0000-0000-00002A510000}"/>
    <cellStyle name="Normal 244 2 2 3 3" xfId="21035" xr:uid="{00000000-0005-0000-0000-00002B510000}"/>
    <cellStyle name="Normal 244 2 2 4" xfId="21036" xr:uid="{00000000-0005-0000-0000-00002C510000}"/>
    <cellStyle name="Normal 244 2 2 4 2" xfId="21037" xr:uid="{00000000-0005-0000-0000-00002D510000}"/>
    <cellStyle name="Normal 244 2 2 4 2 2" xfId="21038" xr:uid="{00000000-0005-0000-0000-00002E510000}"/>
    <cellStyle name="Normal 244 2 2 4 3" xfId="21039" xr:uid="{00000000-0005-0000-0000-00002F510000}"/>
    <cellStyle name="Normal 244 2 2 5" xfId="21040" xr:uid="{00000000-0005-0000-0000-000030510000}"/>
    <cellStyle name="Normal 244 2 3" xfId="21041" xr:uid="{00000000-0005-0000-0000-000031510000}"/>
    <cellStyle name="Normal 244 2 3 2" xfId="21042" xr:uid="{00000000-0005-0000-0000-000032510000}"/>
    <cellStyle name="Normal 244 2 3 2 2" xfId="21043" xr:uid="{00000000-0005-0000-0000-000033510000}"/>
    <cellStyle name="Normal 244 2 3 2 2 2" xfId="21044" xr:uid="{00000000-0005-0000-0000-000034510000}"/>
    <cellStyle name="Normal 244 2 3 2 3" xfId="21045" xr:uid="{00000000-0005-0000-0000-000035510000}"/>
    <cellStyle name="Normal 244 2 3 2 3 2" xfId="21046" xr:uid="{00000000-0005-0000-0000-000036510000}"/>
    <cellStyle name="Normal 244 2 3 2 3 2 2" xfId="21047" xr:uid="{00000000-0005-0000-0000-000037510000}"/>
    <cellStyle name="Normal 244 2 3 2 3 3" xfId="21048" xr:uid="{00000000-0005-0000-0000-000038510000}"/>
    <cellStyle name="Normal 244 2 3 2 4" xfId="21049" xr:uid="{00000000-0005-0000-0000-000039510000}"/>
    <cellStyle name="Normal 244 2 3 3" xfId="21050" xr:uid="{00000000-0005-0000-0000-00003A510000}"/>
    <cellStyle name="Normal 244 2 3 3 2" xfId="21051" xr:uid="{00000000-0005-0000-0000-00003B510000}"/>
    <cellStyle name="Normal 244 2 3 3 2 2" xfId="21052" xr:uid="{00000000-0005-0000-0000-00003C510000}"/>
    <cellStyle name="Normal 244 2 3 3 3" xfId="21053" xr:uid="{00000000-0005-0000-0000-00003D510000}"/>
    <cellStyle name="Normal 244 2 3 4" xfId="21054" xr:uid="{00000000-0005-0000-0000-00003E510000}"/>
    <cellStyle name="Normal 244 2 3 4 2" xfId="21055" xr:uid="{00000000-0005-0000-0000-00003F510000}"/>
    <cellStyle name="Normal 244 2 3 4 2 2" xfId="21056" xr:uid="{00000000-0005-0000-0000-000040510000}"/>
    <cellStyle name="Normal 244 2 3 4 3" xfId="21057" xr:uid="{00000000-0005-0000-0000-000041510000}"/>
    <cellStyle name="Normal 244 2 3 5" xfId="21058" xr:uid="{00000000-0005-0000-0000-000042510000}"/>
    <cellStyle name="Normal 244 2 3 5 2" xfId="21059" xr:uid="{00000000-0005-0000-0000-000043510000}"/>
    <cellStyle name="Normal 244 2 3 5 2 2" xfId="21060" xr:uid="{00000000-0005-0000-0000-000044510000}"/>
    <cellStyle name="Normal 244 2 3 5 3" xfId="21061" xr:uid="{00000000-0005-0000-0000-000045510000}"/>
    <cellStyle name="Normal 244 2 3 6" xfId="21062" xr:uid="{00000000-0005-0000-0000-000046510000}"/>
    <cellStyle name="Normal 244 2 4" xfId="21063" xr:uid="{00000000-0005-0000-0000-000047510000}"/>
    <cellStyle name="Normal 244 2 4 2" xfId="21064" xr:uid="{00000000-0005-0000-0000-000048510000}"/>
    <cellStyle name="Normal 244 2 4 2 2" xfId="21065" xr:uid="{00000000-0005-0000-0000-000049510000}"/>
    <cellStyle name="Normal 244 2 4 3" xfId="21066" xr:uid="{00000000-0005-0000-0000-00004A510000}"/>
    <cellStyle name="Normal 244 2 5" xfId="21067" xr:uid="{00000000-0005-0000-0000-00004B510000}"/>
    <cellStyle name="Normal 244 2 5 2" xfId="21068" xr:uid="{00000000-0005-0000-0000-00004C510000}"/>
    <cellStyle name="Normal 244 2 5 2 2" xfId="21069" xr:uid="{00000000-0005-0000-0000-00004D510000}"/>
    <cellStyle name="Normal 244 2 5 3" xfId="21070" xr:uid="{00000000-0005-0000-0000-00004E510000}"/>
    <cellStyle name="Normal 244 2 6" xfId="21071" xr:uid="{00000000-0005-0000-0000-00004F510000}"/>
    <cellStyle name="Normal 244 2 6 2" xfId="21072" xr:uid="{00000000-0005-0000-0000-000050510000}"/>
    <cellStyle name="Normal 244 2 6 2 2" xfId="21073" xr:uid="{00000000-0005-0000-0000-000051510000}"/>
    <cellStyle name="Normal 244 2 6 3" xfId="21074" xr:uid="{00000000-0005-0000-0000-000052510000}"/>
    <cellStyle name="Normal 244 2 7" xfId="21075" xr:uid="{00000000-0005-0000-0000-000053510000}"/>
    <cellStyle name="Normal 244 3" xfId="21076" xr:uid="{00000000-0005-0000-0000-000054510000}"/>
    <cellStyle name="Normal 244 3 2" xfId="21077" xr:uid="{00000000-0005-0000-0000-000055510000}"/>
    <cellStyle name="Normal 244 3 2 2" xfId="21078" xr:uid="{00000000-0005-0000-0000-000056510000}"/>
    <cellStyle name="Normal 244 3 3" xfId="21079" xr:uid="{00000000-0005-0000-0000-000057510000}"/>
    <cellStyle name="Normal 244 3 3 2" xfId="21080" xr:uid="{00000000-0005-0000-0000-000058510000}"/>
    <cellStyle name="Normal 244 3 3 2 2" xfId="21081" xr:uid="{00000000-0005-0000-0000-000059510000}"/>
    <cellStyle name="Normal 244 3 3 3" xfId="21082" xr:uid="{00000000-0005-0000-0000-00005A510000}"/>
    <cellStyle name="Normal 244 3 4" xfId="21083" xr:uid="{00000000-0005-0000-0000-00005B510000}"/>
    <cellStyle name="Normal 244 3 4 2" xfId="21084" xr:uid="{00000000-0005-0000-0000-00005C510000}"/>
    <cellStyle name="Normal 244 3 4 2 2" xfId="21085" xr:uid="{00000000-0005-0000-0000-00005D510000}"/>
    <cellStyle name="Normal 244 3 4 3" xfId="21086" xr:uid="{00000000-0005-0000-0000-00005E510000}"/>
    <cellStyle name="Normal 244 3 5" xfId="21087" xr:uid="{00000000-0005-0000-0000-00005F510000}"/>
    <cellStyle name="Normal 244 4" xfId="21088" xr:uid="{00000000-0005-0000-0000-000060510000}"/>
    <cellStyle name="Normal 244 4 2" xfId="21089" xr:uid="{00000000-0005-0000-0000-000061510000}"/>
    <cellStyle name="Normal 244 4 2 2" xfId="21090" xr:uid="{00000000-0005-0000-0000-000062510000}"/>
    <cellStyle name="Normal 244 4 2 2 2" xfId="21091" xr:uid="{00000000-0005-0000-0000-000063510000}"/>
    <cellStyle name="Normal 244 4 2 3" xfId="21092" xr:uid="{00000000-0005-0000-0000-000064510000}"/>
    <cellStyle name="Normal 244 4 2 3 2" xfId="21093" xr:uid="{00000000-0005-0000-0000-000065510000}"/>
    <cellStyle name="Normal 244 4 2 3 2 2" xfId="21094" xr:uid="{00000000-0005-0000-0000-000066510000}"/>
    <cellStyle name="Normal 244 4 2 3 3" xfId="21095" xr:uid="{00000000-0005-0000-0000-000067510000}"/>
    <cellStyle name="Normal 244 4 2 4" xfId="21096" xr:uid="{00000000-0005-0000-0000-000068510000}"/>
    <cellStyle name="Normal 244 4 3" xfId="21097" xr:uid="{00000000-0005-0000-0000-000069510000}"/>
    <cellStyle name="Normal 244 4 3 2" xfId="21098" xr:uid="{00000000-0005-0000-0000-00006A510000}"/>
    <cellStyle name="Normal 244 4 3 2 2" xfId="21099" xr:uid="{00000000-0005-0000-0000-00006B510000}"/>
    <cellStyle name="Normal 244 4 3 3" xfId="21100" xr:uid="{00000000-0005-0000-0000-00006C510000}"/>
    <cellStyle name="Normal 244 4 4" xfId="21101" xr:uid="{00000000-0005-0000-0000-00006D510000}"/>
    <cellStyle name="Normal 244 4 4 2" xfId="21102" xr:uid="{00000000-0005-0000-0000-00006E510000}"/>
    <cellStyle name="Normal 244 4 4 2 2" xfId="21103" xr:uid="{00000000-0005-0000-0000-00006F510000}"/>
    <cellStyle name="Normal 244 4 4 3" xfId="21104" xr:uid="{00000000-0005-0000-0000-000070510000}"/>
    <cellStyle name="Normal 244 4 5" xfId="21105" xr:uid="{00000000-0005-0000-0000-000071510000}"/>
    <cellStyle name="Normal 244 4 5 2" xfId="21106" xr:uid="{00000000-0005-0000-0000-000072510000}"/>
    <cellStyle name="Normal 244 4 5 2 2" xfId="21107" xr:uid="{00000000-0005-0000-0000-000073510000}"/>
    <cellStyle name="Normal 244 4 5 3" xfId="21108" xr:uid="{00000000-0005-0000-0000-000074510000}"/>
    <cellStyle name="Normal 244 4 6" xfId="21109" xr:uid="{00000000-0005-0000-0000-000075510000}"/>
    <cellStyle name="Normal 244 5" xfId="21110" xr:uid="{00000000-0005-0000-0000-000076510000}"/>
    <cellStyle name="Normal 244 5 2" xfId="21111" xr:uid="{00000000-0005-0000-0000-000077510000}"/>
    <cellStyle name="Normal 244 5 2 2" xfId="21112" xr:uid="{00000000-0005-0000-0000-000078510000}"/>
    <cellStyle name="Normal 244 5 3" xfId="21113" xr:uid="{00000000-0005-0000-0000-000079510000}"/>
    <cellStyle name="Normal 244 6" xfId="21114" xr:uid="{00000000-0005-0000-0000-00007A510000}"/>
    <cellStyle name="Normal 244 6 2" xfId="21115" xr:uid="{00000000-0005-0000-0000-00007B510000}"/>
    <cellStyle name="Normal 244 6 2 2" xfId="21116" xr:uid="{00000000-0005-0000-0000-00007C510000}"/>
    <cellStyle name="Normal 244 6 3" xfId="21117" xr:uid="{00000000-0005-0000-0000-00007D510000}"/>
    <cellStyle name="Normal 244 7" xfId="21118" xr:uid="{00000000-0005-0000-0000-00007E510000}"/>
    <cellStyle name="Normal 244 7 2" xfId="21119" xr:uid="{00000000-0005-0000-0000-00007F510000}"/>
    <cellStyle name="Normal 244 7 2 2" xfId="21120" xr:uid="{00000000-0005-0000-0000-000080510000}"/>
    <cellStyle name="Normal 244 7 3" xfId="21121" xr:uid="{00000000-0005-0000-0000-000081510000}"/>
    <cellStyle name="Normal 244 8" xfId="21122" xr:uid="{00000000-0005-0000-0000-000082510000}"/>
    <cellStyle name="Normal 245" xfId="21123" xr:uid="{00000000-0005-0000-0000-000083510000}"/>
    <cellStyle name="Normal 245 2" xfId="21124" xr:uid="{00000000-0005-0000-0000-000084510000}"/>
    <cellStyle name="Normal 245 2 2" xfId="21125" xr:uid="{00000000-0005-0000-0000-000085510000}"/>
    <cellStyle name="Normal 245 2 2 2" xfId="21126" xr:uid="{00000000-0005-0000-0000-000086510000}"/>
    <cellStyle name="Normal 245 2 2 2 2" xfId="21127" xr:uid="{00000000-0005-0000-0000-000087510000}"/>
    <cellStyle name="Normal 245 2 2 3" xfId="21128" xr:uid="{00000000-0005-0000-0000-000088510000}"/>
    <cellStyle name="Normal 245 2 2 3 2" xfId="21129" xr:uid="{00000000-0005-0000-0000-000089510000}"/>
    <cellStyle name="Normal 245 2 2 3 2 2" xfId="21130" xr:uid="{00000000-0005-0000-0000-00008A510000}"/>
    <cellStyle name="Normal 245 2 2 3 3" xfId="21131" xr:uid="{00000000-0005-0000-0000-00008B510000}"/>
    <cellStyle name="Normal 245 2 2 4" xfId="21132" xr:uid="{00000000-0005-0000-0000-00008C510000}"/>
    <cellStyle name="Normal 245 2 2 4 2" xfId="21133" xr:uid="{00000000-0005-0000-0000-00008D510000}"/>
    <cellStyle name="Normal 245 2 2 4 2 2" xfId="21134" xr:uid="{00000000-0005-0000-0000-00008E510000}"/>
    <cellStyle name="Normal 245 2 2 4 3" xfId="21135" xr:uid="{00000000-0005-0000-0000-00008F510000}"/>
    <cellStyle name="Normal 245 2 2 5" xfId="21136" xr:uid="{00000000-0005-0000-0000-000090510000}"/>
    <cellStyle name="Normal 245 2 3" xfId="21137" xr:uid="{00000000-0005-0000-0000-000091510000}"/>
    <cellStyle name="Normal 245 2 3 2" xfId="21138" xr:uid="{00000000-0005-0000-0000-000092510000}"/>
    <cellStyle name="Normal 245 2 3 2 2" xfId="21139" xr:uid="{00000000-0005-0000-0000-000093510000}"/>
    <cellStyle name="Normal 245 2 3 2 2 2" xfId="21140" xr:uid="{00000000-0005-0000-0000-000094510000}"/>
    <cellStyle name="Normal 245 2 3 2 3" xfId="21141" xr:uid="{00000000-0005-0000-0000-000095510000}"/>
    <cellStyle name="Normal 245 2 3 2 3 2" xfId="21142" xr:uid="{00000000-0005-0000-0000-000096510000}"/>
    <cellStyle name="Normal 245 2 3 2 3 2 2" xfId="21143" xr:uid="{00000000-0005-0000-0000-000097510000}"/>
    <cellStyle name="Normal 245 2 3 2 3 3" xfId="21144" xr:uid="{00000000-0005-0000-0000-000098510000}"/>
    <cellStyle name="Normal 245 2 3 2 4" xfId="21145" xr:uid="{00000000-0005-0000-0000-000099510000}"/>
    <cellStyle name="Normal 245 2 3 3" xfId="21146" xr:uid="{00000000-0005-0000-0000-00009A510000}"/>
    <cellStyle name="Normal 245 2 3 3 2" xfId="21147" xr:uid="{00000000-0005-0000-0000-00009B510000}"/>
    <cellStyle name="Normal 245 2 3 3 2 2" xfId="21148" xr:uid="{00000000-0005-0000-0000-00009C510000}"/>
    <cellStyle name="Normal 245 2 3 3 3" xfId="21149" xr:uid="{00000000-0005-0000-0000-00009D510000}"/>
    <cellStyle name="Normal 245 2 3 4" xfId="21150" xr:uid="{00000000-0005-0000-0000-00009E510000}"/>
    <cellStyle name="Normal 245 2 3 4 2" xfId="21151" xr:uid="{00000000-0005-0000-0000-00009F510000}"/>
    <cellStyle name="Normal 245 2 3 4 2 2" xfId="21152" xr:uid="{00000000-0005-0000-0000-0000A0510000}"/>
    <cellStyle name="Normal 245 2 3 4 3" xfId="21153" xr:uid="{00000000-0005-0000-0000-0000A1510000}"/>
    <cellStyle name="Normal 245 2 3 5" xfId="21154" xr:uid="{00000000-0005-0000-0000-0000A2510000}"/>
    <cellStyle name="Normal 245 2 3 5 2" xfId="21155" xr:uid="{00000000-0005-0000-0000-0000A3510000}"/>
    <cellStyle name="Normal 245 2 3 5 2 2" xfId="21156" xr:uid="{00000000-0005-0000-0000-0000A4510000}"/>
    <cellStyle name="Normal 245 2 3 5 3" xfId="21157" xr:uid="{00000000-0005-0000-0000-0000A5510000}"/>
    <cellStyle name="Normal 245 2 3 6" xfId="21158" xr:uid="{00000000-0005-0000-0000-0000A6510000}"/>
    <cellStyle name="Normal 245 2 4" xfId="21159" xr:uid="{00000000-0005-0000-0000-0000A7510000}"/>
    <cellStyle name="Normal 245 2 4 2" xfId="21160" xr:uid="{00000000-0005-0000-0000-0000A8510000}"/>
    <cellStyle name="Normal 245 2 4 2 2" xfId="21161" xr:uid="{00000000-0005-0000-0000-0000A9510000}"/>
    <cellStyle name="Normal 245 2 4 3" xfId="21162" xr:uid="{00000000-0005-0000-0000-0000AA510000}"/>
    <cellStyle name="Normal 245 2 5" xfId="21163" xr:uid="{00000000-0005-0000-0000-0000AB510000}"/>
    <cellStyle name="Normal 245 2 5 2" xfId="21164" xr:uid="{00000000-0005-0000-0000-0000AC510000}"/>
    <cellStyle name="Normal 245 2 5 2 2" xfId="21165" xr:uid="{00000000-0005-0000-0000-0000AD510000}"/>
    <cellStyle name="Normal 245 2 5 3" xfId="21166" xr:uid="{00000000-0005-0000-0000-0000AE510000}"/>
    <cellStyle name="Normal 245 2 6" xfId="21167" xr:uid="{00000000-0005-0000-0000-0000AF510000}"/>
    <cellStyle name="Normal 245 2 6 2" xfId="21168" xr:uid="{00000000-0005-0000-0000-0000B0510000}"/>
    <cellStyle name="Normal 245 2 6 2 2" xfId="21169" xr:uid="{00000000-0005-0000-0000-0000B1510000}"/>
    <cellStyle name="Normal 245 2 6 3" xfId="21170" xr:uid="{00000000-0005-0000-0000-0000B2510000}"/>
    <cellStyle name="Normal 245 2 7" xfId="21171" xr:uid="{00000000-0005-0000-0000-0000B3510000}"/>
    <cellStyle name="Normal 245 3" xfId="21172" xr:uid="{00000000-0005-0000-0000-0000B4510000}"/>
    <cellStyle name="Normal 245 3 2" xfId="21173" xr:uid="{00000000-0005-0000-0000-0000B5510000}"/>
    <cellStyle name="Normal 245 3 2 2" xfId="21174" xr:uid="{00000000-0005-0000-0000-0000B6510000}"/>
    <cellStyle name="Normal 245 3 3" xfId="21175" xr:uid="{00000000-0005-0000-0000-0000B7510000}"/>
    <cellStyle name="Normal 245 3 3 2" xfId="21176" xr:uid="{00000000-0005-0000-0000-0000B8510000}"/>
    <cellStyle name="Normal 245 3 3 2 2" xfId="21177" xr:uid="{00000000-0005-0000-0000-0000B9510000}"/>
    <cellStyle name="Normal 245 3 3 3" xfId="21178" xr:uid="{00000000-0005-0000-0000-0000BA510000}"/>
    <cellStyle name="Normal 245 3 4" xfId="21179" xr:uid="{00000000-0005-0000-0000-0000BB510000}"/>
    <cellStyle name="Normal 245 3 4 2" xfId="21180" xr:uid="{00000000-0005-0000-0000-0000BC510000}"/>
    <cellStyle name="Normal 245 3 4 2 2" xfId="21181" xr:uid="{00000000-0005-0000-0000-0000BD510000}"/>
    <cellStyle name="Normal 245 3 4 3" xfId="21182" xr:uid="{00000000-0005-0000-0000-0000BE510000}"/>
    <cellStyle name="Normal 245 3 5" xfId="21183" xr:uid="{00000000-0005-0000-0000-0000BF510000}"/>
    <cellStyle name="Normal 245 4" xfId="21184" xr:uid="{00000000-0005-0000-0000-0000C0510000}"/>
    <cellStyle name="Normal 245 4 2" xfId="21185" xr:uid="{00000000-0005-0000-0000-0000C1510000}"/>
    <cellStyle name="Normal 245 4 2 2" xfId="21186" xr:uid="{00000000-0005-0000-0000-0000C2510000}"/>
    <cellStyle name="Normal 245 4 2 2 2" xfId="21187" xr:uid="{00000000-0005-0000-0000-0000C3510000}"/>
    <cellStyle name="Normal 245 4 2 3" xfId="21188" xr:uid="{00000000-0005-0000-0000-0000C4510000}"/>
    <cellStyle name="Normal 245 4 2 3 2" xfId="21189" xr:uid="{00000000-0005-0000-0000-0000C5510000}"/>
    <cellStyle name="Normal 245 4 2 3 2 2" xfId="21190" xr:uid="{00000000-0005-0000-0000-0000C6510000}"/>
    <cellStyle name="Normal 245 4 2 3 3" xfId="21191" xr:uid="{00000000-0005-0000-0000-0000C7510000}"/>
    <cellStyle name="Normal 245 4 2 4" xfId="21192" xr:uid="{00000000-0005-0000-0000-0000C8510000}"/>
    <cellStyle name="Normal 245 4 3" xfId="21193" xr:uid="{00000000-0005-0000-0000-0000C9510000}"/>
    <cellStyle name="Normal 245 4 3 2" xfId="21194" xr:uid="{00000000-0005-0000-0000-0000CA510000}"/>
    <cellStyle name="Normal 245 4 3 2 2" xfId="21195" xr:uid="{00000000-0005-0000-0000-0000CB510000}"/>
    <cellStyle name="Normal 245 4 3 3" xfId="21196" xr:uid="{00000000-0005-0000-0000-0000CC510000}"/>
    <cellStyle name="Normal 245 4 4" xfId="21197" xr:uid="{00000000-0005-0000-0000-0000CD510000}"/>
    <cellStyle name="Normal 245 4 4 2" xfId="21198" xr:uid="{00000000-0005-0000-0000-0000CE510000}"/>
    <cellStyle name="Normal 245 4 4 2 2" xfId="21199" xr:uid="{00000000-0005-0000-0000-0000CF510000}"/>
    <cellStyle name="Normal 245 4 4 3" xfId="21200" xr:uid="{00000000-0005-0000-0000-0000D0510000}"/>
    <cellStyle name="Normal 245 4 5" xfId="21201" xr:uid="{00000000-0005-0000-0000-0000D1510000}"/>
    <cellStyle name="Normal 245 4 5 2" xfId="21202" xr:uid="{00000000-0005-0000-0000-0000D2510000}"/>
    <cellStyle name="Normal 245 4 5 2 2" xfId="21203" xr:uid="{00000000-0005-0000-0000-0000D3510000}"/>
    <cellStyle name="Normal 245 4 5 3" xfId="21204" xr:uid="{00000000-0005-0000-0000-0000D4510000}"/>
    <cellStyle name="Normal 245 4 6" xfId="21205" xr:uid="{00000000-0005-0000-0000-0000D5510000}"/>
    <cellStyle name="Normal 245 5" xfId="21206" xr:uid="{00000000-0005-0000-0000-0000D6510000}"/>
    <cellStyle name="Normal 245 5 2" xfId="21207" xr:uid="{00000000-0005-0000-0000-0000D7510000}"/>
    <cellStyle name="Normal 245 5 2 2" xfId="21208" xr:uid="{00000000-0005-0000-0000-0000D8510000}"/>
    <cellStyle name="Normal 245 5 3" xfId="21209" xr:uid="{00000000-0005-0000-0000-0000D9510000}"/>
    <cellStyle name="Normal 245 6" xfId="21210" xr:uid="{00000000-0005-0000-0000-0000DA510000}"/>
    <cellStyle name="Normal 245 6 2" xfId="21211" xr:uid="{00000000-0005-0000-0000-0000DB510000}"/>
    <cellStyle name="Normal 245 6 2 2" xfId="21212" xr:uid="{00000000-0005-0000-0000-0000DC510000}"/>
    <cellStyle name="Normal 245 6 3" xfId="21213" xr:uid="{00000000-0005-0000-0000-0000DD510000}"/>
    <cellStyle name="Normal 245 7" xfId="21214" xr:uid="{00000000-0005-0000-0000-0000DE510000}"/>
    <cellStyle name="Normal 245 7 2" xfId="21215" xr:uid="{00000000-0005-0000-0000-0000DF510000}"/>
    <cellStyle name="Normal 245 7 2 2" xfId="21216" xr:uid="{00000000-0005-0000-0000-0000E0510000}"/>
    <cellStyle name="Normal 245 7 3" xfId="21217" xr:uid="{00000000-0005-0000-0000-0000E1510000}"/>
    <cellStyle name="Normal 245 8" xfId="21218" xr:uid="{00000000-0005-0000-0000-0000E2510000}"/>
    <cellStyle name="Normal 246" xfId="21219" xr:uid="{00000000-0005-0000-0000-0000E3510000}"/>
    <cellStyle name="Normal 246 2" xfId="21220" xr:uid="{00000000-0005-0000-0000-0000E4510000}"/>
    <cellStyle name="Normal 246 2 2" xfId="21221" xr:uid="{00000000-0005-0000-0000-0000E5510000}"/>
    <cellStyle name="Normal 246 2 2 2" xfId="21222" xr:uid="{00000000-0005-0000-0000-0000E6510000}"/>
    <cellStyle name="Normal 246 2 2 2 2" xfId="21223" xr:uid="{00000000-0005-0000-0000-0000E7510000}"/>
    <cellStyle name="Normal 246 2 2 3" xfId="21224" xr:uid="{00000000-0005-0000-0000-0000E8510000}"/>
    <cellStyle name="Normal 246 2 2 3 2" xfId="21225" xr:uid="{00000000-0005-0000-0000-0000E9510000}"/>
    <cellStyle name="Normal 246 2 2 3 2 2" xfId="21226" xr:uid="{00000000-0005-0000-0000-0000EA510000}"/>
    <cellStyle name="Normal 246 2 2 3 3" xfId="21227" xr:uid="{00000000-0005-0000-0000-0000EB510000}"/>
    <cellStyle name="Normal 246 2 2 4" xfId="21228" xr:uid="{00000000-0005-0000-0000-0000EC510000}"/>
    <cellStyle name="Normal 246 2 2 4 2" xfId="21229" xr:uid="{00000000-0005-0000-0000-0000ED510000}"/>
    <cellStyle name="Normal 246 2 2 4 2 2" xfId="21230" xr:uid="{00000000-0005-0000-0000-0000EE510000}"/>
    <cellStyle name="Normal 246 2 2 4 3" xfId="21231" xr:uid="{00000000-0005-0000-0000-0000EF510000}"/>
    <cellStyle name="Normal 246 2 2 5" xfId="21232" xr:uid="{00000000-0005-0000-0000-0000F0510000}"/>
    <cellStyle name="Normal 246 2 3" xfId="21233" xr:uid="{00000000-0005-0000-0000-0000F1510000}"/>
    <cellStyle name="Normal 246 2 3 2" xfId="21234" xr:uid="{00000000-0005-0000-0000-0000F2510000}"/>
    <cellStyle name="Normal 246 2 3 2 2" xfId="21235" xr:uid="{00000000-0005-0000-0000-0000F3510000}"/>
    <cellStyle name="Normal 246 2 3 2 2 2" xfId="21236" xr:uid="{00000000-0005-0000-0000-0000F4510000}"/>
    <cellStyle name="Normal 246 2 3 2 3" xfId="21237" xr:uid="{00000000-0005-0000-0000-0000F5510000}"/>
    <cellStyle name="Normal 246 2 3 2 3 2" xfId="21238" xr:uid="{00000000-0005-0000-0000-0000F6510000}"/>
    <cellStyle name="Normal 246 2 3 2 3 2 2" xfId="21239" xr:uid="{00000000-0005-0000-0000-0000F7510000}"/>
    <cellStyle name="Normal 246 2 3 2 3 3" xfId="21240" xr:uid="{00000000-0005-0000-0000-0000F8510000}"/>
    <cellStyle name="Normal 246 2 3 2 4" xfId="21241" xr:uid="{00000000-0005-0000-0000-0000F9510000}"/>
    <cellStyle name="Normal 246 2 3 3" xfId="21242" xr:uid="{00000000-0005-0000-0000-0000FA510000}"/>
    <cellStyle name="Normal 246 2 3 3 2" xfId="21243" xr:uid="{00000000-0005-0000-0000-0000FB510000}"/>
    <cellStyle name="Normal 246 2 3 3 2 2" xfId="21244" xr:uid="{00000000-0005-0000-0000-0000FC510000}"/>
    <cellStyle name="Normal 246 2 3 3 3" xfId="21245" xr:uid="{00000000-0005-0000-0000-0000FD510000}"/>
    <cellStyle name="Normal 246 2 3 4" xfId="21246" xr:uid="{00000000-0005-0000-0000-0000FE510000}"/>
    <cellStyle name="Normal 246 2 3 4 2" xfId="21247" xr:uid="{00000000-0005-0000-0000-0000FF510000}"/>
    <cellStyle name="Normal 246 2 3 4 2 2" xfId="21248" xr:uid="{00000000-0005-0000-0000-000000520000}"/>
    <cellStyle name="Normal 246 2 3 4 3" xfId="21249" xr:uid="{00000000-0005-0000-0000-000001520000}"/>
    <cellStyle name="Normal 246 2 3 5" xfId="21250" xr:uid="{00000000-0005-0000-0000-000002520000}"/>
    <cellStyle name="Normal 246 2 3 5 2" xfId="21251" xr:uid="{00000000-0005-0000-0000-000003520000}"/>
    <cellStyle name="Normal 246 2 3 5 2 2" xfId="21252" xr:uid="{00000000-0005-0000-0000-000004520000}"/>
    <cellStyle name="Normal 246 2 3 5 3" xfId="21253" xr:uid="{00000000-0005-0000-0000-000005520000}"/>
    <cellStyle name="Normal 246 2 3 6" xfId="21254" xr:uid="{00000000-0005-0000-0000-000006520000}"/>
    <cellStyle name="Normal 246 2 4" xfId="21255" xr:uid="{00000000-0005-0000-0000-000007520000}"/>
    <cellStyle name="Normal 246 2 4 2" xfId="21256" xr:uid="{00000000-0005-0000-0000-000008520000}"/>
    <cellStyle name="Normal 246 2 4 2 2" xfId="21257" xr:uid="{00000000-0005-0000-0000-000009520000}"/>
    <cellStyle name="Normal 246 2 4 3" xfId="21258" xr:uid="{00000000-0005-0000-0000-00000A520000}"/>
    <cellStyle name="Normal 246 2 5" xfId="21259" xr:uid="{00000000-0005-0000-0000-00000B520000}"/>
    <cellStyle name="Normal 246 2 5 2" xfId="21260" xr:uid="{00000000-0005-0000-0000-00000C520000}"/>
    <cellStyle name="Normal 246 2 5 2 2" xfId="21261" xr:uid="{00000000-0005-0000-0000-00000D520000}"/>
    <cellStyle name="Normal 246 2 5 3" xfId="21262" xr:uid="{00000000-0005-0000-0000-00000E520000}"/>
    <cellStyle name="Normal 246 2 6" xfId="21263" xr:uid="{00000000-0005-0000-0000-00000F520000}"/>
    <cellStyle name="Normal 246 2 6 2" xfId="21264" xr:uid="{00000000-0005-0000-0000-000010520000}"/>
    <cellStyle name="Normal 246 2 6 2 2" xfId="21265" xr:uid="{00000000-0005-0000-0000-000011520000}"/>
    <cellStyle name="Normal 246 2 6 3" xfId="21266" xr:uid="{00000000-0005-0000-0000-000012520000}"/>
    <cellStyle name="Normal 246 2 7" xfId="21267" xr:uid="{00000000-0005-0000-0000-000013520000}"/>
    <cellStyle name="Normal 246 3" xfId="21268" xr:uid="{00000000-0005-0000-0000-000014520000}"/>
    <cellStyle name="Normal 246 3 2" xfId="21269" xr:uid="{00000000-0005-0000-0000-000015520000}"/>
    <cellStyle name="Normal 246 3 2 2" xfId="21270" xr:uid="{00000000-0005-0000-0000-000016520000}"/>
    <cellStyle name="Normal 246 3 3" xfId="21271" xr:uid="{00000000-0005-0000-0000-000017520000}"/>
    <cellStyle name="Normal 246 3 3 2" xfId="21272" xr:uid="{00000000-0005-0000-0000-000018520000}"/>
    <cellStyle name="Normal 246 3 3 2 2" xfId="21273" xr:uid="{00000000-0005-0000-0000-000019520000}"/>
    <cellStyle name="Normal 246 3 3 3" xfId="21274" xr:uid="{00000000-0005-0000-0000-00001A520000}"/>
    <cellStyle name="Normal 246 3 4" xfId="21275" xr:uid="{00000000-0005-0000-0000-00001B520000}"/>
    <cellStyle name="Normal 246 3 4 2" xfId="21276" xr:uid="{00000000-0005-0000-0000-00001C520000}"/>
    <cellStyle name="Normal 246 3 4 2 2" xfId="21277" xr:uid="{00000000-0005-0000-0000-00001D520000}"/>
    <cellStyle name="Normal 246 3 4 3" xfId="21278" xr:uid="{00000000-0005-0000-0000-00001E520000}"/>
    <cellStyle name="Normal 246 3 5" xfId="21279" xr:uid="{00000000-0005-0000-0000-00001F520000}"/>
    <cellStyle name="Normal 246 4" xfId="21280" xr:uid="{00000000-0005-0000-0000-000020520000}"/>
    <cellStyle name="Normal 246 4 2" xfId="21281" xr:uid="{00000000-0005-0000-0000-000021520000}"/>
    <cellStyle name="Normal 246 4 2 2" xfId="21282" xr:uid="{00000000-0005-0000-0000-000022520000}"/>
    <cellStyle name="Normal 246 4 2 2 2" xfId="21283" xr:uid="{00000000-0005-0000-0000-000023520000}"/>
    <cellStyle name="Normal 246 4 2 3" xfId="21284" xr:uid="{00000000-0005-0000-0000-000024520000}"/>
    <cellStyle name="Normal 246 4 2 3 2" xfId="21285" xr:uid="{00000000-0005-0000-0000-000025520000}"/>
    <cellStyle name="Normal 246 4 2 3 2 2" xfId="21286" xr:uid="{00000000-0005-0000-0000-000026520000}"/>
    <cellStyle name="Normal 246 4 2 3 3" xfId="21287" xr:uid="{00000000-0005-0000-0000-000027520000}"/>
    <cellStyle name="Normal 246 4 2 4" xfId="21288" xr:uid="{00000000-0005-0000-0000-000028520000}"/>
    <cellStyle name="Normal 246 4 3" xfId="21289" xr:uid="{00000000-0005-0000-0000-000029520000}"/>
    <cellStyle name="Normal 246 4 3 2" xfId="21290" xr:uid="{00000000-0005-0000-0000-00002A520000}"/>
    <cellStyle name="Normal 246 4 3 2 2" xfId="21291" xr:uid="{00000000-0005-0000-0000-00002B520000}"/>
    <cellStyle name="Normal 246 4 3 3" xfId="21292" xr:uid="{00000000-0005-0000-0000-00002C520000}"/>
    <cellStyle name="Normal 246 4 4" xfId="21293" xr:uid="{00000000-0005-0000-0000-00002D520000}"/>
    <cellStyle name="Normal 246 4 4 2" xfId="21294" xr:uid="{00000000-0005-0000-0000-00002E520000}"/>
    <cellStyle name="Normal 246 4 4 2 2" xfId="21295" xr:uid="{00000000-0005-0000-0000-00002F520000}"/>
    <cellStyle name="Normal 246 4 4 3" xfId="21296" xr:uid="{00000000-0005-0000-0000-000030520000}"/>
    <cellStyle name="Normal 246 4 5" xfId="21297" xr:uid="{00000000-0005-0000-0000-000031520000}"/>
    <cellStyle name="Normal 246 4 5 2" xfId="21298" xr:uid="{00000000-0005-0000-0000-000032520000}"/>
    <cellStyle name="Normal 246 4 5 2 2" xfId="21299" xr:uid="{00000000-0005-0000-0000-000033520000}"/>
    <cellStyle name="Normal 246 4 5 3" xfId="21300" xr:uid="{00000000-0005-0000-0000-000034520000}"/>
    <cellStyle name="Normal 246 4 6" xfId="21301" xr:uid="{00000000-0005-0000-0000-000035520000}"/>
    <cellStyle name="Normal 246 5" xfId="21302" xr:uid="{00000000-0005-0000-0000-000036520000}"/>
    <cellStyle name="Normal 246 5 2" xfId="21303" xr:uid="{00000000-0005-0000-0000-000037520000}"/>
    <cellStyle name="Normal 246 5 2 2" xfId="21304" xr:uid="{00000000-0005-0000-0000-000038520000}"/>
    <cellStyle name="Normal 246 5 3" xfId="21305" xr:uid="{00000000-0005-0000-0000-000039520000}"/>
    <cellStyle name="Normal 246 6" xfId="21306" xr:uid="{00000000-0005-0000-0000-00003A520000}"/>
    <cellStyle name="Normal 246 6 2" xfId="21307" xr:uid="{00000000-0005-0000-0000-00003B520000}"/>
    <cellStyle name="Normal 246 6 2 2" xfId="21308" xr:uid="{00000000-0005-0000-0000-00003C520000}"/>
    <cellStyle name="Normal 246 6 3" xfId="21309" xr:uid="{00000000-0005-0000-0000-00003D520000}"/>
    <cellStyle name="Normal 246 7" xfId="21310" xr:uid="{00000000-0005-0000-0000-00003E520000}"/>
    <cellStyle name="Normal 246 7 2" xfId="21311" xr:uid="{00000000-0005-0000-0000-00003F520000}"/>
    <cellStyle name="Normal 246 7 2 2" xfId="21312" xr:uid="{00000000-0005-0000-0000-000040520000}"/>
    <cellStyle name="Normal 246 7 3" xfId="21313" xr:uid="{00000000-0005-0000-0000-000041520000}"/>
    <cellStyle name="Normal 246 8" xfId="21314" xr:uid="{00000000-0005-0000-0000-000042520000}"/>
    <cellStyle name="Normal 247" xfId="21315" xr:uid="{00000000-0005-0000-0000-000043520000}"/>
    <cellStyle name="Normal 247 2" xfId="21316" xr:uid="{00000000-0005-0000-0000-000044520000}"/>
    <cellStyle name="Normal 247 2 2" xfId="21317" xr:uid="{00000000-0005-0000-0000-000045520000}"/>
    <cellStyle name="Normal 247 2 2 2" xfId="21318" xr:uid="{00000000-0005-0000-0000-000046520000}"/>
    <cellStyle name="Normal 247 2 2 2 2" xfId="21319" xr:uid="{00000000-0005-0000-0000-000047520000}"/>
    <cellStyle name="Normal 247 2 2 3" xfId="21320" xr:uid="{00000000-0005-0000-0000-000048520000}"/>
    <cellStyle name="Normal 247 2 2 3 2" xfId="21321" xr:uid="{00000000-0005-0000-0000-000049520000}"/>
    <cellStyle name="Normal 247 2 2 3 2 2" xfId="21322" xr:uid="{00000000-0005-0000-0000-00004A520000}"/>
    <cellStyle name="Normal 247 2 2 3 3" xfId="21323" xr:uid="{00000000-0005-0000-0000-00004B520000}"/>
    <cellStyle name="Normal 247 2 2 4" xfId="21324" xr:uid="{00000000-0005-0000-0000-00004C520000}"/>
    <cellStyle name="Normal 247 2 2 4 2" xfId="21325" xr:uid="{00000000-0005-0000-0000-00004D520000}"/>
    <cellStyle name="Normal 247 2 2 4 2 2" xfId="21326" xr:uid="{00000000-0005-0000-0000-00004E520000}"/>
    <cellStyle name="Normal 247 2 2 4 3" xfId="21327" xr:uid="{00000000-0005-0000-0000-00004F520000}"/>
    <cellStyle name="Normal 247 2 2 5" xfId="21328" xr:uid="{00000000-0005-0000-0000-000050520000}"/>
    <cellStyle name="Normal 247 2 3" xfId="21329" xr:uid="{00000000-0005-0000-0000-000051520000}"/>
    <cellStyle name="Normal 247 2 3 2" xfId="21330" xr:uid="{00000000-0005-0000-0000-000052520000}"/>
    <cellStyle name="Normal 247 2 3 2 2" xfId="21331" xr:uid="{00000000-0005-0000-0000-000053520000}"/>
    <cellStyle name="Normal 247 2 3 2 2 2" xfId="21332" xr:uid="{00000000-0005-0000-0000-000054520000}"/>
    <cellStyle name="Normal 247 2 3 2 3" xfId="21333" xr:uid="{00000000-0005-0000-0000-000055520000}"/>
    <cellStyle name="Normal 247 2 3 2 3 2" xfId="21334" xr:uid="{00000000-0005-0000-0000-000056520000}"/>
    <cellStyle name="Normal 247 2 3 2 3 2 2" xfId="21335" xr:uid="{00000000-0005-0000-0000-000057520000}"/>
    <cellStyle name="Normal 247 2 3 2 3 3" xfId="21336" xr:uid="{00000000-0005-0000-0000-000058520000}"/>
    <cellStyle name="Normal 247 2 3 2 4" xfId="21337" xr:uid="{00000000-0005-0000-0000-000059520000}"/>
    <cellStyle name="Normal 247 2 3 3" xfId="21338" xr:uid="{00000000-0005-0000-0000-00005A520000}"/>
    <cellStyle name="Normal 247 2 3 3 2" xfId="21339" xr:uid="{00000000-0005-0000-0000-00005B520000}"/>
    <cellStyle name="Normal 247 2 3 3 2 2" xfId="21340" xr:uid="{00000000-0005-0000-0000-00005C520000}"/>
    <cellStyle name="Normal 247 2 3 3 3" xfId="21341" xr:uid="{00000000-0005-0000-0000-00005D520000}"/>
    <cellStyle name="Normal 247 2 3 4" xfId="21342" xr:uid="{00000000-0005-0000-0000-00005E520000}"/>
    <cellStyle name="Normal 247 2 3 4 2" xfId="21343" xr:uid="{00000000-0005-0000-0000-00005F520000}"/>
    <cellStyle name="Normal 247 2 3 4 2 2" xfId="21344" xr:uid="{00000000-0005-0000-0000-000060520000}"/>
    <cellStyle name="Normal 247 2 3 4 3" xfId="21345" xr:uid="{00000000-0005-0000-0000-000061520000}"/>
    <cellStyle name="Normal 247 2 3 5" xfId="21346" xr:uid="{00000000-0005-0000-0000-000062520000}"/>
    <cellStyle name="Normal 247 2 3 5 2" xfId="21347" xr:uid="{00000000-0005-0000-0000-000063520000}"/>
    <cellStyle name="Normal 247 2 3 5 2 2" xfId="21348" xr:uid="{00000000-0005-0000-0000-000064520000}"/>
    <cellStyle name="Normal 247 2 3 5 3" xfId="21349" xr:uid="{00000000-0005-0000-0000-000065520000}"/>
    <cellStyle name="Normal 247 2 3 6" xfId="21350" xr:uid="{00000000-0005-0000-0000-000066520000}"/>
    <cellStyle name="Normal 247 2 4" xfId="21351" xr:uid="{00000000-0005-0000-0000-000067520000}"/>
    <cellStyle name="Normal 247 2 4 2" xfId="21352" xr:uid="{00000000-0005-0000-0000-000068520000}"/>
    <cellStyle name="Normal 247 2 4 2 2" xfId="21353" xr:uid="{00000000-0005-0000-0000-000069520000}"/>
    <cellStyle name="Normal 247 2 4 3" xfId="21354" xr:uid="{00000000-0005-0000-0000-00006A520000}"/>
    <cellStyle name="Normal 247 2 5" xfId="21355" xr:uid="{00000000-0005-0000-0000-00006B520000}"/>
    <cellStyle name="Normal 247 2 5 2" xfId="21356" xr:uid="{00000000-0005-0000-0000-00006C520000}"/>
    <cellStyle name="Normal 247 2 5 2 2" xfId="21357" xr:uid="{00000000-0005-0000-0000-00006D520000}"/>
    <cellStyle name="Normal 247 2 5 3" xfId="21358" xr:uid="{00000000-0005-0000-0000-00006E520000}"/>
    <cellStyle name="Normal 247 2 6" xfId="21359" xr:uid="{00000000-0005-0000-0000-00006F520000}"/>
    <cellStyle name="Normal 247 2 6 2" xfId="21360" xr:uid="{00000000-0005-0000-0000-000070520000}"/>
    <cellStyle name="Normal 247 2 6 2 2" xfId="21361" xr:uid="{00000000-0005-0000-0000-000071520000}"/>
    <cellStyle name="Normal 247 2 6 3" xfId="21362" xr:uid="{00000000-0005-0000-0000-000072520000}"/>
    <cellStyle name="Normal 247 2 7" xfId="21363" xr:uid="{00000000-0005-0000-0000-000073520000}"/>
    <cellStyle name="Normal 247 3" xfId="21364" xr:uid="{00000000-0005-0000-0000-000074520000}"/>
    <cellStyle name="Normal 247 3 2" xfId="21365" xr:uid="{00000000-0005-0000-0000-000075520000}"/>
    <cellStyle name="Normal 247 3 2 2" xfId="21366" xr:uid="{00000000-0005-0000-0000-000076520000}"/>
    <cellStyle name="Normal 247 3 3" xfId="21367" xr:uid="{00000000-0005-0000-0000-000077520000}"/>
    <cellStyle name="Normal 247 3 3 2" xfId="21368" xr:uid="{00000000-0005-0000-0000-000078520000}"/>
    <cellStyle name="Normal 247 3 3 2 2" xfId="21369" xr:uid="{00000000-0005-0000-0000-000079520000}"/>
    <cellStyle name="Normal 247 3 3 3" xfId="21370" xr:uid="{00000000-0005-0000-0000-00007A520000}"/>
    <cellStyle name="Normal 247 3 4" xfId="21371" xr:uid="{00000000-0005-0000-0000-00007B520000}"/>
    <cellStyle name="Normal 247 3 4 2" xfId="21372" xr:uid="{00000000-0005-0000-0000-00007C520000}"/>
    <cellStyle name="Normal 247 3 4 2 2" xfId="21373" xr:uid="{00000000-0005-0000-0000-00007D520000}"/>
    <cellStyle name="Normal 247 3 4 3" xfId="21374" xr:uid="{00000000-0005-0000-0000-00007E520000}"/>
    <cellStyle name="Normal 247 3 5" xfId="21375" xr:uid="{00000000-0005-0000-0000-00007F520000}"/>
    <cellStyle name="Normal 247 4" xfId="21376" xr:uid="{00000000-0005-0000-0000-000080520000}"/>
    <cellStyle name="Normal 247 4 2" xfId="21377" xr:uid="{00000000-0005-0000-0000-000081520000}"/>
    <cellStyle name="Normal 247 4 2 2" xfId="21378" xr:uid="{00000000-0005-0000-0000-000082520000}"/>
    <cellStyle name="Normal 247 4 2 2 2" xfId="21379" xr:uid="{00000000-0005-0000-0000-000083520000}"/>
    <cellStyle name="Normal 247 4 2 3" xfId="21380" xr:uid="{00000000-0005-0000-0000-000084520000}"/>
    <cellStyle name="Normal 247 4 2 3 2" xfId="21381" xr:uid="{00000000-0005-0000-0000-000085520000}"/>
    <cellStyle name="Normal 247 4 2 3 2 2" xfId="21382" xr:uid="{00000000-0005-0000-0000-000086520000}"/>
    <cellStyle name="Normal 247 4 2 3 3" xfId="21383" xr:uid="{00000000-0005-0000-0000-000087520000}"/>
    <cellStyle name="Normal 247 4 2 4" xfId="21384" xr:uid="{00000000-0005-0000-0000-000088520000}"/>
    <cellStyle name="Normal 247 4 3" xfId="21385" xr:uid="{00000000-0005-0000-0000-000089520000}"/>
    <cellStyle name="Normal 247 4 3 2" xfId="21386" xr:uid="{00000000-0005-0000-0000-00008A520000}"/>
    <cellStyle name="Normal 247 4 3 2 2" xfId="21387" xr:uid="{00000000-0005-0000-0000-00008B520000}"/>
    <cellStyle name="Normal 247 4 3 3" xfId="21388" xr:uid="{00000000-0005-0000-0000-00008C520000}"/>
    <cellStyle name="Normal 247 4 4" xfId="21389" xr:uid="{00000000-0005-0000-0000-00008D520000}"/>
    <cellStyle name="Normal 247 4 4 2" xfId="21390" xr:uid="{00000000-0005-0000-0000-00008E520000}"/>
    <cellStyle name="Normal 247 4 4 2 2" xfId="21391" xr:uid="{00000000-0005-0000-0000-00008F520000}"/>
    <cellStyle name="Normal 247 4 4 3" xfId="21392" xr:uid="{00000000-0005-0000-0000-000090520000}"/>
    <cellStyle name="Normal 247 4 5" xfId="21393" xr:uid="{00000000-0005-0000-0000-000091520000}"/>
    <cellStyle name="Normal 247 4 5 2" xfId="21394" xr:uid="{00000000-0005-0000-0000-000092520000}"/>
    <cellStyle name="Normal 247 4 5 2 2" xfId="21395" xr:uid="{00000000-0005-0000-0000-000093520000}"/>
    <cellStyle name="Normal 247 4 5 3" xfId="21396" xr:uid="{00000000-0005-0000-0000-000094520000}"/>
    <cellStyle name="Normal 247 4 6" xfId="21397" xr:uid="{00000000-0005-0000-0000-000095520000}"/>
    <cellStyle name="Normal 247 5" xfId="21398" xr:uid="{00000000-0005-0000-0000-000096520000}"/>
    <cellStyle name="Normal 247 5 2" xfId="21399" xr:uid="{00000000-0005-0000-0000-000097520000}"/>
    <cellStyle name="Normal 247 5 2 2" xfId="21400" xr:uid="{00000000-0005-0000-0000-000098520000}"/>
    <cellStyle name="Normal 247 5 3" xfId="21401" xr:uid="{00000000-0005-0000-0000-000099520000}"/>
    <cellStyle name="Normal 247 6" xfId="21402" xr:uid="{00000000-0005-0000-0000-00009A520000}"/>
    <cellStyle name="Normal 247 6 2" xfId="21403" xr:uid="{00000000-0005-0000-0000-00009B520000}"/>
    <cellStyle name="Normal 247 6 2 2" xfId="21404" xr:uid="{00000000-0005-0000-0000-00009C520000}"/>
    <cellStyle name="Normal 247 6 3" xfId="21405" xr:uid="{00000000-0005-0000-0000-00009D520000}"/>
    <cellStyle name="Normal 247 7" xfId="21406" xr:uid="{00000000-0005-0000-0000-00009E520000}"/>
    <cellStyle name="Normal 247 7 2" xfId="21407" xr:uid="{00000000-0005-0000-0000-00009F520000}"/>
    <cellStyle name="Normal 247 7 2 2" xfId="21408" xr:uid="{00000000-0005-0000-0000-0000A0520000}"/>
    <cellStyle name="Normal 247 7 3" xfId="21409" xr:uid="{00000000-0005-0000-0000-0000A1520000}"/>
    <cellStyle name="Normal 247 8" xfId="21410" xr:uid="{00000000-0005-0000-0000-0000A2520000}"/>
    <cellStyle name="Normal 248" xfId="21411" xr:uid="{00000000-0005-0000-0000-0000A3520000}"/>
    <cellStyle name="Normal 248 2" xfId="21412" xr:uid="{00000000-0005-0000-0000-0000A4520000}"/>
    <cellStyle name="Normal 248 2 2" xfId="21413" xr:uid="{00000000-0005-0000-0000-0000A5520000}"/>
    <cellStyle name="Normal 248 2 2 2" xfId="21414" xr:uid="{00000000-0005-0000-0000-0000A6520000}"/>
    <cellStyle name="Normal 248 2 2 2 2" xfId="21415" xr:uid="{00000000-0005-0000-0000-0000A7520000}"/>
    <cellStyle name="Normal 248 2 2 3" xfId="21416" xr:uid="{00000000-0005-0000-0000-0000A8520000}"/>
    <cellStyle name="Normal 248 2 2 3 2" xfId="21417" xr:uid="{00000000-0005-0000-0000-0000A9520000}"/>
    <cellStyle name="Normal 248 2 2 3 2 2" xfId="21418" xr:uid="{00000000-0005-0000-0000-0000AA520000}"/>
    <cellStyle name="Normal 248 2 2 3 3" xfId="21419" xr:uid="{00000000-0005-0000-0000-0000AB520000}"/>
    <cellStyle name="Normal 248 2 2 4" xfId="21420" xr:uid="{00000000-0005-0000-0000-0000AC520000}"/>
    <cellStyle name="Normal 248 2 2 4 2" xfId="21421" xr:uid="{00000000-0005-0000-0000-0000AD520000}"/>
    <cellStyle name="Normal 248 2 2 4 2 2" xfId="21422" xr:uid="{00000000-0005-0000-0000-0000AE520000}"/>
    <cellStyle name="Normal 248 2 2 4 3" xfId="21423" xr:uid="{00000000-0005-0000-0000-0000AF520000}"/>
    <cellStyle name="Normal 248 2 2 5" xfId="21424" xr:uid="{00000000-0005-0000-0000-0000B0520000}"/>
    <cellStyle name="Normal 248 2 3" xfId="21425" xr:uid="{00000000-0005-0000-0000-0000B1520000}"/>
    <cellStyle name="Normal 248 2 3 2" xfId="21426" xr:uid="{00000000-0005-0000-0000-0000B2520000}"/>
    <cellStyle name="Normal 248 2 3 2 2" xfId="21427" xr:uid="{00000000-0005-0000-0000-0000B3520000}"/>
    <cellStyle name="Normal 248 2 3 2 2 2" xfId="21428" xr:uid="{00000000-0005-0000-0000-0000B4520000}"/>
    <cellStyle name="Normal 248 2 3 2 3" xfId="21429" xr:uid="{00000000-0005-0000-0000-0000B5520000}"/>
    <cellStyle name="Normal 248 2 3 2 3 2" xfId="21430" xr:uid="{00000000-0005-0000-0000-0000B6520000}"/>
    <cellStyle name="Normal 248 2 3 2 3 2 2" xfId="21431" xr:uid="{00000000-0005-0000-0000-0000B7520000}"/>
    <cellStyle name="Normal 248 2 3 2 3 3" xfId="21432" xr:uid="{00000000-0005-0000-0000-0000B8520000}"/>
    <cellStyle name="Normal 248 2 3 2 4" xfId="21433" xr:uid="{00000000-0005-0000-0000-0000B9520000}"/>
    <cellStyle name="Normal 248 2 3 3" xfId="21434" xr:uid="{00000000-0005-0000-0000-0000BA520000}"/>
    <cellStyle name="Normal 248 2 3 3 2" xfId="21435" xr:uid="{00000000-0005-0000-0000-0000BB520000}"/>
    <cellStyle name="Normal 248 2 3 3 2 2" xfId="21436" xr:uid="{00000000-0005-0000-0000-0000BC520000}"/>
    <cellStyle name="Normal 248 2 3 3 3" xfId="21437" xr:uid="{00000000-0005-0000-0000-0000BD520000}"/>
    <cellStyle name="Normal 248 2 3 4" xfId="21438" xr:uid="{00000000-0005-0000-0000-0000BE520000}"/>
    <cellStyle name="Normal 248 2 3 4 2" xfId="21439" xr:uid="{00000000-0005-0000-0000-0000BF520000}"/>
    <cellStyle name="Normal 248 2 3 4 2 2" xfId="21440" xr:uid="{00000000-0005-0000-0000-0000C0520000}"/>
    <cellStyle name="Normal 248 2 3 4 3" xfId="21441" xr:uid="{00000000-0005-0000-0000-0000C1520000}"/>
    <cellStyle name="Normal 248 2 3 5" xfId="21442" xr:uid="{00000000-0005-0000-0000-0000C2520000}"/>
    <cellStyle name="Normal 248 2 3 5 2" xfId="21443" xr:uid="{00000000-0005-0000-0000-0000C3520000}"/>
    <cellStyle name="Normal 248 2 3 5 2 2" xfId="21444" xr:uid="{00000000-0005-0000-0000-0000C4520000}"/>
    <cellStyle name="Normal 248 2 3 5 3" xfId="21445" xr:uid="{00000000-0005-0000-0000-0000C5520000}"/>
    <cellStyle name="Normal 248 2 3 6" xfId="21446" xr:uid="{00000000-0005-0000-0000-0000C6520000}"/>
    <cellStyle name="Normal 248 2 4" xfId="21447" xr:uid="{00000000-0005-0000-0000-0000C7520000}"/>
    <cellStyle name="Normal 248 2 4 2" xfId="21448" xr:uid="{00000000-0005-0000-0000-0000C8520000}"/>
    <cellStyle name="Normal 248 2 4 2 2" xfId="21449" xr:uid="{00000000-0005-0000-0000-0000C9520000}"/>
    <cellStyle name="Normal 248 2 4 3" xfId="21450" xr:uid="{00000000-0005-0000-0000-0000CA520000}"/>
    <cellStyle name="Normal 248 2 5" xfId="21451" xr:uid="{00000000-0005-0000-0000-0000CB520000}"/>
    <cellStyle name="Normal 248 2 5 2" xfId="21452" xr:uid="{00000000-0005-0000-0000-0000CC520000}"/>
    <cellStyle name="Normal 248 2 5 2 2" xfId="21453" xr:uid="{00000000-0005-0000-0000-0000CD520000}"/>
    <cellStyle name="Normal 248 2 5 3" xfId="21454" xr:uid="{00000000-0005-0000-0000-0000CE520000}"/>
    <cellStyle name="Normal 248 2 6" xfId="21455" xr:uid="{00000000-0005-0000-0000-0000CF520000}"/>
    <cellStyle name="Normal 248 2 6 2" xfId="21456" xr:uid="{00000000-0005-0000-0000-0000D0520000}"/>
    <cellStyle name="Normal 248 2 6 2 2" xfId="21457" xr:uid="{00000000-0005-0000-0000-0000D1520000}"/>
    <cellStyle name="Normal 248 2 6 3" xfId="21458" xr:uid="{00000000-0005-0000-0000-0000D2520000}"/>
    <cellStyle name="Normal 248 2 7" xfId="21459" xr:uid="{00000000-0005-0000-0000-0000D3520000}"/>
    <cellStyle name="Normal 248 3" xfId="21460" xr:uid="{00000000-0005-0000-0000-0000D4520000}"/>
    <cellStyle name="Normal 248 3 2" xfId="21461" xr:uid="{00000000-0005-0000-0000-0000D5520000}"/>
    <cellStyle name="Normal 248 3 2 2" xfId="21462" xr:uid="{00000000-0005-0000-0000-0000D6520000}"/>
    <cellStyle name="Normal 248 3 3" xfId="21463" xr:uid="{00000000-0005-0000-0000-0000D7520000}"/>
    <cellStyle name="Normal 248 3 3 2" xfId="21464" xr:uid="{00000000-0005-0000-0000-0000D8520000}"/>
    <cellStyle name="Normal 248 3 3 2 2" xfId="21465" xr:uid="{00000000-0005-0000-0000-0000D9520000}"/>
    <cellStyle name="Normal 248 3 3 3" xfId="21466" xr:uid="{00000000-0005-0000-0000-0000DA520000}"/>
    <cellStyle name="Normal 248 3 4" xfId="21467" xr:uid="{00000000-0005-0000-0000-0000DB520000}"/>
    <cellStyle name="Normal 248 3 4 2" xfId="21468" xr:uid="{00000000-0005-0000-0000-0000DC520000}"/>
    <cellStyle name="Normal 248 3 4 2 2" xfId="21469" xr:uid="{00000000-0005-0000-0000-0000DD520000}"/>
    <cellStyle name="Normal 248 3 4 3" xfId="21470" xr:uid="{00000000-0005-0000-0000-0000DE520000}"/>
    <cellStyle name="Normal 248 3 5" xfId="21471" xr:uid="{00000000-0005-0000-0000-0000DF520000}"/>
    <cellStyle name="Normal 248 4" xfId="21472" xr:uid="{00000000-0005-0000-0000-0000E0520000}"/>
    <cellStyle name="Normal 248 4 2" xfId="21473" xr:uid="{00000000-0005-0000-0000-0000E1520000}"/>
    <cellStyle name="Normal 248 4 2 2" xfId="21474" xr:uid="{00000000-0005-0000-0000-0000E2520000}"/>
    <cellStyle name="Normal 248 4 2 2 2" xfId="21475" xr:uid="{00000000-0005-0000-0000-0000E3520000}"/>
    <cellStyle name="Normal 248 4 2 3" xfId="21476" xr:uid="{00000000-0005-0000-0000-0000E4520000}"/>
    <cellStyle name="Normal 248 4 2 3 2" xfId="21477" xr:uid="{00000000-0005-0000-0000-0000E5520000}"/>
    <cellStyle name="Normal 248 4 2 3 2 2" xfId="21478" xr:uid="{00000000-0005-0000-0000-0000E6520000}"/>
    <cellStyle name="Normal 248 4 2 3 3" xfId="21479" xr:uid="{00000000-0005-0000-0000-0000E7520000}"/>
    <cellStyle name="Normal 248 4 2 4" xfId="21480" xr:uid="{00000000-0005-0000-0000-0000E8520000}"/>
    <cellStyle name="Normal 248 4 3" xfId="21481" xr:uid="{00000000-0005-0000-0000-0000E9520000}"/>
    <cellStyle name="Normal 248 4 3 2" xfId="21482" xr:uid="{00000000-0005-0000-0000-0000EA520000}"/>
    <cellStyle name="Normal 248 4 3 2 2" xfId="21483" xr:uid="{00000000-0005-0000-0000-0000EB520000}"/>
    <cellStyle name="Normal 248 4 3 3" xfId="21484" xr:uid="{00000000-0005-0000-0000-0000EC520000}"/>
    <cellStyle name="Normal 248 4 4" xfId="21485" xr:uid="{00000000-0005-0000-0000-0000ED520000}"/>
    <cellStyle name="Normal 248 4 4 2" xfId="21486" xr:uid="{00000000-0005-0000-0000-0000EE520000}"/>
    <cellStyle name="Normal 248 4 4 2 2" xfId="21487" xr:uid="{00000000-0005-0000-0000-0000EF520000}"/>
    <cellStyle name="Normal 248 4 4 3" xfId="21488" xr:uid="{00000000-0005-0000-0000-0000F0520000}"/>
    <cellStyle name="Normal 248 4 5" xfId="21489" xr:uid="{00000000-0005-0000-0000-0000F1520000}"/>
    <cellStyle name="Normal 248 4 5 2" xfId="21490" xr:uid="{00000000-0005-0000-0000-0000F2520000}"/>
    <cellStyle name="Normal 248 4 5 2 2" xfId="21491" xr:uid="{00000000-0005-0000-0000-0000F3520000}"/>
    <cellStyle name="Normal 248 4 5 3" xfId="21492" xr:uid="{00000000-0005-0000-0000-0000F4520000}"/>
    <cellStyle name="Normal 248 4 6" xfId="21493" xr:uid="{00000000-0005-0000-0000-0000F5520000}"/>
    <cellStyle name="Normal 248 5" xfId="21494" xr:uid="{00000000-0005-0000-0000-0000F6520000}"/>
    <cellStyle name="Normal 248 5 2" xfId="21495" xr:uid="{00000000-0005-0000-0000-0000F7520000}"/>
    <cellStyle name="Normal 248 5 2 2" xfId="21496" xr:uid="{00000000-0005-0000-0000-0000F8520000}"/>
    <cellStyle name="Normal 248 5 3" xfId="21497" xr:uid="{00000000-0005-0000-0000-0000F9520000}"/>
    <cellStyle name="Normal 248 6" xfId="21498" xr:uid="{00000000-0005-0000-0000-0000FA520000}"/>
    <cellStyle name="Normal 248 6 2" xfId="21499" xr:uid="{00000000-0005-0000-0000-0000FB520000}"/>
    <cellStyle name="Normal 248 6 2 2" xfId="21500" xr:uid="{00000000-0005-0000-0000-0000FC520000}"/>
    <cellStyle name="Normal 248 6 3" xfId="21501" xr:uid="{00000000-0005-0000-0000-0000FD520000}"/>
    <cellStyle name="Normal 248 7" xfId="21502" xr:uid="{00000000-0005-0000-0000-0000FE520000}"/>
    <cellStyle name="Normal 248 7 2" xfId="21503" xr:uid="{00000000-0005-0000-0000-0000FF520000}"/>
    <cellStyle name="Normal 248 7 2 2" xfId="21504" xr:uid="{00000000-0005-0000-0000-000000530000}"/>
    <cellStyle name="Normal 248 7 3" xfId="21505" xr:uid="{00000000-0005-0000-0000-000001530000}"/>
    <cellStyle name="Normal 248 8" xfId="21506" xr:uid="{00000000-0005-0000-0000-000002530000}"/>
    <cellStyle name="Normal 249" xfId="21507" xr:uid="{00000000-0005-0000-0000-000003530000}"/>
    <cellStyle name="Normal 249 2" xfId="21508" xr:uid="{00000000-0005-0000-0000-000004530000}"/>
    <cellStyle name="Normal 249 2 2" xfId="21509" xr:uid="{00000000-0005-0000-0000-000005530000}"/>
    <cellStyle name="Normal 249 2 2 2" xfId="21510" xr:uid="{00000000-0005-0000-0000-000006530000}"/>
    <cellStyle name="Normal 249 2 2 2 2" xfId="21511" xr:uid="{00000000-0005-0000-0000-000007530000}"/>
    <cellStyle name="Normal 249 2 2 3" xfId="21512" xr:uid="{00000000-0005-0000-0000-000008530000}"/>
    <cellStyle name="Normal 249 2 2 3 2" xfId="21513" xr:uid="{00000000-0005-0000-0000-000009530000}"/>
    <cellStyle name="Normal 249 2 2 3 2 2" xfId="21514" xr:uid="{00000000-0005-0000-0000-00000A530000}"/>
    <cellStyle name="Normal 249 2 2 3 3" xfId="21515" xr:uid="{00000000-0005-0000-0000-00000B530000}"/>
    <cellStyle name="Normal 249 2 2 4" xfId="21516" xr:uid="{00000000-0005-0000-0000-00000C530000}"/>
    <cellStyle name="Normal 249 2 2 4 2" xfId="21517" xr:uid="{00000000-0005-0000-0000-00000D530000}"/>
    <cellStyle name="Normal 249 2 2 4 2 2" xfId="21518" xr:uid="{00000000-0005-0000-0000-00000E530000}"/>
    <cellStyle name="Normal 249 2 2 4 3" xfId="21519" xr:uid="{00000000-0005-0000-0000-00000F530000}"/>
    <cellStyle name="Normal 249 2 2 5" xfId="21520" xr:uid="{00000000-0005-0000-0000-000010530000}"/>
    <cellStyle name="Normal 249 2 3" xfId="21521" xr:uid="{00000000-0005-0000-0000-000011530000}"/>
    <cellStyle name="Normal 249 2 3 2" xfId="21522" xr:uid="{00000000-0005-0000-0000-000012530000}"/>
    <cellStyle name="Normal 249 2 3 2 2" xfId="21523" xr:uid="{00000000-0005-0000-0000-000013530000}"/>
    <cellStyle name="Normal 249 2 3 2 2 2" xfId="21524" xr:uid="{00000000-0005-0000-0000-000014530000}"/>
    <cellStyle name="Normal 249 2 3 2 3" xfId="21525" xr:uid="{00000000-0005-0000-0000-000015530000}"/>
    <cellStyle name="Normal 249 2 3 2 3 2" xfId="21526" xr:uid="{00000000-0005-0000-0000-000016530000}"/>
    <cellStyle name="Normal 249 2 3 2 3 2 2" xfId="21527" xr:uid="{00000000-0005-0000-0000-000017530000}"/>
    <cellStyle name="Normal 249 2 3 2 3 3" xfId="21528" xr:uid="{00000000-0005-0000-0000-000018530000}"/>
    <cellStyle name="Normal 249 2 3 2 4" xfId="21529" xr:uid="{00000000-0005-0000-0000-000019530000}"/>
    <cellStyle name="Normal 249 2 3 3" xfId="21530" xr:uid="{00000000-0005-0000-0000-00001A530000}"/>
    <cellStyle name="Normal 249 2 3 3 2" xfId="21531" xr:uid="{00000000-0005-0000-0000-00001B530000}"/>
    <cellStyle name="Normal 249 2 3 3 2 2" xfId="21532" xr:uid="{00000000-0005-0000-0000-00001C530000}"/>
    <cellStyle name="Normal 249 2 3 3 3" xfId="21533" xr:uid="{00000000-0005-0000-0000-00001D530000}"/>
    <cellStyle name="Normal 249 2 3 4" xfId="21534" xr:uid="{00000000-0005-0000-0000-00001E530000}"/>
    <cellStyle name="Normal 249 2 3 4 2" xfId="21535" xr:uid="{00000000-0005-0000-0000-00001F530000}"/>
    <cellStyle name="Normal 249 2 3 4 2 2" xfId="21536" xr:uid="{00000000-0005-0000-0000-000020530000}"/>
    <cellStyle name="Normal 249 2 3 4 3" xfId="21537" xr:uid="{00000000-0005-0000-0000-000021530000}"/>
    <cellStyle name="Normal 249 2 3 5" xfId="21538" xr:uid="{00000000-0005-0000-0000-000022530000}"/>
    <cellStyle name="Normal 249 2 3 5 2" xfId="21539" xr:uid="{00000000-0005-0000-0000-000023530000}"/>
    <cellStyle name="Normal 249 2 3 5 2 2" xfId="21540" xr:uid="{00000000-0005-0000-0000-000024530000}"/>
    <cellStyle name="Normal 249 2 3 5 3" xfId="21541" xr:uid="{00000000-0005-0000-0000-000025530000}"/>
    <cellStyle name="Normal 249 2 3 6" xfId="21542" xr:uid="{00000000-0005-0000-0000-000026530000}"/>
    <cellStyle name="Normal 249 2 4" xfId="21543" xr:uid="{00000000-0005-0000-0000-000027530000}"/>
    <cellStyle name="Normal 249 2 4 2" xfId="21544" xr:uid="{00000000-0005-0000-0000-000028530000}"/>
    <cellStyle name="Normal 249 2 4 2 2" xfId="21545" xr:uid="{00000000-0005-0000-0000-000029530000}"/>
    <cellStyle name="Normal 249 2 4 3" xfId="21546" xr:uid="{00000000-0005-0000-0000-00002A530000}"/>
    <cellStyle name="Normal 249 2 5" xfId="21547" xr:uid="{00000000-0005-0000-0000-00002B530000}"/>
    <cellStyle name="Normal 249 2 5 2" xfId="21548" xr:uid="{00000000-0005-0000-0000-00002C530000}"/>
    <cellStyle name="Normal 249 2 5 2 2" xfId="21549" xr:uid="{00000000-0005-0000-0000-00002D530000}"/>
    <cellStyle name="Normal 249 2 5 3" xfId="21550" xr:uid="{00000000-0005-0000-0000-00002E530000}"/>
    <cellStyle name="Normal 249 2 6" xfId="21551" xr:uid="{00000000-0005-0000-0000-00002F530000}"/>
    <cellStyle name="Normal 249 2 6 2" xfId="21552" xr:uid="{00000000-0005-0000-0000-000030530000}"/>
    <cellStyle name="Normal 249 2 6 2 2" xfId="21553" xr:uid="{00000000-0005-0000-0000-000031530000}"/>
    <cellStyle name="Normal 249 2 6 3" xfId="21554" xr:uid="{00000000-0005-0000-0000-000032530000}"/>
    <cellStyle name="Normal 249 2 7" xfId="21555" xr:uid="{00000000-0005-0000-0000-000033530000}"/>
    <cellStyle name="Normal 249 3" xfId="21556" xr:uid="{00000000-0005-0000-0000-000034530000}"/>
    <cellStyle name="Normal 249 3 2" xfId="21557" xr:uid="{00000000-0005-0000-0000-000035530000}"/>
    <cellStyle name="Normal 249 3 2 2" xfId="21558" xr:uid="{00000000-0005-0000-0000-000036530000}"/>
    <cellStyle name="Normal 249 3 3" xfId="21559" xr:uid="{00000000-0005-0000-0000-000037530000}"/>
    <cellStyle name="Normal 249 3 3 2" xfId="21560" xr:uid="{00000000-0005-0000-0000-000038530000}"/>
    <cellStyle name="Normal 249 3 3 2 2" xfId="21561" xr:uid="{00000000-0005-0000-0000-000039530000}"/>
    <cellStyle name="Normal 249 3 3 3" xfId="21562" xr:uid="{00000000-0005-0000-0000-00003A530000}"/>
    <cellStyle name="Normal 249 3 4" xfId="21563" xr:uid="{00000000-0005-0000-0000-00003B530000}"/>
    <cellStyle name="Normal 249 3 4 2" xfId="21564" xr:uid="{00000000-0005-0000-0000-00003C530000}"/>
    <cellStyle name="Normal 249 3 4 2 2" xfId="21565" xr:uid="{00000000-0005-0000-0000-00003D530000}"/>
    <cellStyle name="Normal 249 3 4 3" xfId="21566" xr:uid="{00000000-0005-0000-0000-00003E530000}"/>
    <cellStyle name="Normal 249 3 5" xfId="21567" xr:uid="{00000000-0005-0000-0000-00003F530000}"/>
    <cellStyle name="Normal 249 4" xfId="21568" xr:uid="{00000000-0005-0000-0000-000040530000}"/>
    <cellStyle name="Normal 249 4 2" xfId="21569" xr:uid="{00000000-0005-0000-0000-000041530000}"/>
    <cellStyle name="Normal 249 4 2 2" xfId="21570" xr:uid="{00000000-0005-0000-0000-000042530000}"/>
    <cellStyle name="Normal 249 4 2 2 2" xfId="21571" xr:uid="{00000000-0005-0000-0000-000043530000}"/>
    <cellStyle name="Normal 249 4 2 3" xfId="21572" xr:uid="{00000000-0005-0000-0000-000044530000}"/>
    <cellStyle name="Normal 249 4 2 3 2" xfId="21573" xr:uid="{00000000-0005-0000-0000-000045530000}"/>
    <cellStyle name="Normal 249 4 2 3 2 2" xfId="21574" xr:uid="{00000000-0005-0000-0000-000046530000}"/>
    <cellStyle name="Normal 249 4 2 3 3" xfId="21575" xr:uid="{00000000-0005-0000-0000-000047530000}"/>
    <cellStyle name="Normal 249 4 2 4" xfId="21576" xr:uid="{00000000-0005-0000-0000-000048530000}"/>
    <cellStyle name="Normal 249 4 3" xfId="21577" xr:uid="{00000000-0005-0000-0000-000049530000}"/>
    <cellStyle name="Normal 249 4 3 2" xfId="21578" xr:uid="{00000000-0005-0000-0000-00004A530000}"/>
    <cellStyle name="Normal 249 4 3 2 2" xfId="21579" xr:uid="{00000000-0005-0000-0000-00004B530000}"/>
    <cellStyle name="Normal 249 4 3 3" xfId="21580" xr:uid="{00000000-0005-0000-0000-00004C530000}"/>
    <cellStyle name="Normal 249 4 4" xfId="21581" xr:uid="{00000000-0005-0000-0000-00004D530000}"/>
    <cellStyle name="Normal 249 4 4 2" xfId="21582" xr:uid="{00000000-0005-0000-0000-00004E530000}"/>
    <cellStyle name="Normal 249 4 4 2 2" xfId="21583" xr:uid="{00000000-0005-0000-0000-00004F530000}"/>
    <cellStyle name="Normal 249 4 4 3" xfId="21584" xr:uid="{00000000-0005-0000-0000-000050530000}"/>
    <cellStyle name="Normal 249 4 5" xfId="21585" xr:uid="{00000000-0005-0000-0000-000051530000}"/>
    <cellStyle name="Normal 249 4 5 2" xfId="21586" xr:uid="{00000000-0005-0000-0000-000052530000}"/>
    <cellStyle name="Normal 249 4 5 2 2" xfId="21587" xr:uid="{00000000-0005-0000-0000-000053530000}"/>
    <cellStyle name="Normal 249 4 5 3" xfId="21588" xr:uid="{00000000-0005-0000-0000-000054530000}"/>
    <cellStyle name="Normal 249 4 6" xfId="21589" xr:uid="{00000000-0005-0000-0000-000055530000}"/>
    <cellStyle name="Normal 249 5" xfId="21590" xr:uid="{00000000-0005-0000-0000-000056530000}"/>
    <cellStyle name="Normal 249 5 2" xfId="21591" xr:uid="{00000000-0005-0000-0000-000057530000}"/>
    <cellStyle name="Normal 249 5 2 2" xfId="21592" xr:uid="{00000000-0005-0000-0000-000058530000}"/>
    <cellStyle name="Normal 249 5 3" xfId="21593" xr:uid="{00000000-0005-0000-0000-000059530000}"/>
    <cellStyle name="Normal 249 6" xfId="21594" xr:uid="{00000000-0005-0000-0000-00005A530000}"/>
    <cellStyle name="Normal 249 6 2" xfId="21595" xr:uid="{00000000-0005-0000-0000-00005B530000}"/>
    <cellStyle name="Normal 249 6 2 2" xfId="21596" xr:uid="{00000000-0005-0000-0000-00005C530000}"/>
    <cellStyle name="Normal 249 6 3" xfId="21597" xr:uid="{00000000-0005-0000-0000-00005D530000}"/>
    <cellStyle name="Normal 249 7" xfId="21598" xr:uid="{00000000-0005-0000-0000-00005E530000}"/>
    <cellStyle name="Normal 249 7 2" xfId="21599" xr:uid="{00000000-0005-0000-0000-00005F530000}"/>
    <cellStyle name="Normal 249 7 2 2" xfId="21600" xr:uid="{00000000-0005-0000-0000-000060530000}"/>
    <cellStyle name="Normal 249 7 3" xfId="21601" xr:uid="{00000000-0005-0000-0000-000061530000}"/>
    <cellStyle name="Normal 249 8" xfId="21602" xr:uid="{00000000-0005-0000-0000-000062530000}"/>
    <cellStyle name="Normal 25" xfId="21603" xr:uid="{00000000-0005-0000-0000-000063530000}"/>
    <cellStyle name="Normal 25 2" xfId="21604" xr:uid="{00000000-0005-0000-0000-000064530000}"/>
    <cellStyle name="Normal 25 2 2" xfId="21605" xr:uid="{00000000-0005-0000-0000-000065530000}"/>
    <cellStyle name="Normal 25 2 2 2" xfId="21606" xr:uid="{00000000-0005-0000-0000-000066530000}"/>
    <cellStyle name="Normal 25 2 2 2 2" xfId="21607" xr:uid="{00000000-0005-0000-0000-000067530000}"/>
    <cellStyle name="Normal 25 2 2 3" xfId="21608" xr:uid="{00000000-0005-0000-0000-000068530000}"/>
    <cellStyle name="Normal 25 2 2 3 2" xfId="21609" xr:uid="{00000000-0005-0000-0000-000069530000}"/>
    <cellStyle name="Normal 25 2 2 3 2 2" xfId="21610" xr:uid="{00000000-0005-0000-0000-00006A530000}"/>
    <cellStyle name="Normal 25 2 2 3 3" xfId="21611" xr:uid="{00000000-0005-0000-0000-00006B530000}"/>
    <cellStyle name="Normal 25 2 2 4" xfId="21612" xr:uid="{00000000-0005-0000-0000-00006C530000}"/>
    <cellStyle name="Normal 25 2 2 4 2" xfId="21613" xr:uid="{00000000-0005-0000-0000-00006D530000}"/>
    <cellStyle name="Normal 25 2 2 4 2 2" xfId="21614" xr:uid="{00000000-0005-0000-0000-00006E530000}"/>
    <cellStyle name="Normal 25 2 2 4 3" xfId="21615" xr:uid="{00000000-0005-0000-0000-00006F530000}"/>
    <cellStyle name="Normal 25 2 2 5" xfId="21616" xr:uid="{00000000-0005-0000-0000-000070530000}"/>
    <cellStyle name="Normal 25 2 3" xfId="21617" xr:uid="{00000000-0005-0000-0000-000071530000}"/>
    <cellStyle name="Normal 25 2 3 2" xfId="21618" xr:uid="{00000000-0005-0000-0000-000072530000}"/>
    <cellStyle name="Normal 25 2 3 2 2" xfId="21619" xr:uid="{00000000-0005-0000-0000-000073530000}"/>
    <cellStyle name="Normal 25 2 3 3" xfId="21620" xr:uid="{00000000-0005-0000-0000-000074530000}"/>
    <cellStyle name="Normal 25 2 4" xfId="21621" xr:uid="{00000000-0005-0000-0000-000075530000}"/>
    <cellStyle name="Normal 25 2 4 2" xfId="21622" xr:uid="{00000000-0005-0000-0000-000076530000}"/>
    <cellStyle name="Normal 25 2 4 2 2" xfId="21623" xr:uid="{00000000-0005-0000-0000-000077530000}"/>
    <cellStyle name="Normal 25 2 4 3" xfId="21624" xr:uid="{00000000-0005-0000-0000-000078530000}"/>
    <cellStyle name="Normal 25 2 5" xfId="21625" xr:uid="{00000000-0005-0000-0000-000079530000}"/>
    <cellStyle name="Normal 25 2 5 2" xfId="21626" xr:uid="{00000000-0005-0000-0000-00007A530000}"/>
    <cellStyle name="Normal 25 2 5 2 2" xfId="21627" xr:uid="{00000000-0005-0000-0000-00007B530000}"/>
    <cellStyle name="Normal 25 2 5 3" xfId="21628" xr:uid="{00000000-0005-0000-0000-00007C530000}"/>
    <cellStyle name="Normal 25 2 6" xfId="21629" xr:uid="{00000000-0005-0000-0000-00007D530000}"/>
    <cellStyle name="Normal 25 3" xfId="21630" xr:uid="{00000000-0005-0000-0000-00007E530000}"/>
    <cellStyle name="Normal 25 3 2" xfId="21631" xr:uid="{00000000-0005-0000-0000-00007F530000}"/>
    <cellStyle name="Normal 25 3 2 2" xfId="21632" xr:uid="{00000000-0005-0000-0000-000080530000}"/>
    <cellStyle name="Normal 25 3 3" xfId="21633" xr:uid="{00000000-0005-0000-0000-000081530000}"/>
    <cellStyle name="Normal 25 3 3 2" xfId="21634" xr:uid="{00000000-0005-0000-0000-000082530000}"/>
    <cellStyle name="Normal 25 3 3 2 2" xfId="21635" xr:uid="{00000000-0005-0000-0000-000083530000}"/>
    <cellStyle name="Normal 25 3 3 3" xfId="21636" xr:uid="{00000000-0005-0000-0000-000084530000}"/>
    <cellStyle name="Normal 25 3 4" xfId="21637" xr:uid="{00000000-0005-0000-0000-000085530000}"/>
    <cellStyle name="Normal 25 3 4 2" xfId="21638" xr:uid="{00000000-0005-0000-0000-000086530000}"/>
    <cellStyle name="Normal 25 3 4 2 2" xfId="21639" xr:uid="{00000000-0005-0000-0000-000087530000}"/>
    <cellStyle name="Normal 25 3 4 3" xfId="21640" xr:uid="{00000000-0005-0000-0000-000088530000}"/>
    <cellStyle name="Normal 25 3 5" xfId="21641" xr:uid="{00000000-0005-0000-0000-000089530000}"/>
    <cellStyle name="Normal 25 4" xfId="21642" xr:uid="{00000000-0005-0000-0000-00008A530000}"/>
    <cellStyle name="Normal 25 4 2" xfId="21643" xr:uid="{00000000-0005-0000-0000-00008B530000}"/>
    <cellStyle name="Normal 25 4 2 2" xfId="21644" xr:uid="{00000000-0005-0000-0000-00008C530000}"/>
    <cellStyle name="Normal 25 4 3" xfId="21645" xr:uid="{00000000-0005-0000-0000-00008D530000}"/>
    <cellStyle name="Normal 25 4 3 2" xfId="21646" xr:uid="{00000000-0005-0000-0000-00008E530000}"/>
    <cellStyle name="Normal 25 4 3 2 2" xfId="21647" xr:uid="{00000000-0005-0000-0000-00008F530000}"/>
    <cellStyle name="Normal 25 4 3 3" xfId="21648" xr:uid="{00000000-0005-0000-0000-000090530000}"/>
    <cellStyle name="Normal 25 4 4" xfId="21649" xr:uid="{00000000-0005-0000-0000-000091530000}"/>
    <cellStyle name="Normal 25 4 4 2" xfId="21650" xr:uid="{00000000-0005-0000-0000-000092530000}"/>
    <cellStyle name="Normal 25 4 4 2 2" xfId="21651" xr:uid="{00000000-0005-0000-0000-000093530000}"/>
    <cellStyle name="Normal 25 4 4 3" xfId="21652" xr:uid="{00000000-0005-0000-0000-000094530000}"/>
    <cellStyle name="Normal 25 4 5" xfId="21653" xr:uid="{00000000-0005-0000-0000-000095530000}"/>
    <cellStyle name="Normal 25 5" xfId="21654" xr:uid="{00000000-0005-0000-0000-000096530000}"/>
    <cellStyle name="Normal 25 5 2" xfId="21655" xr:uid="{00000000-0005-0000-0000-000097530000}"/>
    <cellStyle name="Normal 25 5 2 2" xfId="21656" xr:uid="{00000000-0005-0000-0000-000098530000}"/>
    <cellStyle name="Normal 25 5 3" xfId="21657" xr:uid="{00000000-0005-0000-0000-000099530000}"/>
    <cellStyle name="Normal 25 6" xfId="21658" xr:uid="{00000000-0005-0000-0000-00009A530000}"/>
    <cellStyle name="Normal 25 6 2" xfId="21659" xr:uid="{00000000-0005-0000-0000-00009B530000}"/>
    <cellStyle name="Normal 25 6 2 2" xfId="21660" xr:uid="{00000000-0005-0000-0000-00009C530000}"/>
    <cellStyle name="Normal 25 6 3" xfId="21661" xr:uid="{00000000-0005-0000-0000-00009D530000}"/>
    <cellStyle name="Normal 25 7" xfId="21662" xr:uid="{00000000-0005-0000-0000-00009E530000}"/>
    <cellStyle name="Normal 25 7 2" xfId="21663" xr:uid="{00000000-0005-0000-0000-00009F530000}"/>
    <cellStyle name="Normal 25 7 2 2" xfId="21664" xr:uid="{00000000-0005-0000-0000-0000A0530000}"/>
    <cellStyle name="Normal 25 7 3" xfId="21665" xr:uid="{00000000-0005-0000-0000-0000A1530000}"/>
    <cellStyle name="Normal 25 8" xfId="21666" xr:uid="{00000000-0005-0000-0000-0000A2530000}"/>
    <cellStyle name="Normal 250" xfId="21667" xr:uid="{00000000-0005-0000-0000-0000A3530000}"/>
    <cellStyle name="Normal 250 2" xfId="21668" xr:uid="{00000000-0005-0000-0000-0000A4530000}"/>
    <cellStyle name="Normal 250 2 2" xfId="21669" xr:uid="{00000000-0005-0000-0000-0000A5530000}"/>
    <cellStyle name="Normal 250 2 2 2" xfId="21670" xr:uid="{00000000-0005-0000-0000-0000A6530000}"/>
    <cellStyle name="Normal 250 2 2 2 2" xfId="21671" xr:uid="{00000000-0005-0000-0000-0000A7530000}"/>
    <cellStyle name="Normal 250 2 2 3" xfId="21672" xr:uid="{00000000-0005-0000-0000-0000A8530000}"/>
    <cellStyle name="Normal 250 2 2 3 2" xfId="21673" xr:uid="{00000000-0005-0000-0000-0000A9530000}"/>
    <cellStyle name="Normal 250 2 2 3 2 2" xfId="21674" xr:uid="{00000000-0005-0000-0000-0000AA530000}"/>
    <cellStyle name="Normal 250 2 2 3 3" xfId="21675" xr:uid="{00000000-0005-0000-0000-0000AB530000}"/>
    <cellStyle name="Normal 250 2 2 4" xfId="21676" xr:uid="{00000000-0005-0000-0000-0000AC530000}"/>
    <cellStyle name="Normal 250 2 2 4 2" xfId="21677" xr:uid="{00000000-0005-0000-0000-0000AD530000}"/>
    <cellStyle name="Normal 250 2 2 4 2 2" xfId="21678" xr:uid="{00000000-0005-0000-0000-0000AE530000}"/>
    <cellStyle name="Normal 250 2 2 4 3" xfId="21679" xr:uid="{00000000-0005-0000-0000-0000AF530000}"/>
    <cellStyle name="Normal 250 2 2 5" xfId="21680" xr:uid="{00000000-0005-0000-0000-0000B0530000}"/>
    <cellStyle name="Normal 250 2 3" xfId="21681" xr:uid="{00000000-0005-0000-0000-0000B1530000}"/>
    <cellStyle name="Normal 250 2 3 2" xfId="21682" xr:uid="{00000000-0005-0000-0000-0000B2530000}"/>
    <cellStyle name="Normal 250 2 3 2 2" xfId="21683" xr:uid="{00000000-0005-0000-0000-0000B3530000}"/>
    <cellStyle name="Normal 250 2 3 2 2 2" xfId="21684" xr:uid="{00000000-0005-0000-0000-0000B4530000}"/>
    <cellStyle name="Normal 250 2 3 2 3" xfId="21685" xr:uid="{00000000-0005-0000-0000-0000B5530000}"/>
    <cellStyle name="Normal 250 2 3 2 3 2" xfId="21686" xr:uid="{00000000-0005-0000-0000-0000B6530000}"/>
    <cellStyle name="Normal 250 2 3 2 3 2 2" xfId="21687" xr:uid="{00000000-0005-0000-0000-0000B7530000}"/>
    <cellStyle name="Normal 250 2 3 2 3 3" xfId="21688" xr:uid="{00000000-0005-0000-0000-0000B8530000}"/>
    <cellStyle name="Normal 250 2 3 2 4" xfId="21689" xr:uid="{00000000-0005-0000-0000-0000B9530000}"/>
    <cellStyle name="Normal 250 2 3 3" xfId="21690" xr:uid="{00000000-0005-0000-0000-0000BA530000}"/>
    <cellStyle name="Normal 250 2 3 3 2" xfId="21691" xr:uid="{00000000-0005-0000-0000-0000BB530000}"/>
    <cellStyle name="Normal 250 2 3 3 2 2" xfId="21692" xr:uid="{00000000-0005-0000-0000-0000BC530000}"/>
    <cellStyle name="Normal 250 2 3 3 3" xfId="21693" xr:uid="{00000000-0005-0000-0000-0000BD530000}"/>
    <cellStyle name="Normal 250 2 3 4" xfId="21694" xr:uid="{00000000-0005-0000-0000-0000BE530000}"/>
    <cellStyle name="Normal 250 2 3 4 2" xfId="21695" xr:uid="{00000000-0005-0000-0000-0000BF530000}"/>
    <cellStyle name="Normal 250 2 3 4 2 2" xfId="21696" xr:uid="{00000000-0005-0000-0000-0000C0530000}"/>
    <cellStyle name="Normal 250 2 3 4 3" xfId="21697" xr:uid="{00000000-0005-0000-0000-0000C1530000}"/>
    <cellStyle name="Normal 250 2 3 5" xfId="21698" xr:uid="{00000000-0005-0000-0000-0000C2530000}"/>
    <cellStyle name="Normal 250 2 3 5 2" xfId="21699" xr:uid="{00000000-0005-0000-0000-0000C3530000}"/>
    <cellStyle name="Normal 250 2 3 5 2 2" xfId="21700" xr:uid="{00000000-0005-0000-0000-0000C4530000}"/>
    <cellStyle name="Normal 250 2 3 5 3" xfId="21701" xr:uid="{00000000-0005-0000-0000-0000C5530000}"/>
    <cellStyle name="Normal 250 2 3 6" xfId="21702" xr:uid="{00000000-0005-0000-0000-0000C6530000}"/>
    <cellStyle name="Normal 250 2 4" xfId="21703" xr:uid="{00000000-0005-0000-0000-0000C7530000}"/>
    <cellStyle name="Normal 250 2 4 2" xfId="21704" xr:uid="{00000000-0005-0000-0000-0000C8530000}"/>
    <cellStyle name="Normal 250 2 4 2 2" xfId="21705" xr:uid="{00000000-0005-0000-0000-0000C9530000}"/>
    <cellStyle name="Normal 250 2 4 3" xfId="21706" xr:uid="{00000000-0005-0000-0000-0000CA530000}"/>
    <cellStyle name="Normal 250 2 5" xfId="21707" xr:uid="{00000000-0005-0000-0000-0000CB530000}"/>
    <cellStyle name="Normal 250 2 5 2" xfId="21708" xr:uid="{00000000-0005-0000-0000-0000CC530000}"/>
    <cellStyle name="Normal 250 2 5 2 2" xfId="21709" xr:uid="{00000000-0005-0000-0000-0000CD530000}"/>
    <cellStyle name="Normal 250 2 5 3" xfId="21710" xr:uid="{00000000-0005-0000-0000-0000CE530000}"/>
    <cellStyle name="Normal 250 2 6" xfId="21711" xr:uid="{00000000-0005-0000-0000-0000CF530000}"/>
    <cellStyle name="Normal 250 2 6 2" xfId="21712" xr:uid="{00000000-0005-0000-0000-0000D0530000}"/>
    <cellStyle name="Normal 250 2 6 2 2" xfId="21713" xr:uid="{00000000-0005-0000-0000-0000D1530000}"/>
    <cellStyle name="Normal 250 2 6 3" xfId="21714" xr:uid="{00000000-0005-0000-0000-0000D2530000}"/>
    <cellStyle name="Normal 250 2 7" xfId="21715" xr:uid="{00000000-0005-0000-0000-0000D3530000}"/>
    <cellStyle name="Normal 250 3" xfId="21716" xr:uid="{00000000-0005-0000-0000-0000D4530000}"/>
    <cellStyle name="Normal 250 3 2" xfId="21717" xr:uid="{00000000-0005-0000-0000-0000D5530000}"/>
    <cellStyle name="Normal 250 3 2 2" xfId="21718" xr:uid="{00000000-0005-0000-0000-0000D6530000}"/>
    <cellStyle name="Normal 250 3 3" xfId="21719" xr:uid="{00000000-0005-0000-0000-0000D7530000}"/>
    <cellStyle name="Normal 250 3 3 2" xfId="21720" xr:uid="{00000000-0005-0000-0000-0000D8530000}"/>
    <cellStyle name="Normal 250 3 3 2 2" xfId="21721" xr:uid="{00000000-0005-0000-0000-0000D9530000}"/>
    <cellStyle name="Normal 250 3 3 3" xfId="21722" xr:uid="{00000000-0005-0000-0000-0000DA530000}"/>
    <cellStyle name="Normal 250 3 4" xfId="21723" xr:uid="{00000000-0005-0000-0000-0000DB530000}"/>
    <cellStyle name="Normal 250 3 4 2" xfId="21724" xr:uid="{00000000-0005-0000-0000-0000DC530000}"/>
    <cellStyle name="Normal 250 3 4 2 2" xfId="21725" xr:uid="{00000000-0005-0000-0000-0000DD530000}"/>
    <cellStyle name="Normal 250 3 4 3" xfId="21726" xr:uid="{00000000-0005-0000-0000-0000DE530000}"/>
    <cellStyle name="Normal 250 3 5" xfId="21727" xr:uid="{00000000-0005-0000-0000-0000DF530000}"/>
    <cellStyle name="Normal 250 4" xfId="21728" xr:uid="{00000000-0005-0000-0000-0000E0530000}"/>
    <cellStyle name="Normal 250 4 2" xfId="21729" xr:uid="{00000000-0005-0000-0000-0000E1530000}"/>
    <cellStyle name="Normal 250 4 2 2" xfId="21730" xr:uid="{00000000-0005-0000-0000-0000E2530000}"/>
    <cellStyle name="Normal 250 4 2 2 2" xfId="21731" xr:uid="{00000000-0005-0000-0000-0000E3530000}"/>
    <cellStyle name="Normal 250 4 2 3" xfId="21732" xr:uid="{00000000-0005-0000-0000-0000E4530000}"/>
    <cellStyle name="Normal 250 4 2 3 2" xfId="21733" xr:uid="{00000000-0005-0000-0000-0000E5530000}"/>
    <cellStyle name="Normal 250 4 2 3 2 2" xfId="21734" xr:uid="{00000000-0005-0000-0000-0000E6530000}"/>
    <cellStyle name="Normal 250 4 2 3 3" xfId="21735" xr:uid="{00000000-0005-0000-0000-0000E7530000}"/>
    <cellStyle name="Normal 250 4 2 4" xfId="21736" xr:uid="{00000000-0005-0000-0000-0000E8530000}"/>
    <cellStyle name="Normal 250 4 3" xfId="21737" xr:uid="{00000000-0005-0000-0000-0000E9530000}"/>
    <cellStyle name="Normal 250 4 3 2" xfId="21738" xr:uid="{00000000-0005-0000-0000-0000EA530000}"/>
    <cellStyle name="Normal 250 4 3 2 2" xfId="21739" xr:uid="{00000000-0005-0000-0000-0000EB530000}"/>
    <cellStyle name="Normal 250 4 3 3" xfId="21740" xr:uid="{00000000-0005-0000-0000-0000EC530000}"/>
    <cellStyle name="Normal 250 4 4" xfId="21741" xr:uid="{00000000-0005-0000-0000-0000ED530000}"/>
    <cellStyle name="Normal 250 4 4 2" xfId="21742" xr:uid="{00000000-0005-0000-0000-0000EE530000}"/>
    <cellStyle name="Normal 250 4 4 2 2" xfId="21743" xr:uid="{00000000-0005-0000-0000-0000EF530000}"/>
    <cellStyle name="Normal 250 4 4 3" xfId="21744" xr:uid="{00000000-0005-0000-0000-0000F0530000}"/>
    <cellStyle name="Normal 250 4 5" xfId="21745" xr:uid="{00000000-0005-0000-0000-0000F1530000}"/>
    <cellStyle name="Normal 250 4 5 2" xfId="21746" xr:uid="{00000000-0005-0000-0000-0000F2530000}"/>
    <cellStyle name="Normal 250 4 5 2 2" xfId="21747" xr:uid="{00000000-0005-0000-0000-0000F3530000}"/>
    <cellStyle name="Normal 250 4 5 3" xfId="21748" xr:uid="{00000000-0005-0000-0000-0000F4530000}"/>
    <cellStyle name="Normal 250 4 6" xfId="21749" xr:uid="{00000000-0005-0000-0000-0000F5530000}"/>
    <cellStyle name="Normal 250 5" xfId="21750" xr:uid="{00000000-0005-0000-0000-0000F6530000}"/>
    <cellStyle name="Normal 250 5 2" xfId="21751" xr:uid="{00000000-0005-0000-0000-0000F7530000}"/>
    <cellStyle name="Normal 250 5 2 2" xfId="21752" xr:uid="{00000000-0005-0000-0000-0000F8530000}"/>
    <cellStyle name="Normal 250 5 3" xfId="21753" xr:uid="{00000000-0005-0000-0000-0000F9530000}"/>
    <cellStyle name="Normal 250 6" xfId="21754" xr:uid="{00000000-0005-0000-0000-0000FA530000}"/>
    <cellStyle name="Normal 250 6 2" xfId="21755" xr:uid="{00000000-0005-0000-0000-0000FB530000}"/>
    <cellStyle name="Normal 250 6 2 2" xfId="21756" xr:uid="{00000000-0005-0000-0000-0000FC530000}"/>
    <cellStyle name="Normal 250 6 3" xfId="21757" xr:uid="{00000000-0005-0000-0000-0000FD530000}"/>
    <cellStyle name="Normal 250 7" xfId="21758" xr:uid="{00000000-0005-0000-0000-0000FE530000}"/>
    <cellStyle name="Normal 250 7 2" xfId="21759" xr:uid="{00000000-0005-0000-0000-0000FF530000}"/>
    <cellStyle name="Normal 250 7 2 2" xfId="21760" xr:uid="{00000000-0005-0000-0000-000000540000}"/>
    <cellStyle name="Normal 250 7 3" xfId="21761" xr:uid="{00000000-0005-0000-0000-000001540000}"/>
    <cellStyle name="Normal 250 8" xfId="21762" xr:uid="{00000000-0005-0000-0000-000002540000}"/>
    <cellStyle name="Normal 251" xfId="21763" xr:uid="{00000000-0005-0000-0000-000003540000}"/>
    <cellStyle name="Normal 251 2" xfId="21764" xr:uid="{00000000-0005-0000-0000-000004540000}"/>
    <cellStyle name="Normal 251 2 2" xfId="21765" xr:uid="{00000000-0005-0000-0000-000005540000}"/>
    <cellStyle name="Normal 251 2 2 2" xfId="21766" xr:uid="{00000000-0005-0000-0000-000006540000}"/>
    <cellStyle name="Normal 251 2 2 2 2" xfId="21767" xr:uid="{00000000-0005-0000-0000-000007540000}"/>
    <cellStyle name="Normal 251 2 2 3" xfId="21768" xr:uid="{00000000-0005-0000-0000-000008540000}"/>
    <cellStyle name="Normal 251 2 2 3 2" xfId="21769" xr:uid="{00000000-0005-0000-0000-000009540000}"/>
    <cellStyle name="Normal 251 2 2 3 2 2" xfId="21770" xr:uid="{00000000-0005-0000-0000-00000A540000}"/>
    <cellStyle name="Normal 251 2 2 3 3" xfId="21771" xr:uid="{00000000-0005-0000-0000-00000B540000}"/>
    <cellStyle name="Normal 251 2 2 4" xfId="21772" xr:uid="{00000000-0005-0000-0000-00000C540000}"/>
    <cellStyle name="Normal 251 2 2 4 2" xfId="21773" xr:uid="{00000000-0005-0000-0000-00000D540000}"/>
    <cellStyle name="Normal 251 2 2 4 2 2" xfId="21774" xr:uid="{00000000-0005-0000-0000-00000E540000}"/>
    <cellStyle name="Normal 251 2 2 4 3" xfId="21775" xr:uid="{00000000-0005-0000-0000-00000F540000}"/>
    <cellStyle name="Normal 251 2 2 5" xfId="21776" xr:uid="{00000000-0005-0000-0000-000010540000}"/>
    <cellStyle name="Normal 251 2 3" xfId="21777" xr:uid="{00000000-0005-0000-0000-000011540000}"/>
    <cellStyle name="Normal 251 2 3 2" xfId="21778" xr:uid="{00000000-0005-0000-0000-000012540000}"/>
    <cellStyle name="Normal 251 2 3 2 2" xfId="21779" xr:uid="{00000000-0005-0000-0000-000013540000}"/>
    <cellStyle name="Normal 251 2 3 2 2 2" xfId="21780" xr:uid="{00000000-0005-0000-0000-000014540000}"/>
    <cellStyle name="Normal 251 2 3 2 3" xfId="21781" xr:uid="{00000000-0005-0000-0000-000015540000}"/>
    <cellStyle name="Normal 251 2 3 2 3 2" xfId="21782" xr:uid="{00000000-0005-0000-0000-000016540000}"/>
    <cellStyle name="Normal 251 2 3 2 3 2 2" xfId="21783" xr:uid="{00000000-0005-0000-0000-000017540000}"/>
    <cellStyle name="Normal 251 2 3 2 3 3" xfId="21784" xr:uid="{00000000-0005-0000-0000-000018540000}"/>
    <cellStyle name="Normal 251 2 3 2 4" xfId="21785" xr:uid="{00000000-0005-0000-0000-000019540000}"/>
    <cellStyle name="Normal 251 2 3 3" xfId="21786" xr:uid="{00000000-0005-0000-0000-00001A540000}"/>
    <cellStyle name="Normal 251 2 3 3 2" xfId="21787" xr:uid="{00000000-0005-0000-0000-00001B540000}"/>
    <cellStyle name="Normal 251 2 3 3 2 2" xfId="21788" xr:uid="{00000000-0005-0000-0000-00001C540000}"/>
    <cellStyle name="Normal 251 2 3 3 3" xfId="21789" xr:uid="{00000000-0005-0000-0000-00001D540000}"/>
    <cellStyle name="Normal 251 2 3 4" xfId="21790" xr:uid="{00000000-0005-0000-0000-00001E540000}"/>
    <cellStyle name="Normal 251 2 3 4 2" xfId="21791" xr:uid="{00000000-0005-0000-0000-00001F540000}"/>
    <cellStyle name="Normal 251 2 3 4 2 2" xfId="21792" xr:uid="{00000000-0005-0000-0000-000020540000}"/>
    <cellStyle name="Normal 251 2 3 4 3" xfId="21793" xr:uid="{00000000-0005-0000-0000-000021540000}"/>
    <cellStyle name="Normal 251 2 3 5" xfId="21794" xr:uid="{00000000-0005-0000-0000-000022540000}"/>
    <cellStyle name="Normal 251 2 3 5 2" xfId="21795" xr:uid="{00000000-0005-0000-0000-000023540000}"/>
    <cellStyle name="Normal 251 2 3 5 2 2" xfId="21796" xr:uid="{00000000-0005-0000-0000-000024540000}"/>
    <cellStyle name="Normal 251 2 3 5 3" xfId="21797" xr:uid="{00000000-0005-0000-0000-000025540000}"/>
    <cellStyle name="Normal 251 2 3 6" xfId="21798" xr:uid="{00000000-0005-0000-0000-000026540000}"/>
    <cellStyle name="Normal 251 2 4" xfId="21799" xr:uid="{00000000-0005-0000-0000-000027540000}"/>
    <cellStyle name="Normal 251 2 4 2" xfId="21800" xr:uid="{00000000-0005-0000-0000-000028540000}"/>
    <cellStyle name="Normal 251 2 4 2 2" xfId="21801" xr:uid="{00000000-0005-0000-0000-000029540000}"/>
    <cellStyle name="Normal 251 2 4 3" xfId="21802" xr:uid="{00000000-0005-0000-0000-00002A540000}"/>
    <cellStyle name="Normal 251 2 5" xfId="21803" xr:uid="{00000000-0005-0000-0000-00002B540000}"/>
    <cellStyle name="Normal 251 2 5 2" xfId="21804" xr:uid="{00000000-0005-0000-0000-00002C540000}"/>
    <cellStyle name="Normal 251 2 5 2 2" xfId="21805" xr:uid="{00000000-0005-0000-0000-00002D540000}"/>
    <cellStyle name="Normal 251 2 5 3" xfId="21806" xr:uid="{00000000-0005-0000-0000-00002E540000}"/>
    <cellStyle name="Normal 251 2 6" xfId="21807" xr:uid="{00000000-0005-0000-0000-00002F540000}"/>
    <cellStyle name="Normal 251 2 6 2" xfId="21808" xr:uid="{00000000-0005-0000-0000-000030540000}"/>
    <cellStyle name="Normal 251 2 6 2 2" xfId="21809" xr:uid="{00000000-0005-0000-0000-000031540000}"/>
    <cellStyle name="Normal 251 2 6 3" xfId="21810" xr:uid="{00000000-0005-0000-0000-000032540000}"/>
    <cellStyle name="Normal 251 2 7" xfId="21811" xr:uid="{00000000-0005-0000-0000-000033540000}"/>
    <cellStyle name="Normal 251 3" xfId="21812" xr:uid="{00000000-0005-0000-0000-000034540000}"/>
    <cellStyle name="Normal 251 3 2" xfId="21813" xr:uid="{00000000-0005-0000-0000-000035540000}"/>
    <cellStyle name="Normal 251 3 2 2" xfId="21814" xr:uid="{00000000-0005-0000-0000-000036540000}"/>
    <cellStyle name="Normal 251 3 3" xfId="21815" xr:uid="{00000000-0005-0000-0000-000037540000}"/>
    <cellStyle name="Normal 251 3 3 2" xfId="21816" xr:uid="{00000000-0005-0000-0000-000038540000}"/>
    <cellStyle name="Normal 251 3 3 2 2" xfId="21817" xr:uid="{00000000-0005-0000-0000-000039540000}"/>
    <cellStyle name="Normal 251 3 3 3" xfId="21818" xr:uid="{00000000-0005-0000-0000-00003A540000}"/>
    <cellStyle name="Normal 251 3 4" xfId="21819" xr:uid="{00000000-0005-0000-0000-00003B540000}"/>
    <cellStyle name="Normal 251 3 4 2" xfId="21820" xr:uid="{00000000-0005-0000-0000-00003C540000}"/>
    <cellStyle name="Normal 251 3 4 2 2" xfId="21821" xr:uid="{00000000-0005-0000-0000-00003D540000}"/>
    <cellStyle name="Normal 251 3 4 3" xfId="21822" xr:uid="{00000000-0005-0000-0000-00003E540000}"/>
    <cellStyle name="Normal 251 3 5" xfId="21823" xr:uid="{00000000-0005-0000-0000-00003F540000}"/>
    <cellStyle name="Normal 251 4" xfId="21824" xr:uid="{00000000-0005-0000-0000-000040540000}"/>
    <cellStyle name="Normal 251 4 2" xfId="21825" xr:uid="{00000000-0005-0000-0000-000041540000}"/>
    <cellStyle name="Normal 251 4 2 2" xfId="21826" xr:uid="{00000000-0005-0000-0000-000042540000}"/>
    <cellStyle name="Normal 251 4 2 2 2" xfId="21827" xr:uid="{00000000-0005-0000-0000-000043540000}"/>
    <cellStyle name="Normal 251 4 2 3" xfId="21828" xr:uid="{00000000-0005-0000-0000-000044540000}"/>
    <cellStyle name="Normal 251 4 2 3 2" xfId="21829" xr:uid="{00000000-0005-0000-0000-000045540000}"/>
    <cellStyle name="Normal 251 4 2 3 2 2" xfId="21830" xr:uid="{00000000-0005-0000-0000-000046540000}"/>
    <cellStyle name="Normal 251 4 2 3 3" xfId="21831" xr:uid="{00000000-0005-0000-0000-000047540000}"/>
    <cellStyle name="Normal 251 4 2 4" xfId="21832" xr:uid="{00000000-0005-0000-0000-000048540000}"/>
    <cellStyle name="Normal 251 4 3" xfId="21833" xr:uid="{00000000-0005-0000-0000-000049540000}"/>
    <cellStyle name="Normal 251 4 3 2" xfId="21834" xr:uid="{00000000-0005-0000-0000-00004A540000}"/>
    <cellStyle name="Normal 251 4 3 2 2" xfId="21835" xr:uid="{00000000-0005-0000-0000-00004B540000}"/>
    <cellStyle name="Normal 251 4 3 3" xfId="21836" xr:uid="{00000000-0005-0000-0000-00004C540000}"/>
    <cellStyle name="Normal 251 4 4" xfId="21837" xr:uid="{00000000-0005-0000-0000-00004D540000}"/>
    <cellStyle name="Normal 251 4 4 2" xfId="21838" xr:uid="{00000000-0005-0000-0000-00004E540000}"/>
    <cellStyle name="Normal 251 4 4 2 2" xfId="21839" xr:uid="{00000000-0005-0000-0000-00004F540000}"/>
    <cellStyle name="Normal 251 4 4 3" xfId="21840" xr:uid="{00000000-0005-0000-0000-000050540000}"/>
    <cellStyle name="Normal 251 4 5" xfId="21841" xr:uid="{00000000-0005-0000-0000-000051540000}"/>
    <cellStyle name="Normal 251 4 5 2" xfId="21842" xr:uid="{00000000-0005-0000-0000-000052540000}"/>
    <cellStyle name="Normal 251 4 5 2 2" xfId="21843" xr:uid="{00000000-0005-0000-0000-000053540000}"/>
    <cellStyle name="Normal 251 4 5 3" xfId="21844" xr:uid="{00000000-0005-0000-0000-000054540000}"/>
    <cellStyle name="Normal 251 4 6" xfId="21845" xr:uid="{00000000-0005-0000-0000-000055540000}"/>
    <cellStyle name="Normal 251 5" xfId="21846" xr:uid="{00000000-0005-0000-0000-000056540000}"/>
    <cellStyle name="Normal 251 5 2" xfId="21847" xr:uid="{00000000-0005-0000-0000-000057540000}"/>
    <cellStyle name="Normal 251 5 2 2" xfId="21848" xr:uid="{00000000-0005-0000-0000-000058540000}"/>
    <cellStyle name="Normal 251 5 3" xfId="21849" xr:uid="{00000000-0005-0000-0000-000059540000}"/>
    <cellStyle name="Normal 251 6" xfId="21850" xr:uid="{00000000-0005-0000-0000-00005A540000}"/>
    <cellStyle name="Normal 251 6 2" xfId="21851" xr:uid="{00000000-0005-0000-0000-00005B540000}"/>
    <cellStyle name="Normal 251 6 2 2" xfId="21852" xr:uid="{00000000-0005-0000-0000-00005C540000}"/>
    <cellStyle name="Normal 251 6 3" xfId="21853" xr:uid="{00000000-0005-0000-0000-00005D540000}"/>
    <cellStyle name="Normal 251 7" xfId="21854" xr:uid="{00000000-0005-0000-0000-00005E540000}"/>
    <cellStyle name="Normal 251 7 2" xfId="21855" xr:uid="{00000000-0005-0000-0000-00005F540000}"/>
    <cellStyle name="Normal 251 7 2 2" xfId="21856" xr:uid="{00000000-0005-0000-0000-000060540000}"/>
    <cellStyle name="Normal 251 7 3" xfId="21857" xr:uid="{00000000-0005-0000-0000-000061540000}"/>
    <cellStyle name="Normal 251 8" xfId="21858" xr:uid="{00000000-0005-0000-0000-000062540000}"/>
    <cellStyle name="Normal 252" xfId="21859" xr:uid="{00000000-0005-0000-0000-000063540000}"/>
    <cellStyle name="Normal 252 2" xfId="21860" xr:uid="{00000000-0005-0000-0000-000064540000}"/>
    <cellStyle name="Normal 252 2 2" xfId="21861" xr:uid="{00000000-0005-0000-0000-000065540000}"/>
    <cellStyle name="Normal 252 2 2 2" xfId="21862" xr:uid="{00000000-0005-0000-0000-000066540000}"/>
    <cellStyle name="Normal 252 2 2 2 2" xfId="21863" xr:uid="{00000000-0005-0000-0000-000067540000}"/>
    <cellStyle name="Normal 252 2 2 3" xfId="21864" xr:uid="{00000000-0005-0000-0000-000068540000}"/>
    <cellStyle name="Normal 252 2 2 3 2" xfId="21865" xr:uid="{00000000-0005-0000-0000-000069540000}"/>
    <cellStyle name="Normal 252 2 2 3 2 2" xfId="21866" xr:uid="{00000000-0005-0000-0000-00006A540000}"/>
    <cellStyle name="Normal 252 2 2 3 3" xfId="21867" xr:uid="{00000000-0005-0000-0000-00006B540000}"/>
    <cellStyle name="Normal 252 2 2 4" xfId="21868" xr:uid="{00000000-0005-0000-0000-00006C540000}"/>
    <cellStyle name="Normal 252 2 2 4 2" xfId="21869" xr:uid="{00000000-0005-0000-0000-00006D540000}"/>
    <cellStyle name="Normal 252 2 2 4 2 2" xfId="21870" xr:uid="{00000000-0005-0000-0000-00006E540000}"/>
    <cellStyle name="Normal 252 2 2 4 3" xfId="21871" xr:uid="{00000000-0005-0000-0000-00006F540000}"/>
    <cellStyle name="Normal 252 2 2 5" xfId="21872" xr:uid="{00000000-0005-0000-0000-000070540000}"/>
    <cellStyle name="Normal 252 2 3" xfId="21873" xr:uid="{00000000-0005-0000-0000-000071540000}"/>
    <cellStyle name="Normal 252 2 3 2" xfId="21874" xr:uid="{00000000-0005-0000-0000-000072540000}"/>
    <cellStyle name="Normal 252 2 3 2 2" xfId="21875" xr:uid="{00000000-0005-0000-0000-000073540000}"/>
    <cellStyle name="Normal 252 2 3 2 2 2" xfId="21876" xr:uid="{00000000-0005-0000-0000-000074540000}"/>
    <cellStyle name="Normal 252 2 3 2 3" xfId="21877" xr:uid="{00000000-0005-0000-0000-000075540000}"/>
    <cellStyle name="Normal 252 2 3 2 3 2" xfId="21878" xr:uid="{00000000-0005-0000-0000-000076540000}"/>
    <cellStyle name="Normal 252 2 3 2 3 2 2" xfId="21879" xr:uid="{00000000-0005-0000-0000-000077540000}"/>
    <cellStyle name="Normal 252 2 3 2 3 3" xfId="21880" xr:uid="{00000000-0005-0000-0000-000078540000}"/>
    <cellStyle name="Normal 252 2 3 2 4" xfId="21881" xr:uid="{00000000-0005-0000-0000-000079540000}"/>
    <cellStyle name="Normal 252 2 3 3" xfId="21882" xr:uid="{00000000-0005-0000-0000-00007A540000}"/>
    <cellStyle name="Normal 252 2 3 3 2" xfId="21883" xr:uid="{00000000-0005-0000-0000-00007B540000}"/>
    <cellStyle name="Normal 252 2 3 3 2 2" xfId="21884" xr:uid="{00000000-0005-0000-0000-00007C540000}"/>
    <cellStyle name="Normal 252 2 3 3 3" xfId="21885" xr:uid="{00000000-0005-0000-0000-00007D540000}"/>
    <cellStyle name="Normal 252 2 3 4" xfId="21886" xr:uid="{00000000-0005-0000-0000-00007E540000}"/>
    <cellStyle name="Normal 252 2 3 4 2" xfId="21887" xr:uid="{00000000-0005-0000-0000-00007F540000}"/>
    <cellStyle name="Normal 252 2 3 4 2 2" xfId="21888" xr:uid="{00000000-0005-0000-0000-000080540000}"/>
    <cellStyle name="Normal 252 2 3 4 3" xfId="21889" xr:uid="{00000000-0005-0000-0000-000081540000}"/>
    <cellStyle name="Normal 252 2 3 5" xfId="21890" xr:uid="{00000000-0005-0000-0000-000082540000}"/>
    <cellStyle name="Normal 252 2 3 5 2" xfId="21891" xr:uid="{00000000-0005-0000-0000-000083540000}"/>
    <cellStyle name="Normal 252 2 3 5 2 2" xfId="21892" xr:uid="{00000000-0005-0000-0000-000084540000}"/>
    <cellStyle name="Normal 252 2 3 5 3" xfId="21893" xr:uid="{00000000-0005-0000-0000-000085540000}"/>
    <cellStyle name="Normal 252 2 3 6" xfId="21894" xr:uid="{00000000-0005-0000-0000-000086540000}"/>
    <cellStyle name="Normal 252 2 4" xfId="21895" xr:uid="{00000000-0005-0000-0000-000087540000}"/>
    <cellStyle name="Normal 252 2 4 2" xfId="21896" xr:uid="{00000000-0005-0000-0000-000088540000}"/>
    <cellStyle name="Normal 252 2 4 2 2" xfId="21897" xr:uid="{00000000-0005-0000-0000-000089540000}"/>
    <cellStyle name="Normal 252 2 4 3" xfId="21898" xr:uid="{00000000-0005-0000-0000-00008A540000}"/>
    <cellStyle name="Normal 252 2 5" xfId="21899" xr:uid="{00000000-0005-0000-0000-00008B540000}"/>
    <cellStyle name="Normal 252 2 5 2" xfId="21900" xr:uid="{00000000-0005-0000-0000-00008C540000}"/>
    <cellStyle name="Normal 252 2 5 2 2" xfId="21901" xr:uid="{00000000-0005-0000-0000-00008D540000}"/>
    <cellStyle name="Normal 252 2 5 3" xfId="21902" xr:uid="{00000000-0005-0000-0000-00008E540000}"/>
    <cellStyle name="Normal 252 2 6" xfId="21903" xr:uid="{00000000-0005-0000-0000-00008F540000}"/>
    <cellStyle name="Normal 252 2 6 2" xfId="21904" xr:uid="{00000000-0005-0000-0000-000090540000}"/>
    <cellStyle name="Normal 252 2 6 2 2" xfId="21905" xr:uid="{00000000-0005-0000-0000-000091540000}"/>
    <cellStyle name="Normal 252 2 6 3" xfId="21906" xr:uid="{00000000-0005-0000-0000-000092540000}"/>
    <cellStyle name="Normal 252 2 7" xfId="21907" xr:uid="{00000000-0005-0000-0000-000093540000}"/>
    <cellStyle name="Normal 252 3" xfId="21908" xr:uid="{00000000-0005-0000-0000-000094540000}"/>
    <cellStyle name="Normal 252 3 2" xfId="21909" xr:uid="{00000000-0005-0000-0000-000095540000}"/>
    <cellStyle name="Normal 252 3 2 2" xfId="21910" xr:uid="{00000000-0005-0000-0000-000096540000}"/>
    <cellStyle name="Normal 252 3 3" xfId="21911" xr:uid="{00000000-0005-0000-0000-000097540000}"/>
    <cellStyle name="Normal 252 3 3 2" xfId="21912" xr:uid="{00000000-0005-0000-0000-000098540000}"/>
    <cellStyle name="Normal 252 3 3 2 2" xfId="21913" xr:uid="{00000000-0005-0000-0000-000099540000}"/>
    <cellStyle name="Normal 252 3 3 3" xfId="21914" xr:uid="{00000000-0005-0000-0000-00009A540000}"/>
    <cellStyle name="Normal 252 3 4" xfId="21915" xr:uid="{00000000-0005-0000-0000-00009B540000}"/>
    <cellStyle name="Normal 252 3 4 2" xfId="21916" xr:uid="{00000000-0005-0000-0000-00009C540000}"/>
    <cellStyle name="Normal 252 3 4 2 2" xfId="21917" xr:uid="{00000000-0005-0000-0000-00009D540000}"/>
    <cellStyle name="Normal 252 3 4 3" xfId="21918" xr:uid="{00000000-0005-0000-0000-00009E540000}"/>
    <cellStyle name="Normal 252 3 5" xfId="21919" xr:uid="{00000000-0005-0000-0000-00009F540000}"/>
    <cellStyle name="Normal 252 4" xfId="21920" xr:uid="{00000000-0005-0000-0000-0000A0540000}"/>
    <cellStyle name="Normal 252 4 2" xfId="21921" xr:uid="{00000000-0005-0000-0000-0000A1540000}"/>
    <cellStyle name="Normal 252 4 2 2" xfId="21922" xr:uid="{00000000-0005-0000-0000-0000A2540000}"/>
    <cellStyle name="Normal 252 4 2 2 2" xfId="21923" xr:uid="{00000000-0005-0000-0000-0000A3540000}"/>
    <cellStyle name="Normal 252 4 2 3" xfId="21924" xr:uid="{00000000-0005-0000-0000-0000A4540000}"/>
    <cellStyle name="Normal 252 4 2 3 2" xfId="21925" xr:uid="{00000000-0005-0000-0000-0000A5540000}"/>
    <cellStyle name="Normal 252 4 2 3 2 2" xfId="21926" xr:uid="{00000000-0005-0000-0000-0000A6540000}"/>
    <cellStyle name="Normal 252 4 2 3 3" xfId="21927" xr:uid="{00000000-0005-0000-0000-0000A7540000}"/>
    <cellStyle name="Normal 252 4 2 4" xfId="21928" xr:uid="{00000000-0005-0000-0000-0000A8540000}"/>
    <cellStyle name="Normal 252 4 3" xfId="21929" xr:uid="{00000000-0005-0000-0000-0000A9540000}"/>
    <cellStyle name="Normal 252 4 3 2" xfId="21930" xr:uid="{00000000-0005-0000-0000-0000AA540000}"/>
    <cellStyle name="Normal 252 4 3 2 2" xfId="21931" xr:uid="{00000000-0005-0000-0000-0000AB540000}"/>
    <cellStyle name="Normal 252 4 3 3" xfId="21932" xr:uid="{00000000-0005-0000-0000-0000AC540000}"/>
    <cellStyle name="Normal 252 4 4" xfId="21933" xr:uid="{00000000-0005-0000-0000-0000AD540000}"/>
    <cellStyle name="Normal 252 4 4 2" xfId="21934" xr:uid="{00000000-0005-0000-0000-0000AE540000}"/>
    <cellStyle name="Normal 252 4 4 2 2" xfId="21935" xr:uid="{00000000-0005-0000-0000-0000AF540000}"/>
    <cellStyle name="Normal 252 4 4 3" xfId="21936" xr:uid="{00000000-0005-0000-0000-0000B0540000}"/>
    <cellStyle name="Normal 252 4 5" xfId="21937" xr:uid="{00000000-0005-0000-0000-0000B1540000}"/>
    <cellStyle name="Normal 252 4 5 2" xfId="21938" xr:uid="{00000000-0005-0000-0000-0000B2540000}"/>
    <cellStyle name="Normal 252 4 5 2 2" xfId="21939" xr:uid="{00000000-0005-0000-0000-0000B3540000}"/>
    <cellStyle name="Normal 252 4 5 3" xfId="21940" xr:uid="{00000000-0005-0000-0000-0000B4540000}"/>
    <cellStyle name="Normal 252 4 6" xfId="21941" xr:uid="{00000000-0005-0000-0000-0000B5540000}"/>
    <cellStyle name="Normal 252 5" xfId="21942" xr:uid="{00000000-0005-0000-0000-0000B6540000}"/>
    <cellStyle name="Normal 252 5 2" xfId="21943" xr:uid="{00000000-0005-0000-0000-0000B7540000}"/>
    <cellStyle name="Normal 252 5 2 2" xfId="21944" xr:uid="{00000000-0005-0000-0000-0000B8540000}"/>
    <cellStyle name="Normal 252 5 3" xfId="21945" xr:uid="{00000000-0005-0000-0000-0000B9540000}"/>
    <cellStyle name="Normal 252 6" xfId="21946" xr:uid="{00000000-0005-0000-0000-0000BA540000}"/>
    <cellStyle name="Normal 252 6 2" xfId="21947" xr:uid="{00000000-0005-0000-0000-0000BB540000}"/>
    <cellStyle name="Normal 252 6 2 2" xfId="21948" xr:uid="{00000000-0005-0000-0000-0000BC540000}"/>
    <cellStyle name="Normal 252 6 3" xfId="21949" xr:uid="{00000000-0005-0000-0000-0000BD540000}"/>
    <cellStyle name="Normal 252 7" xfId="21950" xr:uid="{00000000-0005-0000-0000-0000BE540000}"/>
    <cellStyle name="Normal 252 7 2" xfId="21951" xr:uid="{00000000-0005-0000-0000-0000BF540000}"/>
    <cellStyle name="Normal 252 7 2 2" xfId="21952" xr:uid="{00000000-0005-0000-0000-0000C0540000}"/>
    <cellStyle name="Normal 252 7 3" xfId="21953" xr:uid="{00000000-0005-0000-0000-0000C1540000}"/>
    <cellStyle name="Normal 252 8" xfId="21954" xr:uid="{00000000-0005-0000-0000-0000C2540000}"/>
    <cellStyle name="Normal 253" xfId="21955" xr:uid="{00000000-0005-0000-0000-0000C3540000}"/>
    <cellStyle name="Normal 253 2" xfId="21956" xr:uid="{00000000-0005-0000-0000-0000C4540000}"/>
    <cellStyle name="Normal 253 2 2" xfId="21957" xr:uid="{00000000-0005-0000-0000-0000C5540000}"/>
    <cellStyle name="Normal 253 2 2 2" xfId="21958" xr:uid="{00000000-0005-0000-0000-0000C6540000}"/>
    <cellStyle name="Normal 253 2 2 2 2" xfId="21959" xr:uid="{00000000-0005-0000-0000-0000C7540000}"/>
    <cellStyle name="Normal 253 2 2 3" xfId="21960" xr:uid="{00000000-0005-0000-0000-0000C8540000}"/>
    <cellStyle name="Normal 253 2 2 3 2" xfId="21961" xr:uid="{00000000-0005-0000-0000-0000C9540000}"/>
    <cellStyle name="Normal 253 2 2 3 2 2" xfId="21962" xr:uid="{00000000-0005-0000-0000-0000CA540000}"/>
    <cellStyle name="Normal 253 2 2 3 3" xfId="21963" xr:uid="{00000000-0005-0000-0000-0000CB540000}"/>
    <cellStyle name="Normal 253 2 2 4" xfId="21964" xr:uid="{00000000-0005-0000-0000-0000CC540000}"/>
    <cellStyle name="Normal 253 2 2 4 2" xfId="21965" xr:uid="{00000000-0005-0000-0000-0000CD540000}"/>
    <cellStyle name="Normal 253 2 2 4 2 2" xfId="21966" xr:uid="{00000000-0005-0000-0000-0000CE540000}"/>
    <cellStyle name="Normal 253 2 2 4 3" xfId="21967" xr:uid="{00000000-0005-0000-0000-0000CF540000}"/>
    <cellStyle name="Normal 253 2 2 5" xfId="21968" xr:uid="{00000000-0005-0000-0000-0000D0540000}"/>
    <cellStyle name="Normal 253 2 3" xfId="21969" xr:uid="{00000000-0005-0000-0000-0000D1540000}"/>
    <cellStyle name="Normal 253 2 3 2" xfId="21970" xr:uid="{00000000-0005-0000-0000-0000D2540000}"/>
    <cellStyle name="Normal 253 2 3 2 2" xfId="21971" xr:uid="{00000000-0005-0000-0000-0000D3540000}"/>
    <cellStyle name="Normal 253 2 3 2 2 2" xfId="21972" xr:uid="{00000000-0005-0000-0000-0000D4540000}"/>
    <cellStyle name="Normal 253 2 3 2 3" xfId="21973" xr:uid="{00000000-0005-0000-0000-0000D5540000}"/>
    <cellStyle name="Normal 253 2 3 2 3 2" xfId="21974" xr:uid="{00000000-0005-0000-0000-0000D6540000}"/>
    <cellStyle name="Normal 253 2 3 2 3 2 2" xfId="21975" xr:uid="{00000000-0005-0000-0000-0000D7540000}"/>
    <cellStyle name="Normal 253 2 3 2 3 3" xfId="21976" xr:uid="{00000000-0005-0000-0000-0000D8540000}"/>
    <cellStyle name="Normal 253 2 3 2 4" xfId="21977" xr:uid="{00000000-0005-0000-0000-0000D9540000}"/>
    <cellStyle name="Normal 253 2 3 3" xfId="21978" xr:uid="{00000000-0005-0000-0000-0000DA540000}"/>
    <cellStyle name="Normal 253 2 3 3 2" xfId="21979" xr:uid="{00000000-0005-0000-0000-0000DB540000}"/>
    <cellStyle name="Normal 253 2 3 3 2 2" xfId="21980" xr:uid="{00000000-0005-0000-0000-0000DC540000}"/>
    <cellStyle name="Normal 253 2 3 3 3" xfId="21981" xr:uid="{00000000-0005-0000-0000-0000DD540000}"/>
    <cellStyle name="Normal 253 2 3 4" xfId="21982" xr:uid="{00000000-0005-0000-0000-0000DE540000}"/>
    <cellStyle name="Normal 253 2 3 4 2" xfId="21983" xr:uid="{00000000-0005-0000-0000-0000DF540000}"/>
    <cellStyle name="Normal 253 2 3 4 2 2" xfId="21984" xr:uid="{00000000-0005-0000-0000-0000E0540000}"/>
    <cellStyle name="Normal 253 2 3 4 3" xfId="21985" xr:uid="{00000000-0005-0000-0000-0000E1540000}"/>
    <cellStyle name="Normal 253 2 3 5" xfId="21986" xr:uid="{00000000-0005-0000-0000-0000E2540000}"/>
    <cellStyle name="Normal 253 2 3 5 2" xfId="21987" xr:uid="{00000000-0005-0000-0000-0000E3540000}"/>
    <cellStyle name="Normal 253 2 3 5 2 2" xfId="21988" xr:uid="{00000000-0005-0000-0000-0000E4540000}"/>
    <cellStyle name="Normal 253 2 3 5 3" xfId="21989" xr:uid="{00000000-0005-0000-0000-0000E5540000}"/>
    <cellStyle name="Normal 253 2 3 6" xfId="21990" xr:uid="{00000000-0005-0000-0000-0000E6540000}"/>
    <cellStyle name="Normal 253 2 4" xfId="21991" xr:uid="{00000000-0005-0000-0000-0000E7540000}"/>
    <cellStyle name="Normal 253 2 4 2" xfId="21992" xr:uid="{00000000-0005-0000-0000-0000E8540000}"/>
    <cellStyle name="Normal 253 2 4 2 2" xfId="21993" xr:uid="{00000000-0005-0000-0000-0000E9540000}"/>
    <cellStyle name="Normal 253 2 4 3" xfId="21994" xr:uid="{00000000-0005-0000-0000-0000EA540000}"/>
    <cellStyle name="Normal 253 2 5" xfId="21995" xr:uid="{00000000-0005-0000-0000-0000EB540000}"/>
    <cellStyle name="Normal 253 2 5 2" xfId="21996" xr:uid="{00000000-0005-0000-0000-0000EC540000}"/>
    <cellStyle name="Normal 253 2 5 2 2" xfId="21997" xr:uid="{00000000-0005-0000-0000-0000ED540000}"/>
    <cellStyle name="Normal 253 2 5 3" xfId="21998" xr:uid="{00000000-0005-0000-0000-0000EE540000}"/>
    <cellStyle name="Normal 253 2 6" xfId="21999" xr:uid="{00000000-0005-0000-0000-0000EF540000}"/>
    <cellStyle name="Normal 253 2 6 2" xfId="22000" xr:uid="{00000000-0005-0000-0000-0000F0540000}"/>
    <cellStyle name="Normal 253 2 6 2 2" xfId="22001" xr:uid="{00000000-0005-0000-0000-0000F1540000}"/>
    <cellStyle name="Normal 253 2 6 3" xfId="22002" xr:uid="{00000000-0005-0000-0000-0000F2540000}"/>
    <cellStyle name="Normal 253 2 7" xfId="22003" xr:uid="{00000000-0005-0000-0000-0000F3540000}"/>
    <cellStyle name="Normal 253 3" xfId="22004" xr:uid="{00000000-0005-0000-0000-0000F4540000}"/>
    <cellStyle name="Normal 253 3 2" xfId="22005" xr:uid="{00000000-0005-0000-0000-0000F5540000}"/>
    <cellStyle name="Normal 253 3 2 2" xfId="22006" xr:uid="{00000000-0005-0000-0000-0000F6540000}"/>
    <cellStyle name="Normal 253 3 3" xfId="22007" xr:uid="{00000000-0005-0000-0000-0000F7540000}"/>
    <cellStyle name="Normal 253 3 3 2" xfId="22008" xr:uid="{00000000-0005-0000-0000-0000F8540000}"/>
    <cellStyle name="Normal 253 3 3 2 2" xfId="22009" xr:uid="{00000000-0005-0000-0000-0000F9540000}"/>
    <cellStyle name="Normal 253 3 3 3" xfId="22010" xr:uid="{00000000-0005-0000-0000-0000FA540000}"/>
    <cellStyle name="Normal 253 3 4" xfId="22011" xr:uid="{00000000-0005-0000-0000-0000FB540000}"/>
    <cellStyle name="Normal 253 3 4 2" xfId="22012" xr:uid="{00000000-0005-0000-0000-0000FC540000}"/>
    <cellStyle name="Normal 253 3 4 2 2" xfId="22013" xr:uid="{00000000-0005-0000-0000-0000FD540000}"/>
    <cellStyle name="Normal 253 3 4 3" xfId="22014" xr:uid="{00000000-0005-0000-0000-0000FE540000}"/>
    <cellStyle name="Normal 253 3 5" xfId="22015" xr:uid="{00000000-0005-0000-0000-0000FF540000}"/>
    <cellStyle name="Normal 253 4" xfId="22016" xr:uid="{00000000-0005-0000-0000-000000550000}"/>
    <cellStyle name="Normal 253 4 2" xfId="22017" xr:uid="{00000000-0005-0000-0000-000001550000}"/>
    <cellStyle name="Normal 253 4 2 2" xfId="22018" xr:uid="{00000000-0005-0000-0000-000002550000}"/>
    <cellStyle name="Normal 253 4 2 2 2" xfId="22019" xr:uid="{00000000-0005-0000-0000-000003550000}"/>
    <cellStyle name="Normal 253 4 2 3" xfId="22020" xr:uid="{00000000-0005-0000-0000-000004550000}"/>
    <cellStyle name="Normal 253 4 2 3 2" xfId="22021" xr:uid="{00000000-0005-0000-0000-000005550000}"/>
    <cellStyle name="Normal 253 4 2 3 2 2" xfId="22022" xr:uid="{00000000-0005-0000-0000-000006550000}"/>
    <cellStyle name="Normal 253 4 2 3 3" xfId="22023" xr:uid="{00000000-0005-0000-0000-000007550000}"/>
    <cellStyle name="Normal 253 4 2 4" xfId="22024" xr:uid="{00000000-0005-0000-0000-000008550000}"/>
    <cellStyle name="Normal 253 4 3" xfId="22025" xr:uid="{00000000-0005-0000-0000-000009550000}"/>
    <cellStyle name="Normal 253 4 3 2" xfId="22026" xr:uid="{00000000-0005-0000-0000-00000A550000}"/>
    <cellStyle name="Normal 253 4 3 2 2" xfId="22027" xr:uid="{00000000-0005-0000-0000-00000B550000}"/>
    <cellStyle name="Normal 253 4 3 3" xfId="22028" xr:uid="{00000000-0005-0000-0000-00000C550000}"/>
    <cellStyle name="Normal 253 4 4" xfId="22029" xr:uid="{00000000-0005-0000-0000-00000D550000}"/>
    <cellStyle name="Normal 253 4 4 2" xfId="22030" xr:uid="{00000000-0005-0000-0000-00000E550000}"/>
    <cellStyle name="Normal 253 4 4 2 2" xfId="22031" xr:uid="{00000000-0005-0000-0000-00000F550000}"/>
    <cellStyle name="Normal 253 4 4 3" xfId="22032" xr:uid="{00000000-0005-0000-0000-000010550000}"/>
    <cellStyle name="Normal 253 4 5" xfId="22033" xr:uid="{00000000-0005-0000-0000-000011550000}"/>
    <cellStyle name="Normal 253 4 5 2" xfId="22034" xr:uid="{00000000-0005-0000-0000-000012550000}"/>
    <cellStyle name="Normal 253 4 5 2 2" xfId="22035" xr:uid="{00000000-0005-0000-0000-000013550000}"/>
    <cellStyle name="Normal 253 4 5 3" xfId="22036" xr:uid="{00000000-0005-0000-0000-000014550000}"/>
    <cellStyle name="Normal 253 4 6" xfId="22037" xr:uid="{00000000-0005-0000-0000-000015550000}"/>
    <cellStyle name="Normal 253 5" xfId="22038" xr:uid="{00000000-0005-0000-0000-000016550000}"/>
    <cellStyle name="Normal 253 5 2" xfId="22039" xr:uid="{00000000-0005-0000-0000-000017550000}"/>
    <cellStyle name="Normal 253 5 2 2" xfId="22040" xr:uid="{00000000-0005-0000-0000-000018550000}"/>
    <cellStyle name="Normal 253 5 3" xfId="22041" xr:uid="{00000000-0005-0000-0000-000019550000}"/>
    <cellStyle name="Normal 253 6" xfId="22042" xr:uid="{00000000-0005-0000-0000-00001A550000}"/>
    <cellStyle name="Normal 253 6 2" xfId="22043" xr:uid="{00000000-0005-0000-0000-00001B550000}"/>
    <cellStyle name="Normal 253 6 2 2" xfId="22044" xr:uid="{00000000-0005-0000-0000-00001C550000}"/>
    <cellStyle name="Normal 253 6 3" xfId="22045" xr:uid="{00000000-0005-0000-0000-00001D550000}"/>
    <cellStyle name="Normal 253 7" xfId="22046" xr:uid="{00000000-0005-0000-0000-00001E550000}"/>
    <cellStyle name="Normal 253 7 2" xfId="22047" xr:uid="{00000000-0005-0000-0000-00001F550000}"/>
    <cellStyle name="Normal 253 7 2 2" xfId="22048" xr:uid="{00000000-0005-0000-0000-000020550000}"/>
    <cellStyle name="Normal 253 7 3" xfId="22049" xr:uid="{00000000-0005-0000-0000-000021550000}"/>
    <cellStyle name="Normal 253 8" xfId="22050" xr:uid="{00000000-0005-0000-0000-000022550000}"/>
    <cellStyle name="Normal 254" xfId="22051" xr:uid="{00000000-0005-0000-0000-000023550000}"/>
    <cellStyle name="Normal 254 2" xfId="22052" xr:uid="{00000000-0005-0000-0000-000024550000}"/>
    <cellStyle name="Normal 254 2 2" xfId="22053" xr:uid="{00000000-0005-0000-0000-000025550000}"/>
    <cellStyle name="Normal 254 2 2 2" xfId="22054" xr:uid="{00000000-0005-0000-0000-000026550000}"/>
    <cellStyle name="Normal 254 2 2 2 2" xfId="22055" xr:uid="{00000000-0005-0000-0000-000027550000}"/>
    <cellStyle name="Normal 254 2 2 3" xfId="22056" xr:uid="{00000000-0005-0000-0000-000028550000}"/>
    <cellStyle name="Normal 254 2 2 3 2" xfId="22057" xr:uid="{00000000-0005-0000-0000-000029550000}"/>
    <cellStyle name="Normal 254 2 2 3 2 2" xfId="22058" xr:uid="{00000000-0005-0000-0000-00002A550000}"/>
    <cellStyle name="Normal 254 2 2 3 3" xfId="22059" xr:uid="{00000000-0005-0000-0000-00002B550000}"/>
    <cellStyle name="Normal 254 2 2 4" xfId="22060" xr:uid="{00000000-0005-0000-0000-00002C550000}"/>
    <cellStyle name="Normal 254 2 2 4 2" xfId="22061" xr:uid="{00000000-0005-0000-0000-00002D550000}"/>
    <cellStyle name="Normal 254 2 2 4 2 2" xfId="22062" xr:uid="{00000000-0005-0000-0000-00002E550000}"/>
    <cellStyle name="Normal 254 2 2 4 3" xfId="22063" xr:uid="{00000000-0005-0000-0000-00002F550000}"/>
    <cellStyle name="Normal 254 2 2 5" xfId="22064" xr:uid="{00000000-0005-0000-0000-000030550000}"/>
    <cellStyle name="Normal 254 2 3" xfId="22065" xr:uid="{00000000-0005-0000-0000-000031550000}"/>
    <cellStyle name="Normal 254 2 3 2" xfId="22066" xr:uid="{00000000-0005-0000-0000-000032550000}"/>
    <cellStyle name="Normal 254 2 3 2 2" xfId="22067" xr:uid="{00000000-0005-0000-0000-000033550000}"/>
    <cellStyle name="Normal 254 2 3 2 2 2" xfId="22068" xr:uid="{00000000-0005-0000-0000-000034550000}"/>
    <cellStyle name="Normal 254 2 3 2 3" xfId="22069" xr:uid="{00000000-0005-0000-0000-000035550000}"/>
    <cellStyle name="Normal 254 2 3 2 3 2" xfId="22070" xr:uid="{00000000-0005-0000-0000-000036550000}"/>
    <cellStyle name="Normal 254 2 3 2 3 2 2" xfId="22071" xr:uid="{00000000-0005-0000-0000-000037550000}"/>
    <cellStyle name="Normal 254 2 3 2 3 3" xfId="22072" xr:uid="{00000000-0005-0000-0000-000038550000}"/>
    <cellStyle name="Normal 254 2 3 2 4" xfId="22073" xr:uid="{00000000-0005-0000-0000-000039550000}"/>
    <cellStyle name="Normal 254 2 3 3" xfId="22074" xr:uid="{00000000-0005-0000-0000-00003A550000}"/>
    <cellStyle name="Normal 254 2 3 3 2" xfId="22075" xr:uid="{00000000-0005-0000-0000-00003B550000}"/>
    <cellStyle name="Normal 254 2 3 3 2 2" xfId="22076" xr:uid="{00000000-0005-0000-0000-00003C550000}"/>
    <cellStyle name="Normal 254 2 3 3 3" xfId="22077" xr:uid="{00000000-0005-0000-0000-00003D550000}"/>
    <cellStyle name="Normal 254 2 3 4" xfId="22078" xr:uid="{00000000-0005-0000-0000-00003E550000}"/>
    <cellStyle name="Normal 254 2 3 4 2" xfId="22079" xr:uid="{00000000-0005-0000-0000-00003F550000}"/>
    <cellStyle name="Normal 254 2 3 4 2 2" xfId="22080" xr:uid="{00000000-0005-0000-0000-000040550000}"/>
    <cellStyle name="Normal 254 2 3 4 3" xfId="22081" xr:uid="{00000000-0005-0000-0000-000041550000}"/>
    <cellStyle name="Normal 254 2 3 5" xfId="22082" xr:uid="{00000000-0005-0000-0000-000042550000}"/>
    <cellStyle name="Normal 254 2 3 5 2" xfId="22083" xr:uid="{00000000-0005-0000-0000-000043550000}"/>
    <cellStyle name="Normal 254 2 3 5 2 2" xfId="22084" xr:uid="{00000000-0005-0000-0000-000044550000}"/>
    <cellStyle name="Normal 254 2 3 5 3" xfId="22085" xr:uid="{00000000-0005-0000-0000-000045550000}"/>
    <cellStyle name="Normal 254 2 3 6" xfId="22086" xr:uid="{00000000-0005-0000-0000-000046550000}"/>
    <cellStyle name="Normal 254 2 4" xfId="22087" xr:uid="{00000000-0005-0000-0000-000047550000}"/>
    <cellStyle name="Normal 254 2 4 2" xfId="22088" xr:uid="{00000000-0005-0000-0000-000048550000}"/>
    <cellStyle name="Normal 254 2 4 2 2" xfId="22089" xr:uid="{00000000-0005-0000-0000-000049550000}"/>
    <cellStyle name="Normal 254 2 4 3" xfId="22090" xr:uid="{00000000-0005-0000-0000-00004A550000}"/>
    <cellStyle name="Normal 254 2 5" xfId="22091" xr:uid="{00000000-0005-0000-0000-00004B550000}"/>
    <cellStyle name="Normal 254 2 5 2" xfId="22092" xr:uid="{00000000-0005-0000-0000-00004C550000}"/>
    <cellStyle name="Normal 254 2 5 2 2" xfId="22093" xr:uid="{00000000-0005-0000-0000-00004D550000}"/>
    <cellStyle name="Normal 254 2 5 3" xfId="22094" xr:uid="{00000000-0005-0000-0000-00004E550000}"/>
    <cellStyle name="Normal 254 2 6" xfId="22095" xr:uid="{00000000-0005-0000-0000-00004F550000}"/>
    <cellStyle name="Normal 254 2 6 2" xfId="22096" xr:uid="{00000000-0005-0000-0000-000050550000}"/>
    <cellStyle name="Normal 254 2 6 2 2" xfId="22097" xr:uid="{00000000-0005-0000-0000-000051550000}"/>
    <cellStyle name="Normal 254 2 6 3" xfId="22098" xr:uid="{00000000-0005-0000-0000-000052550000}"/>
    <cellStyle name="Normal 254 2 7" xfId="22099" xr:uid="{00000000-0005-0000-0000-000053550000}"/>
    <cellStyle name="Normal 254 3" xfId="22100" xr:uid="{00000000-0005-0000-0000-000054550000}"/>
    <cellStyle name="Normal 254 3 2" xfId="22101" xr:uid="{00000000-0005-0000-0000-000055550000}"/>
    <cellStyle name="Normal 254 3 2 2" xfId="22102" xr:uid="{00000000-0005-0000-0000-000056550000}"/>
    <cellStyle name="Normal 254 3 3" xfId="22103" xr:uid="{00000000-0005-0000-0000-000057550000}"/>
    <cellStyle name="Normal 254 3 3 2" xfId="22104" xr:uid="{00000000-0005-0000-0000-000058550000}"/>
    <cellStyle name="Normal 254 3 3 2 2" xfId="22105" xr:uid="{00000000-0005-0000-0000-000059550000}"/>
    <cellStyle name="Normal 254 3 3 3" xfId="22106" xr:uid="{00000000-0005-0000-0000-00005A550000}"/>
    <cellStyle name="Normal 254 3 4" xfId="22107" xr:uid="{00000000-0005-0000-0000-00005B550000}"/>
    <cellStyle name="Normal 254 3 4 2" xfId="22108" xr:uid="{00000000-0005-0000-0000-00005C550000}"/>
    <cellStyle name="Normal 254 3 4 2 2" xfId="22109" xr:uid="{00000000-0005-0000-0000-00005D550000}"/>
    <cellStyle name="Normal 254 3 4 3" xfId="22110" xr:uid="{00000000-0005-0000-0000-00005E550000}"/>
    <cellStyle name="Normal 254 3 5" xfId="22111" xr:uid="{00000000-0005-0000-0000-00005F550000}"/>
    <cellStyle name="Normal 254 4" xfId="22112" xr:uid="{00000000-0005-0000-0000-000060550000}"/>
    <cellStyle name="Normal 254 4 2" xfId="22113" xr:uid="{00000000-0005-0000-0000-000061550000}"/>
    <cellStyle name="Normal 254 4 2 2" xfId="22114" xr:uid="{00000000-0005-0000-0000-000062550000}"/>
    <cellStyle name="Normal 254 4 2 2 2" xfId="22115" xr:uid="{00000000-0005-0000-0000-000063550000}"/>
    <cellStyle name="Normal 254 4 2 3" xfId="22116" xr:uid="{00000000-0005-0000-0000-000064550000}"/>
    <cellStyle name="Normal 254 4 2 3 2" xfId="22117" xr:uid="{00000000-0005-0000-0000-000065550000}"/>
    <cellStyle name="Normal 254 4 2 3 2 2" xfId="22118" xr:uid="{00000000-0005-0000-0000-000066550000}"/>
    <cellStyle name="Normal 254 4 2 3 3" xfId="22119" xr:uid="{00000000-0005-0000-0000-000067550000}"/>
    <cellStyle name="Normal 254 4 2 4" xfId="22120" xr:uid="{00000000-0005-0000-0000-000068550000}"/>
    <cellStyle name="Normal 254 4 3" xfId="22121" xr:uid="{00000000-0005-0000-0000-000069550000}"/>
    <cellStyle name="Normal 254 4 3 2" xfId="22122" xr:uid="{00000000-0005-0000-0000-00006A550000}"/>
    <cellStyle name="Normal 254 4 3 2 2" xfId="22123" xr:uid="{00000000-0005-0000-0000-00006B550000}"/>
    <cellStyle name="Normal 254 4 3 3" xfId="22124" xr:uid="{00000000-0005-0000-0000-00006C550000}"/>
    <cellStyle name="Normal 254 4 4" xfId="22125" xr:uid="{00000000-0005-0000-0000-00006D550000}"/>
    <cellStyle name="Normal 254 4 4 2" xfId="22126" xr:uid="{00000000-0005-0000-0000-00006E550000}"/>
    <cellStyle name="Normal 254 4 4 2 2" xfId="22127" xr:uid="{00000000-0005-0000-0000-00006F550000}"/>
    <cellStyle name="Normal 254 4 4 3" xfId="22128" xr:uid="{00000000-0005-0000-0000-000070550000}"/>
    <cellStyle name="Normal 254 4 5" xfId="22129" xr:uid="{00000000-0005-0000-0000-000071550000}"/>
    <cellStyle name="Normal 254 4 5 2" xfId="22130" xr:uid="{00000000-0005-0000-0000-000072550000}"/>
    <cellStyle name="Normal 254 4 5 2 2" xfId="22131" xr:uid="{00000000-0005-0000-0000-000073550000}"/>
    <cellStyle name="Normal 254 4 5 3" xfId="22132" xr:uid="{00000000-0005-0000-0000-000074550000}"/>
    <cellStyle name="Normal 254 4 6" xfId="22133" xr:uid="{00000000-0005-0000-0000-000075550000}"/>
    <cellStyle name="Normal 254 5" xfId="22134" xr:uid="{00000000-0005-0000-0000-000076550000}"/>
    <cellStyle name="Normal 254 5 2" xfId="22135" xr:uid="{00000000-0005-0000-0000-000077550000}"/>
    <cellStyle name="Normal 254 5 2 2" xfId="22136" xr:uid="{00000000-0005-0000-0000-000078550000}"/>
    <cellStyle name="Normal 254 5 3" xfId="22137" xr:uid="{00000000-0005-0000-0000-000079550000}"/>
    <cellStyle name="Normal 254 6" xfId="22138" xr:uid="{00000000-0005-0000-0000-00007A550000}"/>
    <cellStyle name="Normal 254 6 2" xfId="22139" xr:uid="{00000000-0005-0000-0000-00007B550000}"/>
    <cellStyle name="Normal 254 6 2 2" xfId="22140" xr:uid="{00000000-0005-0000-0000-00007C550000}"/>
    <cellStyle name="Normal 254 6 3" xfId="22141" xr:uid="{00000000-0005-0000-0000-00007D550000}"/>
    <cellStyle name="Normal 254 7" xfId="22142" xr:uid="{00000000-0005-0000-0000-00007E550000}"/>
    <cellStyle name="Normal 254 7 2" xfId="22143" xr:uid="{00000000-0005-0000-0000-00007F550000}"/>
    <cellStyle name="Normal 254 7 2 2" xfId="22144" xr:uid="{00000000-0005-0000-0000-000080550000}"/>
    <cellStyle name="Normal 254 7 3" xfId="22145" xr:uid="{00000000-0005-0000-0000-000081550000}"/>
    <cellStyle name="Normal 254 8" xfId="22146" xr:uid="{00000000-0005-0000-0000-000082550000}"/>
    <cellStyle name="Normal 255" xfId="22147" xr:uid="{00000000-0005-0000-0000-000083550000}"/>
    <cellStyle name="Normal 255 2" xfId="22148" xr:uid="{00000000-0005-0000-0000-000084550000}"/>
    <cellStyle name="Normal 255 2 2" xfId="22149" xr:uid="{00000000-0005-0000-0000-000085550000}"/>
    <cellStyle name="Normal 255 2 2 2" xfId="22150" xr:uid="{00000000-0005-0000-0000-000086550000}"/>
    <cellStyle name="Normal 255 2 2 2 2" xfId="22151" xr:uid="{00000000-0005-0000-0000-000087550000}"/>
    <cellStyle name="Normal 255 2 2 3" xfId="22152" xr:uid="{00000000-0005-0000-0000-000088550000}"/>
    <cellStyle name="Normal 255 2 2 3 2" xfId="22153" xr:uid="{00000000-0005-0000-0000-000089550000}"/>
    <cellStyle name="Normal 255 2 2 3 2 2" xfId="22154" xr:uid="{00000000-0005-0000-0000-00008A550000}"/>
    <cellStyle name="Normal 255 2 2 3 3" xfId="22155" xr:uid="{00000000-0005-0000-0000-00008B550000}"/>
    <cellStyle name="Normal 255 2 2 4" xfId="22156" xr:uid="{00000000-0005-0000-0000-00008C550000}"/>
    <cellStyle name="Normal 255 2 2 4 2" xfId="22157" xr:uid="{00000000-0005-0000-0000-00008D550000}"/>
    <cellStyle name="Normal 255 2 2 4 2 2" xfId="22158" xr:uid="{00000000-0005-0000-0000-00008E550000}"/>
    <cellStyle name="Normal 255 2 2 4 3" xfId="22159" xr:uid="{00000000-0005-0000-0000-00008F550000}"/>
    <cellStyle name="Normal 255 2 2 5" xfId="22160" xr:uid="{00000000-0005-0000-0000-000090550000}"/>
    <cellStyle name="Normal 255 2 3" xfId="22161" xr:uid="{00000000-0005-0000-0000-000091550000}"/>
    <cellStyle name="Normal 255 2 3 2" xfId="22162" xr:uid="{00000000-0005-0000-0000-000092550000}"/>
    <cellStyle name="Normal 255 2 3 2 2" xfId="22163" xr:uid="{00000000-0005-0000-0000-000093550000}"/>
    <cellStyle name="Normal 255 2 3 2 2 2" xfId="22164" xr:uid="{00000000-0005-0000-0000-000094550000}"/>
    <cellStyle name="Normal 255 2 3 2 3" xfId="22165" xr:uid="{00000000-0005-0000-0000-000095550000}"/>
    <cellStyle name="Normal 255 2 3 2 3 2" xfId="22166" xr:uid="{00000000-0005-0000-0000-000096550000}"/>
    <cellStyle name="Normal 255 2 3 2 3 2 2" xfId="22167" xr:uid="{00000000-0005-0000-0000-000097550000}"/>
    <cellStyle name="Normal 255 2 3 2 3 3" xfId="22168" xr:uid="{00000000-0005-0000-0000-000098550000}"/>
    <cellStyle name="Normal 255 2 3 2 4" xfId="22169" xr:uid="{00000000-0005-0000-0000-000099550000}"/>
    <cellStyle name="Normal 255 2 3 3" xfId="22170" xr:uid="{00000000-0005-0000-0000-00009A550000}"/>
    <cellStyle name="Normal 255 2 3 3 2" xfId="22171" xr:uid="{00000000-0005-0000-0000-00009B550000}"/>
    <cellStyle name="Normal 255 2 3 3 2 2" xfId="22172" xr:uid="{00000000-0005-0000-0000-00009C550000}"/>
    <cellStyle name="Normal 255 2 3 3 3" xfId="22173" xr:uid="{00000000-0005-0000-0000-00009D550000}"/>
    <cellStyle name="Normal 255 2 3 4" xfId="22174" xr:uid="{00000000-0005-0000-0000-00009E550000}"/>
    <cellStyle name="Normal 255 2 3 4 2" xfId="22175" xr:uid="{00000000-0005-0000-0000-00009F550000}"/>
    <cellStyle name="Normal 255 2 3 4 2 2" xfId="22176" xr:uid="{00000000-0005-0000-0000-0000A0550000}"/>
    <cellStyle name="Normal 255 2 3 4 3" xfId="22177" xr:uid="{00000000-0005-0000-0000-0000A1550000}"/>
    <cellStyle name="Normal 255 2 3 5" xfId="22178" xr:uid="{00000000-0005-0000-0000-0000A2550000}"/>
    <cellStyle name="Normal 255 2 3 5 2" xfId="22179" xr:uid="{00000000-0005-0000-0000-0000A3550000}"/>
    <cellStyle name="Normal 255 2 3 5 2 2" xfId="22180" xr:uid="{00000000-0005-0000-0000-0000A4550000}"/>
    <cellStyle name="Normal 255 2 3 5 3" xfId="22181" xr:uid="{00000000-0005-0000-0000-0000A5550000}"/>
    <cellStyle name="Normal 255 2 3 6" xfId="22182" xr:uid="{00000000-0005-0000-0000-0000A6550000}"/>
    <cellStyle name="Normal 255 2 4" xfId="22183" xr:uid="{00000000-0005-0000-0000-0000A7550000}"/>
    <cellStyle name="Normal 255 2 4 2" xfId="22184" xr:uid="{00000000-0005-0000-0000-0000A8550000}"/>
    <cellStyle name="Normal 255 2 4 2 2" xfId="22185" xr:uid="{00000000-0005-0000-0000-0000A9550000}"/>
    <cellStyle name="Normal 255 2 4 3" xfId="22186" xr:uid="{00000000-0005-0000-0000-0000AA550000}"/>
    <cellStyle name="Normal 255 2 5" xfId="22187" xr:uid="{00000000-0005-0000-0000-0000AB550000}"/>
    <cellStyle name="Normal 255 2 5 2" xfId="22188" xr:uid="{00000000-0005-0000-0000-0000AC550000}"/>
    <cellStyle name="Normal 255 2 5 2 2" xfId="22189" xr:uid="{00000000-0005-0000-0000-0000AD550000}"/>
    <cellStyle name="Normal 255 2 5 3" xfId="22190" xr:uid="{00000000-0005-0000-0000-0000AE550000}"/>
    <cellStyle name="Normal 255 2 6" xfId="22191" xr:uid="{00000000-0005-0000-0000-0000AF550000}"/>
    <cellStyle name="Normal 255 2 6 2" xfId="22192" xr:uid="{00000000-0005-0000-0000-0000B0550000}"/>
    <cellStyle name="Normal 255 2 6 2 2" xfId="22193" xr:uid="{00000000-0005-0000-0000-0000B1550000}"/>
    <cellStyle name="Normal 255 2 6 3" xfId="22194" xr:uid="{00000000-0005-0000-0000-0000B2550000}"/>
    <cellStyle name="Normal 255 2 7" xfId="22195" xr:uid="{00000000-0005-0000-0000-0000B3550000}"/>
    <cellStyle name="Normal 255 3" xfId="22196" xr:uid="{00000000-0005-0000-0000-0000B4550000}"/>
    <cellStyle name="Normal 255 3 2" xfId="22197" xr:uid="{00000000-0005-0000-0000-0000B5550000}"/>
    <cellStyle name="Normal 255 3 2 2" xfId="22198" xr:uid="{00000000-0005-0000-0000-0000B6550000}"/>
    <cellStyle name="Normal 255 3 3" xfId="22199" xr:uid="{00000000-0005-0000-0000-0000B7550000}"/>
    <cellStyle name="Normal 255 3 3 2" xfId="22200" xr:uid="{00000000-0005-0000-0000-0000B8550000}"/>
    <cellStyle name="Normal 255 3 3 2 2" xfId="22201" xr:uid="{00000000-0005-0000-0000-0000B9550000}"/>
    <cellStyle name="Normal 255 3 3 3" xfId="22202" xr:uid="{00000000-0005-0000-0000-0000BA550000}"/>
    <cellStyle name="Normal 255 3 4" xfId="22203" xr:uid="{00000000-0005-0000-0000-0000BB550000}"/>
    <cellStyle name="Normal 255 3 4 2" xfId="22204" xr:uid="{00000000-0005-0000-0000-0000BC550000}"/>
    <cellStyle name="Normal 255 3 4 2 2" xfId="22205" xr:uid="{00000000-0005-0000-0000-0000BD550000}"/>
    <cellStyle name="Normal 255 3 4 3" xfId="22206" xr:uid="{00000000-0005-0000-0000-0000BE550000}"/>
    <cellStyle name="Normal 255 3 5" xfId="22207" xr:uid="{00000000-0005-0000-0000-0000BF550000}"/>
    <cellStyle name="Normal 255 4" xfId="22208" xr:uid="{00000000-0005-0000-0000-0000C0550000}"/>
    <cellStyle name="Normal 255 4 2" xfId="22209" xr:uid="{00000000-0005-0000-0000-0000C1550000}"/>
    <cellStyle name="Normal 255 4 2 2" xfId="22210" xr:uid="{00000000-0005-0000-0000-0000C2550000}"/>
    <cellStyle name="Normal 255 4 2 2 2" xfId="22211" xr:uid="{00000000-0005-0000-0000-0000C3550000}"/>
    <cellStyle name="Normal 255 4 2 3" xfId="22212" xr:uid="{00000000-0005-0000-0000-0000C4550000}"/>
    <cellStyle name="Normal 255 4 2 3 2" xfId="22213" xr:uid="{00000000-0005-0000-0000-0000C5550000}"/>
    <cellStyle name="Normal 255 4 2 3 2 2" xfId="22214" xr:uid="{00000000-0005-0000-0000-0000C6550000}"/>
    <cellStyle name="Normal 255 4 2 3 3" xfId="22215" xr:uid="{00000000-0005-0000-0000-0000C7550000}"/>
    <cellStyle name="Normal 255 4 2 4" xfId="22216" xr:uid="{00000000-0005-0000-0000-0000C8550000}"/>
    <cellStyle name="Normal 255 4 3" xfId="22217" xr:uid="{00000000-0005-0000-0000-0000C9550000}"/>
    <cellStyle name="Normal 255 4 3 2" xfId="22218" xr:uid="{00000000-0005-0000-0000-0000CA550000}"/>
    <cellStyle name="Normal 255 4 3 2 2" xfId="22219" xr:uid="{00000000-0005-0000-0000-0000CB550000}"/>
    <cellStyle name="Normal 255 4 3 3" xfId="22220" xr:uid="{00000000-0005-0000-0000-0000CC550000}"/>
    <cellStyle name="Normal 255 4 4" xfId="22221" xr:uid="{00000000-0005-0000-0000-0000CD550000}"/>
    <cellStyle name="Normal 255 4 4 2" xfId="22222" xr:uid="{00000000-0005-0000-0000-0000CE550000}"/>
    <cellStyle name="Normal 255 4 4 2 2" xfId="22223" xr:uid="{00000000-0005-0000-0000-0000CF550000}"/>
    <cellStyle name="Normal 255 4 4 3" xfId="22224" xr:uid="{00000000-0005-0000-0000-0000D0550000}"/>
    <cellStyle name="Normal 255 4 5" xfId="22225" xr:uid="{00000000-0005-0000-0000-0000D1550000}"/>
    <cellStyle name="Normal 255 4 5 2" xfId="22226" xr:uid="{00000000-0005-0000-0000-0000D2550000}"/>
    <cellStyle name="Normal 255 4 5 2 2" xfId="22227" xr:uid="{00000000-0005-0000-0000-0000D3550000}"/>
    <cellStyle name="Normal 255 4 5 3" xfId="22228" xr:uid="{00000000-0005-0000-0000-0000D4550000}"/>
    <cellStyle name="Normal 255 4 6" xfId="22229" xr:uid="{00000000-0005-0000-0000-0000D5550000}"/>
    <cellStyle name="Normal 255 5" xfId="22230" xr:uid="{00000000-0005-0000-0000-0000D6550000}"/>
    <cellStyle name="Normal 255 5 2" xfId="22231" xr:uid="{00000000-0005-0000-0000-0000D7550000}"/>
    <cellStyle name="Normal 255 5 2 2" xfId="22232" xr:uid="{00000000-0005-0000-0000-0000D8550000}"/>
    <cellStyle name="Normal 255 5 3" xfId="22233" xr:uid="{00000000-0005-0000-0000-0000D9550000}"/>
    <cellStyle name="Normal 255 6" xfId="22234" xr:uid="{00000000-0005-0000-0000-0000DA550000}"/>
    <cellStyle name="Normal 255 6 2" xfId="22235" xr:uid="{00000000-0005-0000-0000-0000DB550000}"/>
    <cellStyle name="Normal 255 6 2 2" xfId="22236" xr:uid="{00000000-0005-0000-0000-0000DC550000}"/>
    <cellStyle name="Normal 255 6 3" xfId="22237" xr:uid="{00000000-0005-0000-0000-0000DD550000}"/>
    <cellStyle name="Normal 255 7" xfId="22238" xr:uid="{00000000-0005-0000-0000-0000DE550000}"/>
    <cellStyle name="Normal 255 7 2" xfId="22239" xr:uid="{00000000-0005-0000-0000-0000DF550000}"/>
    <cellStyle name="Normal 255 7 2 2" xfId="22240" xr:uid="{00000000-0005-0000-0000-0000E0550000}"/>
    <cellStyle name="Normal 255 7 3" xfId="22241" xr:uid="{00000000-0005-0000-0000-0000E1550000}"/>
    <cellStyle name="Normal 255 8" xfId="22242" xr:uid="{00000000-0005-0000-0000-0000E2550000}"/>
    <cellStyle name="Normal 256" xfId="22243" xr:uid="{00000000-0005-0000-0000-0000E3550000}"/>
    <cellStyle name="Normal 256 2" xfId="22244" xr:uid="{00000000-0005-0000-0000-0000E4550000}"/>
    <cellStyle name="Normal 256 2 2" xfId="22245" xr:uid="{00000000-0005-0000-0000-0000E5550000}"/>
    <cellStyle name="Normal 256 2 2 2" xfId="22246" xr:uid="{00000000-0005-0000-0000-0000E6550000}"/>
    <cellStyle name="Normal 256 2 2 2 2" xfId="22247" xr:uid="{00000000-0005-0000-0000-0000E7550000}"/>
    <cellStyle name="Normal 256 2 2 3" xfId="22248" xr:uid="{00000000-0005-0000-0000-0000E8550000}"/>
    <cellStyle name="Normal 256 2 2 3 2" xfId="22249" xr:uid="{00000000-0005-0000-0000-0000E9550000}"/>
    <cellStyle name="Normal 256 2 2 3 2 2" xfId="22250" xr:uid="{00000000-0005-0000-0000-0000EA550000}"/>
    <cellStyle name="Normal 256 2 2 3 3" xfId="22251" xr:uid="{00000000-0005-0000-0000-0000EB550000}"/>
    <cellStyle name="Normal 256 2 2 4" xfId="22252" xr:uid="{00000000-0005-0000-0000-0000EC550000}"/>
    <cellStyle name="Normal 256 2 2 4 2" xfId="22253" xr:uid="{00000000-0005-0000-0000-0000ED550000}"/>
    <cellStyle name="Normal 256 2 2 4 2 2" xfId="22254" xr:uid="{00000000-0005-0000-0000-0000EE550000}"/>
    <cellStyle name="Normal 256 2 2 4 3" xfId="22255" xr:uid="{00000000-0005-0000-0000-0000EF550000}"/>
    <cellStyle name="Normal 256 2 2 5" xfId="22256" xr:uid="{00000000-0005-0000-0000-0000F0550000}"/>
    <cellStyle name="Normal 256 2 3" xfId="22257" xr:uid="{00000000-0005-0000-0000-0000F1550000}"/>
    <cellStyle name="Normal 256 2 3 2" xfId="22258" xr:uid="{00000000-0005-0000-0000-0000F2550000}"/>
    <cellStyle name="Normal 256 2 3 2 2" xfId="22259" xr:uid="{00000000-0005-0000-0000-0000F3550000}"/>
    <cellStyle name="Normal 256 2 3 2 2 2" xfId="22260" xr:uid="{00000000-0005-0000-0000-0000F4550000}"/>
    <cellStyle name="Normal 256 2 3 2 3" xfId="22261" xr:uid="{00000000-0005-0000-0000-0000F5550000}"/>
    <cellStyle name="Normal 256 2 3 2 3 2" xfId="22262" xr:uid="{00000000-0005-0000-0000-0000F6550000}"/>
    <cellStyle name="Normal 256 2 3 2 3 2 2" xfId="22263" xr:uid="{00000000-0005-0000-0000-0000F7550000}"/>
    <cellStyle name="Normal 256 2 3 2 3 3" xfId="22264" xr:uid="{00000000-0005-0000-0000-0000F8550000}"/>
    <cellStyle name="Normal 256 2 3 2 4" xfId="22265" xr:uid="{00000000-0005-0000-0000-0000F9550000}"/>
    <cellStyle name="Normal 256 2 3 3" xfId="22266" xr:uid="{00000000-0005-0000-0000-0000FA550000}"/>
    <cellStyle name="Normal 256 2 3 3 2" xfId="22267" xr:uid="{00000000-0005-0000-0000-0000FB550000}"/>
    <cellStyle name="Normal 256 2 3 3 2 2" xfId="22268" xr:uid="{00000000-0005-0000-0000-0000FC550000}"/>
    <cellStyle name="Normal 256 2 3 3 3" xfId="22269" xr:uid="{00000000-0005-0000-0000-0000FD550000}"/>
    <cellStyle name="Normal 256 2 3 4" xfId="22270" xr:uid="{00000000-0005-0000-0000-0000FE550000}"/>
    <cellStyle name="Normal 256 2 3 4 2" xfId="22271" xr:uid="{00000000-0005-0000-0000-0000FF550000}"/>
    <cellStyle name="Normal 256 2 3 4 2 2" xfId="22272" xr:uid="{00000000-0005-0000-0000-000000560000}"/>
    <cellStyle name="Normal 256 2 3 4 3" xfId="22273" xr:uid="{00000000-0005-0000-0000-000001560000}"/>
    <cellStyle name="Normal 256 2 3 5" xfId="22274" xr:uid="{00000000-0005-0000-0000-000002560000}"/>
    <cellStyle name="Normal 256 2 3 5 2" xfId="22275" xr:uid="{00000000-0005-0000-0000-000003560000}"/>
    <cellStyle name="Normal 256 2 3 5 2 2" xfId="22276" xr:uid="{00000000-0005-0000-0000-000004560000}"/>
    <cellStyle name="Normal 256 2 3 5 3" xfId="22277" xr:uid="{00000000-0005-0000-0000-000005560000}"/>
    <cellStyle name="Normal 256 2 3 6" xfId="22278" xr:uid="{00000000-0005-0000-0000-000006560000}"/>
    <cellStyle name="Normal 256 2 4" xfId="22279" xr:uid="{00000000-0005-0000-0000-000007560000}"/>
    <cellStyle name="Normal 256 2 4 2" xfId="22280" xr:uid="{00000000-0005-0000-0000-000008560000}"/>
    <cellStyle name="Normal 256 2 4 2 2" xfId="22281" xr:uid="{00000000-0005-0000-0000-000009560000}"/>
    <cellStyle name="Normal 256 2 4 3" xfId="22282" xr:uid="{00000000-0005-0000-0000-00000A560000}"/>
    <cellStyle name="Normal 256 2 5" xfId="22283" xr:uid="{00000000-0005-0000-0000-00000B560000}"/>
    <cellStyle name="Normal 256 2 5 2" xfId="22284" xr:uid="{00000000-0005-0000-0000-00000C560000}"/>
    <cellStyle name="Normal 256 2 5 2 2" xfId="22285" xr:uid="{00000000-0005-0000-0000-00000D560000}"/>
    <cellStyle name="Normal 256 2 5 3" xfId="22286" xr:uid="{00000000-0005-0000-0000-00000E560000}"/>
    <cellStyle name="Normal 256 2 6" xfId="22287" xr:uid="{00000000-0005-0000-0000-00000F560000}"/>
    <cellStyle name="Normal 256 2 6 2" xfId="22288" xr:uid="{00000000-0005-0000-0000-000010560000}"/>
    <cellStyle name="Normal 256 2 6 2 2" xfId="22289" xr:uid="{00000000-0005-0000-0000-000011560000}"/>
    <cellStyle name="Normal 256 2 6 3" xfId="22290" xr:uid="{00000000-0005-0000-0000-000012560000}"/>
    <cellStyle name="Normal 256 2 7" xfId="22291" xr:uid="{00000000-0005-0000-0000-000013560000}"/>
    <cellStyle name="Normal 256 3" xfId="22292" xr:uid="{00000000-0005-0000-0000-000014560000}"/>
    <cellStyle name="Normal 256 3 2" xfId="22293" xr:uid="{00000000-0005-0000-0000-000015560000}"/>
    <cellStyle name="Normal 256 3 2 2" xfId="22294" xr:uid="{00000000-0005-0000-0000-000016560000}"/>
    <cellStyle name="Normal 256 3 3" xfId="22295" xr:uid="{00000000-0005-0000-0000-000017560000}"/>
    <cellStyle name="Normal 256 3 3 2" xfId="22296" xr:uid="{00000000-0005-0000-0000-000018560000}"/>
    <cellStyle name="Normal 256 3 3 2 2" xfId="22297" xr:uid="{00000000-0005-0000-0000-000019560000}"/>
    <cellStyle name="Normal 256 3 3 3" xfId="22298" xr:uid="{00000000-0005-0000-0000-00001A560000}"/>
    <cellStyle name="Normal 256 3 4" xfId="22299" xr:uid="{00000000-0005-0000-0000-00001B560000}"/>
    <cellStyle name="Normal 256 3 4 2" xfId="22300" xr:uid="{00000000-0005-0000-0000-00001C560000}"/>
    <cellStyle name="Normal 256 3 4 2 2" xfId="22301" xr:uid="{00000000-0005-0000-0000-00001D560000}"/>
    <cellStyle name="Normal 256 3 4 3" xfId="22302" xr:uid="{00000000-0005-0000-0000-00001E560000}"/>
    <cellStyle name="Normal 256 3 5" xfId="22303" xr:uid="{00000000-0005-0000-0000-00001F560000}"/>
    <cellStyle name="Normal 256 4" xfId="22304" xr:uid="{00000000-0005-0000-0000-000020560000}"/>
    <cellStyle name="Normal 256 4 2" xfId="22305" xr:uid="{00000000-0005-0000-0000-000021560000}"/>
    <cellStyle name="Normal 256 4 2 2" xfId="22306" xr:uid="{00000000-0005-0000-0000-000022560000}"/>
    <cellStyle name="Normal 256 4 2 2 2" xfId="22307" xr:uid="{00000000-0005-0000-0000-000023560000}"/>
    <cellStyle name="Normal 256 4 2 3" xfId="22308" xr:uid="{00000000-0005-0000-0000-000024560000}"/>
    <cellStyle name="Normal 256 4 2 3 2" xfId="22309" xr:uid="{00000000-0005-0000-0000-000025560000}"/>
    <cellStyle name="Normal 256 4 2 3 2 2" xfId="22310" xr:uid="{00000000-0005-0000-0000-000026560000}"/>
    <cellStyle name="Normal 256 4 2 3 3" xfId="22311" xr:uid="{00000000-0005-0000-0000-000027560000}"/>
    <cellStyle name="Normal 256 4 2 4" xfId="22312" xr:uid="{00000000-0005-0000-0000-000028560000}"/>
    <cellStyle name="Normal 256 4 3" xfId="22313" xr:uid="{00000000-0005-0000-0000-000029560000}"/>
    <cellStyle name="Normal 256 4 3 2" xfId="22314" xr:uid="{00000000-0005-0000-0000-00002A560000}"/>
    <cellStyle name="Normal 256 4 3 2 2" xfId="22315" xr:uid="{00000000-0005-0000-0000-00002B560000}"/>
    <cellStyle name="Normal 256 4 3 3" xfId="22316" xr:uid="{00000000-0005-0000-0000-00002C560000}"/>
    <cellStyle name="Normal 256 4 4" xfId="22317" xr:uid="{00000000-0005-0000-0000-00002D560000}"/>
    <cellStyle name="Normal 256 4 4 2" xfId="22318" xr:uid="{00000000-0005-0000-0000-00002E560000}"/>
    <cellStyle name="Normal 256 4 4 2 2" xfId="22319" xr:uid="{00000000-0005-0000-0000-00002F560000}"/>
    <cellStyle name="Normal 256 4 4 3" xfId="22320" xr:uid="{00000000-0005-0000-0000-000030560000}"/>
    <cellStyle name="Normal 256 4 5" xfId="22321" xr:uid="{00000000-0005-0000-0000-000031560000}"/>
    <cellStyle name="Normal 256 4 5 2" xfId="22322" xr:uid="{00000000-0005-0000-0000-000032560000}"/>
    <cellStyle name="Normal 256 4 5 2 2" xfId="22323" xr:uid="{00000000-0005-0000-0000-000033560000}"/>
    <cellStyle name="Normal 256 4 5 3" xfId="22324" xr:uid="{00000000-0005-0000-0000-000034560000}"/>
    <cellStyle name="Normal 256 4 6" xfId="22325" xr:uid="{00000000-0005-0000-0000-000035560000}"/>
    <cellStyle name="Normal 256 5" xfId="22326" xr:uid="{00000000-0005-0000-0000-000036560000}"/>
    <cellStyle name="Normal 256 5 2" xfId="22327" xr:uid="{00000000-0005-0000-0000-000037560000}"/>
    <cellStyle name="Normal 256 5 2 2" xfId="22328" xr:uid="{00000000-0005-0000-0000-000038560000}"/>
    <cellStyle name="Normal 256 5 3" xfId="22329" xr:uid="{00000000-0005-0000-0000-000039560000}"/>
    <cellStyle name="Normal 256 6" xfId="22330" xr:uid="{00000000-0005-0000-0000-00003A560000}"/>
    <cellStyle name="Normal 256 6 2" xfId="22331" xr:uid="{00000000-0005-0000-0000-00003B560000}"/>
    <cellStyle name="Normal 256 6 2 2" xfId="22332" xr:uid="{00000000-0005-0000-0000-00003C560000}"/>
    <cellStyle name="Normal 256 6 3" xfId="22333" xr:uid="{00000000-0005-0000-0000-00003D560000}"/>
    <cellStyle name="Normal 256 7" xfId="22334" xr:uid="{00000000-0005-0000-0000-00003E560000}"/>
    <cellStyle name="Normal 256 7 2" xfId="22335" xr:uid="{00000000-0005-0000-0000-00003F560000}"/>
    <cellStyle name="Normal 256 7 2 2" xfId="22336" xr:uid="{00000000-0005-0000-0000-000040560000}"/>
    <cellStyle name="Normal 256 7 3" xfId="22337" xr:uid="{00000000-0005-0000-0000-000041560000}"/>
    <cellStyle name="Normal 256 8" xfId="22338" xr:uid="{00000000-0005-0000-0000-000042560000}"/>
    <cellStyle name="Normal 257" xfId="22339" xr:uid="{00000000-0005-0000-0000-000043560000}"/>
    <cellStyle name="Normal 257 2" xfId="22340" xr:uid="{00000000-0005-0000-0000-000044560000}"/>
    <cellStyle name="Normal 257 2 2" xfId="22341" xr:uid="{00000000-0005-0000-0000-000045560000}"/>
    <cellStyle name="Normal 257 2 2 2" xfId="22342" xr:uid="{00000000-0005-0000-0000-000046560000}"/>
    <cellStyle name="Normal 257 2 3" xfId="22343" xr:uid="{00000000-0005-0000-0000-000047560000}"/>
    <cellStyle name="Normal 257 2 3 2" xfId="22344" xr:uid="{00000000-0005-0000-0000-000048560000}"/>
    <cellStyle name="Normal 257 2 3 2 2" xfId="22345" xr:uid="{00000000-0005-0000-0000-000049560000}"/>
    <cellStyle name="Normal 257 2 3 3" xfId="22346" xr:uid="{00000000-0005-0000-0000-00004A560000}"/>
    <cellStyle name="Normal 257 2 4" xfId="22347" xr:uid="{00000000-0005-0000-0000-00004B560000}"/>
    <cellStyle name="Normal 257 2 4 2" xfId="22348" xr:uid="{00000000-0005-0000-0000-00004C560000}"/>
    <cellStyle name="Normal 257 2 4 2 2" xfId="22349" xr:uid="{00000000-0005-0000-0000-00004D560000}"/>
    <cellStyle name="Normal 257 2 4 3" xfId="22350" xr:uid="{00000000-0005-0000-0000-00004E560000}"/>
    <cellStyle name="Normal 257 2 5" xfId="22351" xr:uid="{00000000-0005-0000-0000-00004F560000}"/>
    <cellStyle name="Normal 257 3" xfId="22352" xr:uid="{00000000-0005-0000-0000-000050560000}"/>
    <cellStyle name="Normal 257 3 2" xfId="22353" xr:uid="{00000000-0005-0000-0000-000051560000}"/>
    <cellStyle name="Normal 257 3 2 2" xfId="22354" xr:uid="{00000000-0005-0000-0000-000052560000}"/>
    <cellStyle name="Normal 257 3 2 2 2" xfId="22355" xr:uid="{00000000-0005-0000-0000-000053560000}"/>
    <cellStyle name="Normal 257 3 2 3" xfId="22356" xr:uid="{00000000-0005-0000-0000-000054560000}"/>
    <cellStyle name="Normal 257 3 2 3 2" xfId="22357" xr:uid="{00000000-0005-0000-0000-000055560000}"/>
    <cellStyle name="Normal 257 3 2 3 2 2" xfId="22358" xr:uid="{00000000-0005-0000-0000-000056560000}"/>
    <cellStyle name="Normal 257 3 2 3 3" xfId="22359" xr:uid="{00000000-0005-0000-0000-000057560000}"/>
    <cellStyle name="Normal 257 3 2 4" xfId="22360" xr:uid="{00000000-0005-0000-0000-000058560000}"/>
    <cellStyle name="Normal 257 3 3" xfId="22361" xr:uid="{00000000-0005-0000-0000-000059560000}"/>
    <cellStyle name="Normal 257 3 3 2" xfId="22362" xr:uid="{00000000-0005-0000-0000-00005A560000}"/>
    <cellStyle name="Normal 257 3 3 2 2" xfId="22363" xr:uid="{00000000-0005-0000-0000-00005B560000}"/>
    <cellStyle name="Normal 257 3 3 3" xfId="22364" xr:uid="{00000000-0005-0000-0000-00005C560000}"/>
    <cellStyle name="Normal 257 3 4" xfId="22365" xr:uid="{00000000-0005-0000-0000-00005D560000}"/>
    <cellStyle name="Normal 257 3 4 2" xfId="22366" xr:uid="{00000000-0005-0000-0000-00005E560000}"/>
    <cellStyle name="Normal 257 3 4 2 2" xfId="22367" xr:uid="{00000000-0005-0000-0000-00005F560000}"/>
    <cellStyle name="Normal 257 3 4 3" xfId="22368" xr:uid="{00000000-0005-0000-0000-000060560000}"/>
    <cellStyle name="Normal 257 3 5" xfId="22369" xr:uid="{00000000-0005-0000-0000-000061560000}"/>
    <cellStyle name="Normal 257 3 5 2" xfId="22370" xr:uid="{00000000-0005-0000-0000-000062560000}"/>
    <cellStyle name="Normal 257 3 5 2 2" xfId="22371" xr:uid="{00000000-0005-0000-0000-000063560000}"/>
    <cellStyle name="Normal 257 3 5 3" xfId="22372" xr:uid="{00000000-0005-0000-0000-000064560000}"/>
    <cellStyle name="Normal 257 3 6" xfId="22373" xr:uid="{00000000-0005-0000-0000-000065560000}"/>
    <cellStyle name="Normal 257 4" xfId="22374" xr:uid="{00000000-0005-0000-0000-000066560000}"/>
    <cellStyle name="Normal 257 4 2" xfId="22375" xr:uid="{00000000-0005-0000-0000-000067560000}"/>
    <cellStyle name="Normal 257 4 2 2" xfId="22376" xr:uid="{00000000-0005-0000-0000-000068560000}"/>
    <cellStyle name="Normal 257 4 3" xfId="22377" xr:uid="{00000000-0005-0000-0000-000069560000}"/>
    <cellStyle name="Normal 257 5" xfId="22378" xr:uid="{00000000-0005-0000-0000-00006A560000}"/>
    <cellStyle name="Normal 257 5 2" xfId="22379" xr:uid="{00000000-0005-0000-0000-00006B560000}"/>
    <cellStyle name="Normal 257 5 2 2" xfId="22380" xr:uid="{00000000-0005-0000-0000-00006C560000}"/>
    <cellStyle name="Normal 257 5 3" xfId="22381" xr:uid="{00000000-0005-0000-0000-00006D560000}"/>
    <cellStyle name="Normal 257 6" xfId="22382" xr:uid="{00000000-0005-0000-0000-00006E560000}"/>
    <cellStyle name="Normal 257 6 2" xfId="22383" xr:uid="{00000000-0005-0000-0000-00006F560000}"/>
    <cellStyle name="Normal 257 6 2 2" xfId="22384" xr:uid="{00000000-0005-0000-0000-000070560000}"/>
    <cellStyle name="Normal 257 6 3" xfId="22385" xr:uid="{00000000-0005-0000-0000-000071560000}"/>
    <cellStyle name="Normal 257 7" xfId="22386" xr:uid="{00000000-0005-0000-0000-000072560000}"/>
    <cellStyle name="Normal 258" xfId="22387" xr:uid="{00000000-0005-0000-0000-000073560000}"/>
    <cellStyle name="Normal 258 2" xfId="22388" xr:uid="{00000000-0005-0000-0000-000074560000}"/>
    <cellStyle name="Normal 258 2 2" xfId="22389" xr:uid="{00000000-0005-0000-0000-000075560000}"/>
    <cellStyle name="Normal 258 2 2 2" xfId="22390" xr:uid="{00000000-0005-0000-0000-000076560000}"/>
    <cellStyle name="Normal 258 2 3" xfId="22391" xr:uid="{00000000-0005-0000-0000-000077560000}"/>
    <cellStyle name="Normal 258 2 3 2" xfId="22392" xr:uid="{00000000-0005-0000-0000-000078560000}"/>
    <cellStyle name="Normal 258 2 3 2 2" xfId="22393" xr:uid="{00000000-0005-0000-0000-000079560000}"/>
    <cellStyle name="Normal 258 2 3 3" xfId="22394" xr:uid="{00000000-0005-0000-0000-00007A560000}"/>
    <cellStyle name="Normal 258 2 4" xfId="22395" xr:uid="{00000000-0005-0000-0000-00007B560000}"/>
    <cellStyle name="Normal 258 2 4 2" xfId="22396" xr:uid="{00000000-0005-0000-0000-00007C560000}"/>
    <cellStyle name="Normal 258 2 4 2 2" xfId="22397" xr:uid="{00000000-0005-0000-0000-00007D560000}"/>
    <cellStyle name="Normal 258 2 4 3" xfId="22398" xr:uid="{00000000-0005-0000-0000-00007E560000}"/>
    <cellStyle name="Normal 258 2 5" xfId="22399" xr:uid="{00000000-0005-0000-0000-00007F560000}"/>
    <cellStyle name="Normal 258 3" xfId="22400" xr:uid="{00000000-0005-0000-0000-000080560000}"/>
    <cellStyle name="Normal 258 3 2" xfId="22401" xr:uid="{00000000-0005-0000-0000-000081560000}"/>
    <cellStyle name="Normal 258 3 2 2" xfId="22402" xr:uid="{00000000-0005-0000-0000-000082560000}"/>
    <cellStyle name="Normal 258 3 2 2 2" xfId="22403" xr:uid="{00000000-0005-0000-0000-000083560000}"/>
    <cellStyle name="Normal 258 3 2 3" xfId="22404" xr:uid="{00000000-0005-0000-0000-000084560000}"/>
    <cellStyle name="Normal 258 3 2 3 2" xfId="22405" xr:uid="{00000000-0005-0000-0000-000085560000}"/>
    <cellStyle name="Normal 258 3 2 3 2 2" xfId="22406" xr:uid="{00000000-0005-0000-0000-000086560000}"/>
    <cellStyle name="Normal 258 3 2 3 3" xfId="22407" xr:uid="{00000000-0005-0000-0000-000087560000}"/>
    <cellStyle name="Normal 258 3 2 4" xfId="22408" xr:uid="{00000000-0005-0000-0000-000088560000}"/>
    <cellStyle name="Normal 258 3 3" xfId="22409" xr:uid="{00000000-0005-0000-0000-000089560000}"/>
    <cellStyle name="Normal 258 3 3 2" xfId="22410" xr:uid="{00000000-0005-0000-0000-00008A560000}"/>
    <cellStyle name="Normal 258 3 3 2 2" xfId="22411" xr:uid="{00000000-0005-0000-0000-00008B560000}"/>
    <cellStyle name="Normal 258 3 3 3" xfId="22412" xr:uid="{00000000-0005-0000-0000-00008C560000}"/>
    <cellStyle name="Normal 258 3 4" xfId="22413" xr:uid="{00000000-0005-0000-0000-00008D560000}"/>
    <cellStyle name="Normal 258 3 4 2" xfId="22414" xr:uid="{00000000-0005-0000-0000-00008E560000}"/>
    <cellStyle name="Normal 258 3 4 2 2" xfId="22415" xr:uid="{00000000-0005-0000-0000-00008F560000}"/>
    <cellStyle name="Normal 258 3 4 3" xfId="22416" xr:uid="{00000000-0005-0000-0000-000090560000}"/>
    <cellStyle name="Normal 258 3 5" xfId="22417" xr:uid="{00000000-0005-0000-0000-000091560000}"/>
    <cellStyle name="Normal 258 3 5 2" xfId="22418" xr:uid="{00000000-0005-0000-0000-000092560000}"/>
    <cellStyle name="Normal 258 3 5 2 2" xfId="22419" xr:uid="{00000000-0005-0000-0000-000093560000}"/>
    <cellStyle name="Normal 258 3 5 3" xfId="22420" xr:uid="{00000000-0005-0000-0000-000094560000}"/>
    <cellStyle name="Normal 258 3 6" xfId="22421" xr:uid="{00000000-0005-0000-0000-000095560000}"/>
    <cellStyle name="Normal 258 4" xfId="22422" xr:uid="{00000000-0005-0000-0000-000096560000}"/>
    <cellStyle name="Normal 258 4 2" xfId="22423" xr:uid="{00000000-0005-0000-0000-000097560000}"/>
    <cellStyle name="Normal 258 4 2 2" xfId="22424" xr:uid="{00000000-0005-0000-0000-000098560000}"/>
    <cellStyle name="Normal 258 4 3" xfId="22425" xr:uid="{00000000-0005-0000-0000-000099560000}"/>
    <cellStyle name="Normal 258 5" xfId="22426" xr:uid="{00000000-0005-0000-0000-00009A560000}"/>
    <cellStyle name="Normal 258 5 2" xfId="22427" xr:uid="{00000000-0005-0000-0000-00009B560000}"/>
    <cellStyle name="Normal 258 5 2 2" xfId="22428" xr:uid="{00000000-0005-0000-0000-00009C560000}"/>
    <cellStyle name="Normal 258 5 3" xfId="22429" xr:uid="{00000000-0005-0000-0000-00009D560000}"/>
    <cellStyle name="Normal 258 6" xfId="22430" xr:uid="{00000000-0005-0000-0000-00009E560000}"/>
    <cellStyle name="Normal 258 6 2" xfId="22431" xr:uid="{00000000-0005-0000-0000-00009F560000}"/>
    <cellStyle name="Normal 258 6 2 2" xfId="22432" xr:uid="{00000000-0005-0000-0000-0000A0560000}"/>
    <cellStyle name="Normal 258 6 3" xfId="22433" xr:uid="{00000000-0005-0000-0000-0000A1560000}"/>
    <cellStyle name="Normal 258 7" xfId="22434" xr:uid="{00000000-0005-0000-0000-0000A2560000}"/>
    <cellStyle name="Normal 259" xfId="22435" xr:uid="{00000000-0005-0000-0000-0000A3560000}"/>
    <cellStyle name="Normal 259 2" xfId="22436" xr:uid="{00000000-0005-0000-0000-0000A4560000}"/>
    <cellStyle name="Normal 259 2 2" xfId="22437" xr:uid="{00000000-0005-0000-0000-0000A5560000}"/>
    <cellStyle name="Normal 259 2 2 2" xfId="22438" xr:uid="{00000000-0005-0000-0000-0000A6560000}"/>
    <cellStyle name="Normal 259 2 3" xfId="22439" xr:uid="{00000000-0005-0000-0000-0000A7560000}"/>
    <cellStyle name="Normal 259 2 3 2" xfId="22440" xr:uid="{00000000-0005-0000-0000-0000A8560000}"/>
    <cellStyle name="Normal 259 2 3 2 2" xfId="22441" xr:uid="{00000000-0005-0000-0000-0000A9560000}"/>
    <cellStyle name="Normal 259 2 3 3" xfId="22442" xr:uid="{00000000-0005-0000-0000-0000AA560000}"/>
    <cellStyle name="Normal 259 2 4" xfId="22443" xr:uid="{00000000-0005-0000-0000-0000AB560000}"/>
    <cellStyle name="Normal 259 2 4 2" xfId="22444" xr:uid="{00000000-0005-0000-0000-0000AC560000}"/>
    <cellStyle name="Normal 259 2 4 2 2" xfId="22445" xr:uid="{00000000-0005-0000-0000-0000AD560000}"/>
    <cellStyle name="Normal 259 2 4 3" xfId="22446" xr:uid="{00000000-0005-0000-0000-0000AE560000}"/>
    <cellStyle name="Normal 259 2 5" xfId="22447" xr:uid="{00000000-0005-0000-0000-0000AF560000}"/>
    <cellStyle name="Normal 259 3" xfId="22448" xr:uid="{00000000-0005-0000-0000-0000B0560000}"/>
    <cellStyle name="Normal 259 3 2" xfId="22449" xr:uid="{00000000-0005-0000-0000-0000B1560000}"/>
    <cellStyle name="Normal 259 3 2 2" xfId="22450" xr:uid="{00000000-0005-0000-0000-0000B2560000}"/>
    <cellStyle name="Normal 259 3 2 2 2" xfId="22451" xr:uid="{00000000-0005-0000-0000-0000B3560000}"/>
    <cellStyle name="Normal 259 3 2 3" xfId="22452" xr:uid="{00000000-0005-0000-0000-0000B4560000}"/>
    <cellStyle name="Normal 259 3 2 3 2" xfId="22453" xr:uid="{00000000-0005-0000-0000-0000B5560000}"/>
    <cellStyle name="Normal 259 3 2 3 2 2" xfId="22454" xr:uid="{00000000-0005-0000-0000-0000B6560000}"/>
    <cellStyle name="Normal 259 3 2 3 3" xfId="22455" xr:uid="{00000000-0005-0000-0000-0000B7560000}"/>
    <cellStyle name="Normal 259 3 2 4" xfId="22456" xr:uid="{00000000-0005-0000-0000-0000B8560000}"/>
    <cellStyle name="Normal 259 3 3" xfId="22457" xr:uid="{00000000-0005-0000-0000-0000B9560000}"/>
    <cellStyle name="Normal 259 3 3 2" xfId="22458" xr:uid="{00000000-0005-0000-0000-0000BA560000}"/>
    <cellStyle name="Normal 259 3 3 2 2" xfId="22459" xr:uid="{00000000-0005-0000-0000-0000BB560000}"/>
    <cellStyle name="Normal 259 3 3 3" xfId="22460" xr:uid="{00000000-0005-0000-0000-0000BC560000}"/>
    <cellStyle name="Normal 259 3 4" xfId="22461" xr:uid="{00000000-0005-0000-0000-0000BD560000}"/>
    <cellStyle name="Normal 259 3 4 2" xfId="22462" xr:uid="{00000000-0005-0000-0000-0000BE560000}"/>
    <cellStyle name="Normal 259 3 4 2 2" xfId="22463" xr:uid="{00000000-0005-0000-0000-0000BF560000}"/>
    <cellStyle name="Normal 259 3 4 3" xfId="22464" xr:uid="{00000000-0005-0000-0000-0000C0560000}"/>
    <cellStyle name="Normal 259 3 5" xfId="22465" xr:uid="{00000000-0005-0000-0000-0000C1560000}"/>
    <cellStyle name="Normal 259 3 5 2" xfId="22466" xr:uid="{00000000-0005-0000-0000-0000C2560000}"/>
    <cellStyle name="Normal 259 3 5 2 2" xfId="22467" xr:uid="{00000000-0005-0000-0000-0000C3560000}"/>
    <cellStyle name="Normal 259 3 5 3" xfId="22468" xr:uid="{00000000-0005-0000-0000-0000C4560000}"/>
    <cellStyle name="Normal 259 3 6" xfId="22469" xr:uid="{00000000-0005-0000-0000-0000C5560000}"/>
    <cellStyle name="Normal 259 4" xfId="22470" xr:uid="{00000000-0005-0000-0000-0000C6560000}"/>
    <cellStyle name="Normal 259 4 2" xfId="22471" xr:uid="{00000000-0005-0000-0000-0000C7560000}"/>
    <cellStyle name="Normal 259 4 2 2" xfId="22472" xr:uid="{00000000-0005-0000-0000-0000C8560000}"/>
    <cellStyle name="Normal 259 4 3" xfId="22473" xr:uid="{00000000-0005-0000-0000-0000C9560000}"/>
    <cellStyle name="Normal 259 5" xfId="22474" xr:uid="{00000000-0005-0000-0000-0000CA560000}"/>
    <cellStyle name="Normal 259 5 2" xfId="22475" xr:uid="{00000000-0005-0000-0000-0000CB560000}"/>
    <cellStyle name="Normal 259 5 2 2" xfId="22476" xr:uid="{00000000-0005-0000-0000-0000CC560000}"/>
    <cellStyle name="Normal 259 5 3" xfId="22477" xr:uid="{00000000-0005-0000-0000-0000CD560000}"/>
    <cellStyle name="Normal 259 6" xfId="22478" xr:uid="{00000000-0005-0000-0000-0000CE560000}"/>
    <cellStyle name="Normal 259 6 2" xfId="22479" xr:uid="{00000000-0005-0000-0000-0000CF560000}"/>
    <cellStyle name="Normal 259 6 2 2" xfId="22480" xr:uid="{00000000-0005-0000-0000-0000D0560000}"/>
    <cellStyle name="Normal 259 6 3" xfId="22481" xr:uid="{00000000-0005-0000-0000-0000D1560000}"/>
    <cellStyle name="Normal 259 7" xfId="22482" xr:uid="{00000000-0005-0000-0000-0000D2560000}"/>
    <cellStyle name="Normal 26" xfId="22483" xr:uid="{00000000-0005-0000-0000-0000D3560000}"/>
    <cellStyle name="Normal 26 2" xfId="22484" xr:uid="{00000000-0005-0000-0000-0000D4560000}"/>
    <cellStyle name="Normal 26 2 2" xfId="22485" xr:uid="{00000000-0005-0000-0000-0000D5560000}"/>
    <cellStyle name="Normal 26 2 2 2" xfId="22486" xr:uid="{00000000-0005-0000-0000-0000D6560000}"/>
    <cellStyle name="Normal 26 2 2 2 2" xfId="22487" xr:uid="{00000000-0005-0000-0000-0000D7560000}"/>
    <cellStyle name="Normal 26 2 2 3" xfId="22488" xr:uid="{00000000-0005-0000-0000-0000D8560000}"/>
    <cellStyle name="Normal 26 2 2 3 2" xfId="22489" xr:uid="{00000000-0005-0000-0000-0000D9560000}"/>
    <cellStyle name="Normal 26 2 2 3 2 2" xfId="22490" xr:uid="{00000000-0005-0000-0000-0000DA560000}"/>
    <cellStyle name="Normal 26 2 2 3 3" xfId="22491" xr:uid="{00000000-0005-0000-0000-0000DB560000}"/>
    <cellStyle name="Normal 26 2 2 4" xfId="22492" xr:uid="{00000000-0005-0000-0000-0000DC560000}"/>
    <cellStyle name="Normal 26 2 2 4 2" xfId="22493" xr:uid="{00000000-0005-0000-0000-0000DD560000}"/>
    <cellStyle name="Normal 26 2 2 4 2 2" xfId="22494" xr:uid="{00000000-0005-0000-0000-0000DE560000}"/>
    <cellStyle name="Normal 26 2 2 4 3" xfId="22495" xr:uid="{00000000-0005-0000-0000-0000DF560000}"/>
    <cellStyle name="Normal 26 2 2 5" xfId="22496" xr:uid="{00000000-0005-0000-0000-0000E0560000}"/>
    <cellStyle name="Normal 26 2 3" xfId="22497" xr:uid="{00000000-0005-0000-0000-0000E1560000}"/>
    <cellStyle name="Normal 26 2 3 2" xfId="22498" xr:uid="{00000000-0005-0000-0000-0000E2560000}"/>
    <cellStyle name="Normal 26 2 3 2 2" xfId="22499" xr:uid="{00000000-0005-0000-0000-0000E3560000}"/>
    <cellStyle name="Normal 26 2 3 3" xfId="22500" xr:uid="{00000000-0005-0000-0000-0000E4560000}"/>
    <cellStyle name="Normal 26 2 4" xfId="22501" xr:uid="{00000000-0005-0000-0000-0000E5560000}"/>
    <cellStyle name="Normal 26 2 4 2" xfId="22502" xr:uid="{00000000-0005-0000-0000-0000E6560000}"/>
    <cellStyle name="Normal 26 2 4 2 2" xfId="22503" xr:uid="{00000000-0005-0000-0000-0000E7560000}"/>
    <cellStyle name="Normal 26 2 4 3" xfId="22504" xr:uid="{00000000-0005-0000-0000-0000E8560000}"/>
    <cellStyle name="Normal 26 2 5" xfId="22505" xr:uid="{00000000-0005-0000-0000-0000E9560000}"/>
    <cellStyle name="Normal 26 2 5 2" xfId="22506" xr:uid="{00000000-0005-0000-0000-0000EA560000}"/>
    <cellStyle name="Normal 26 2 5 2 2" xfId="22507" xr:uid="{00000000-0005-0000-0000-0000EB560000}"/>
    <cellStyle name="Normal 26 2 5 3" xfId="22508" xr:uid="{00000000-0005-0000-0000-0000EC560000}"/>
    <cellStyle name="Normal 26 2 6" xfId="22509" xr:uid="{00000000-0005-0000-0000-0000ED560000}"/>
    <cellStyle name="Normal 26 3" xfId="22510" xr:uid="{00000000-0005-0000-0000-0000EE560000}"/>
    <cellStyle name="Normal 26 3 2" xfId="22511" xr:uid="{00000000-0005-0000-0000-0000EF560000}"/>
    <cellStyle name="Normal 26 3 2 2" xfId="22512" xr:uid="{00000000-0005-0000-0000-0000F0560000}"/>
    <cellStyle name="Normal 26 3 3" xfId="22513" xr:uid="{00000000-0005-0000-0000-0000F1560000}"/>
    <cellStyle name="Normal 26 3 3 2" xfId="22514" xr:uid="{00000000-0005-0000-0000-0000F2560000}"/>
    <cellStyle name="Normal 26 3 3 2 2" xfId="22515" xr:uid="{00000000-0005-0000-0000-0000F3560000}"/>
    <cellStyle name="Normal 26 3 3 3" xfId="22516" xr:uid="{00000000-0005-0000-0000-0000F4560000}"/>
    <cellStyle name="Normal 26 3 4" xfId="22517" xr:uid="{00000000-0005-0000-0000-0000F5560000}"/>
    <cellStyle name="Normal 26 3 4 2" xfId="22518" xr:uid="{00000000-0005-0000-0000-0000F6560000}"/>
    <cellStyle name="Normal 26 3 4 2 2" xfId="22519" xr:uid="{00000000-0005-0000-0000-0000F7560000}"/>
    <cellStyle name="Normal 26 3 4 3" xfId="22520" xr:uid="{00000000-0005-0000-0000-0000F8560000}"/>
    <cellStyle name="Normal 26 3 5" xfId="22521" xr:uid="{00000000-0005-0000-0000-0000F9560000}"/>
    <cellStyle name="Normal 26 4" xfId="22522" xr:uid="{00000000-0005-0000-0000-0000FA560000}"/>
    <cellStyle name="Normal 26 4 2" xfId="22523" xr:uid="{00000000-0005-0000-0000-0000FB560000}"/>
    <cellStyle name="Normal 26 4 2 2" xfId="22524" xr:uid="{00000000-0005-0000-0000-0000FC560000}"/>
    <cellStyle name="Normal 26 4 3" xfId="22525" xr:uid="{00000000-0005-0000-0000-0000FD560000}"/>
    <cellStyle name="Normal 26 4 3 2" xfId="22526" xr:uid="{00000000-0005-0000-0000-0000FE560000}"/>
    <cellStyle name="Normal 26 4 3 2 2" xfId="22527" xr:uid="{00000000-0005-0000-0000-0000FF560000}"/>
    <cellStyle name="Normal 26 4 3 3" xfId="22528" xr:uid="{00000000-0005-0000-0000-000000570000}"/>
    <cellStyle name="Normal 26 4 4" xfId="22529" xr:uid="{00000000-0005-0000-0000-000001570000}"/>
    <cellStyle name="Normal 26 4 4 2" xfId="22530" xr:uid="{00000000-0005-0000-0000-000002570000}"/>
    <cellStyle name="Normal 26 4 4 2 2" xfId="22531" xr:uid="{00000000-0005-0000-0000-000003570000}"/>
    <cellStyle name="Normal 26 4 4 3" xfId="22532" xr:uid="{00000000-0005-0000-0000-000004570000}"/>
    <cellStyle name="Normal 26 4 5" xfId="22533" xr:uid="{00000000-0005-0000-0000-000005570000}"/>
    <cellStyle name="Normal 26 5" xfId="22534" xr:uid="{00000000-0005-0000-0000-000006570000}"/>
    <cellStyle name="Normal 26 5 2" xfId="22535" xr:uid="{00000000-0005-0000-0000-000007570000}"/>
    <cellStyle name="Normal 26 5 2 2" xfId="22536" xr:uid="{00000000-0005-0000-0000-000008570000}"/>
    <cellStyle name="Normal 26 5 3" xfId="22537" xr:uid="{00000000-0005-0000-0000-000009570000}"/>
    <cellStyle name="Normal 26 6" xfId="22538" xr:uid="{00000000-0005-0000-0000-00000A570000}"/>
    <cellStyle name="Normal 26 6 2" xfId="22539" xr:uid="{00000000-0005-0000-0000-00000B570000}"/>
    <cellStyle name="Normal 26 6 2 2" xfId="22540" xr:uid="{00000000-0005-0000-0000-00000C570000}"/>
    <cellStyle name="Normal 26 6 3" xfId="22541" xr:uid="{00000000-0005-0000-0000-00000D570000}"/>
    <cellStyle name="Normal 26 7" xfId="22542" xr:uid="{00000000-0005-0000-0000-00000E570000}"/>
    <cellStyle name="Normal 26 7 2" xfId="22543" xr:uid="{00000000-0005-0000-0000-00000F570000}"/>
    <cellStyle name="Normal 26 7 2 2" xfId="22544" xr:uid="{00000000-0005-0000-0000-000010570000}"/>
    <cellStyle name="Normal 26 7 3" xfId="22545" xr:uid="{00000000-0005-0000-0000-000011570000}"/>
    <cellStyle name="Normal 26 8" xfId="22546" xr:uid="{00000000-0005-0000-0000-000012570000}"/>
    <cellStyle name="Normal 260" xfId="22547" xr:uid="{00000000-0005-0000-0000-000013570000}"/>
    <cellStyle name="Normal 260 2" xfId="22548" xr:uid="{00000000-0005-0000-0000-000014570000}"/>
    <cellStyle name="Normal 260 2 2" xfId="22549" xr:uid="{00000000-0005-0000-0000-000015570000}"/>
    <cellStyle name="Normal 260 2 2 2" xfId="22550" xr:uid="{00000000-0005-0000-0000-000016570000}"/>
    <cellStyle name="Normal 260 2 2 2 2" xfId="22551" xr:uid="{00000000-0005-0000-0000-000017570000}"/>
    <cellStyle name="Normal 260 2 2 3" xfId="22552" xr:uid="{00000000-0005-0000-0000-000018570000}"/>
    <cellStyle name="Normal 260 2 2 3 2" xfId="22553" xr:uid="{00000000-0005-0000-0000-000019570000}"/>
    <cellStyle name="Normal 260 2 2 3 2 2" xfId="22554" xr:uid="{00000000-0005-0000-0000-00001A570000}"/>
    <cellStyle name="Normal 260 2 2 3 3" xfId="22555" xr:uid="{00000000-0005-0000-0000-00001B570000}"/>
    <cellStyle name="Normal 260 2 2 4" xfId="22556" xr:uid="{00000000-0005-0000-0000-00001C570000}"/>
    <cellStyle name="Normal 260 2 2 4 2" xfId="22557" xr:uid="{00000000-0005-0000-0000-00001D570000}"/>
    <cellStyle name="Normal 260 2 2 4 2 2" xfId="22558" xr:uid="{00000000-0005-0000-0000-00001E570000}"/>
    <cellStyle name="Normal 260 2 2 4 3" xfId="22559" xr:uid="{00000000-0005-0000-0000-00001F570000}"/>
    <cellStyle name="Normal 260 2 2 5" xfId="22560" xr:uid="{00000000-0005-0000-0000-000020570000}"/>
    <cellStyle name="Normal 260 2 3" xfId="22561" xr:uid="{00000000-0005-0000-0000-000021570000}"/>
    <cellStyle name="Normal 260 2 3 2" xfId="22562" xr:uid="{00000000-0005-0000-0000-000022570000}"/>
    <cellStyle name="Normal 260 2 3 2 2" xfId="22563" xr:uid="{00000000-0005-0000-0000-000023570000}"/>
    <cellStyle name="Normal 260 2 3 2 2 2" xfId="22564" xr:uid="{00000000-0005-0000-0000-000024570000}"/>
    <cellStyle name="Normal 260 2 3 2 3" xfId="22565" xr:uid="{00000000-0005-0000-0000-000025570000}"/>
    <cellStyle name="Normal 260 2 3 2 3 2" xfId="22566" xr:uid="{00000000-0005-0000-0000-000026570000}"/>
    <cellStyle name="Normal 260 2 3 2 3 2 2" xfId="22567" xr:uid="{00000000-0005-0000-0000-000027570000}"/>
    <cellStyle name="Normal 260 2 3 2 3 3" xfId="22568" xr:uid="{00000000-0005-0000-0000-000028570000}"/>
    <cellStyle name="Normal 260 2 3 2 4" xfId="22569" xr:uid="{00000000-0005-0000-0000-000029570000}"/>
    <cellStyle name="Normal 260 2 3 3" xfId="22570" xr:uid="{00000000-0005-0000-0000-00002A570000}"/>
    <cellStyle name="Normal 260 2 3 3 2" xfId="22571" xr:uid="{00000000-0005-0000-0000-00002B570000}"/>
    <cellStyle name="Normal 260 2 3 3 2 2" xfId="22572" xr:uid="{00000000-0005-0000-0000-00002C570000}"/>
    <cellStyle name="Normal 260 2 3 3 3" xfId="22573" xr:uid="{00000000-0005-0000-0000-00002D570000}"/>
    <cellStyle name="Normal 260 2 3 4" xfId="22574" xr:uid="{00000000-0005-0000-0000-00002E570000}"/>
    <cellStyle name="Normal 260 2 3 4 2" xfId="22575" xr:uid="{00000000-0005-0000-0000-00002F570000}"/>
    <cellStyle name="Normal 260 2 3 4 2 2" xfId="22576" xr:uid="{00000000-0005-0000-0000-000030570000}"/>
    <cellStyle name="Normal 260 2 3 4 3" xfId="22577" xr:uid="{00000000-0005-0000-0000-000031570000}"/>
    <cellStyle name="Normal 260 2 3 5" xfId="22578" xr:uid="{00000000-0005-0000-0000-000032570000}"/>
    <cellStyle name="Normal 260 2 3 5 2" xfId="22579" xr:uid="{00000000-0005-0000-0000-000033570000}"/>
    <cellStyle name="Normal 260 2 3 5 2 2" xfId="22580" xr:uid="{00000000-0005-0000-0000-000034570000}"/>
    <cellStyle name="Normal 260 2 3 5 3" xfId="22581" xr:uid="{00000000-0005-0000-0000-000035570000}"/>
    <cellStyle name="Normal 260 2 3 6" xfId="22582" xr:uid="{00000000-0005-0000-0000-000036570000}"/>
    <cellStyle name="Normal 260 2 4" xfId="22583" xr:uid="{00000000-0005-0000-0000-000037570000}"/>
    <cellStyle name="Normal 260 2 4 2" xfId="22584" xr:uid="{00000000-0005-0000-0000-000038570000}"/>
    <cellStyle name="Normal 260 2 4 2 2" xfId="22585" xr:uid="{00000000-0005-0000-0000-000039570000}"/>
    <cellStyle name="Normal 260 2 4 3" xfId="22586" xr:uid="{00000000-0005-0000-0000-00003A570000}"/>
    <cellStyle name="Normal 260 2 5" xfId="22587" xr:uid="{00000000-0005-0000-0000-00003B570000}"/>
    <cellStyle name="Normal 260 2 5 2" xfId="22588" xr:uid="{00000000-0005-0000-0000-00003C570000}"/>
    <cellStyle name="Normal 260 2 5 2 2" xfId="22589" xr:uid="{00000000-0005-0000-0000-00003D570000}"/>
    <cellStyle name="Normal 260 2 5 3" xfId="22590" xr:uid="{00000000-0005-0000-0000-00003E570000}"/>
    <cellStyle name="Normal 260 2 6" xfId="22591" xr:uid="{00000000-0005-0000-0000-00003F570000}"/>
    <cellStyle name="Normal 260 2 6 2" xfId="22592" xr:uid="{00000000-0005-0000-0000-000040570000}"/>
    <cellStyle name="Normal 260 2 6 2 2" xfId="22593" xr:uid="{00000000-0005-0000-0000-000041570000}"/>
    <cellStyle name="Normal 260 2 6 3" xfId="22594" xr:uid="{00000000-0005-0000-0000-000042570000}"/>
    <cellStyle name="Normal 260 2 7" xfId="22595" xr:uid="{00000000-0005-0000-0000-000043570000}"/>
    <cellStyle name="Normal 260 3" xfId="22596" xr:uid="{00000000-0005-0000-0000-000044570000}"/>
    <cellStyle name="Normal 260 3 2" xfId="22597" xr:uid="{00000000-0005-0000-0000-000045570000}"/>
    <cellStyle name="Normal 260 3 2 2" xfId="22598" xr:uid="{00000000-0005-0000-0000-000046570000}"/>
    <cellStyle name="Normal 260 3 3" xfId="22599" xr:uid="{00000000-0005-0000-0000-000047570000}"/>
    <cellStyle name="Normal 260 3 3 2" xfId="22600" xr:uid="{00000000-0005-0000-0000-000048570000}"/>
    <cellStyle name="Normal 260 3 3 2 2" xfId="22601" xr:uid="{00000000-0005-0000-0000-000049570000}"/>
    <cellStyle name="Normal 260 3 3 3" xfId="22602" xr:uid="{00000000-0005-0000-0000-00004A570000}"/>
    <cellStyle name="Normal 260 3 4" xfId="22603" xr:uid="{00000000-0005-0000-0000-00004B570000}"/>
    <cellStyle name="Normal 260 3 4 2" xfId="22604" xr:uid="{00000000-0005-0000-0000-00004C570000}"/>
    <cellStyle name="Normal 260 3 4 2 2" xfId="22605" xr:uid="{00000000-0005-0000-0000-00004D570000}"/>
    <cellStyle name="Normal 260 3 4 3" xfId="22606" xr:uid="{00000000-0005-0000-0000-00004E570000}"/>
    <cellStyle name="Normal 260 3 5" xfId="22607" xr:uid="{00000000-0005-0000-0000-00004F570000}"/>
    <cellStyle name="Normal 260 4" xfId="22608" xr:uid="{00000000-0005-0000-0000-000050570000}"/>
    <cellStyle name="Normal 260 4 2" xfId="22609" xr:uid="{00000000-0005-0000-0000-000051570000}"/>
    <cellStyle name="Normal 260 4 2 2" xfId="22610" xr:uid="{00000000-0005-0000-0000-000052570000}"/>
    <cellStyle name="Normal 260 4 2 2 2" xfId="22611" xr:uid="{00000000-0005-0000-0000-000053570000}"/>
    <cellStyle name="Normal 260 4 2 3" xfId="22612" xr:uid="{00000000-0005-0000-0000-000054570000}"/>
    <cellStyle name="Normal 260 4 2 3 2" xfId="22613" xr:uid="{00000000-0005-0000-0000-000055570000}"/>
    <cellStyle name="Normal 260 4 2 3 2 2" xfId="22614" xr:uid="{00000000-0005-0000-0000-000056570000}"/>
    <cellStyle name="Normal 260 4 2 3 3" xfId="22615" xr:uid="{00000000-0005-0000-0000-000057570000}"/>
    <cellStyle name="Normal 260 4 2 4" xfId="22616" xr:uid="{00000000-0005-0000-0000-000058570000}"/>
    <cellStyle name="Normal 260 4 3" xfId="22617" xr:uid="{00000000-0005-0000-0000-000059570000}"/>
    <cellStyle name="Normal 260 4 3 2" xfId="22618" xr:uid="{00000000-0005-0000-0000-00005A570000}"/>
    <cellStyle name="Normal 260 4 3 2 2" xfId="22619" xr:uid="{00000000-0005-0000-0000-00005B570000}"/>
    <cellStyle name="Normal 260 4 3 3" xfId="22620" xr:uid="{00000000-0005-0000-0000-00005C570000}"/>
    <cellStyle name="Normal 260 4 4" xfId="22621" xr:uid="{00000000-0005-0000-0000-00005D570000}"/>
    <cellStyle name="Normal 260 4 4 2" xfId="22622" xr:uid="{00000000-0005-0000-0000-00005E570000}"/>
    <cellStyle name="Normal 260 4 4 2 2" xfId="22623" xr:uid="{00000000-0005-0000-0000-00005F570000}"/>
    <cellStyle name="Normal 260 4 4 3" xfId="22624" xr:uid="{00000000-0005-0000-0000-000060570000}"/>
    <cellStyle name="Normal 260 4 5" xfId="22625" xr:uid="{00000000-0005-0000-0000-000061570000}"/>
    <cellStyle name="Normal 260 4 5 2" xfId="22626" xr:uid="{00000000-0005-0000-0000-000062570000}"/>
    <cellStyle name="Normal 260 4 5 2 2" xfId="22627" xr:uid="{00000000-0005-0000-0000-000063570000}"/>
    <cellStyle name="Normal 260 4 5 3" xfId="22628" xr:uid="{00000000-0005-0000-0000-000064570000}"/>
    <cellStyle name="Normal 260 4 6" xfId="22629" xr:uid="{00000000-0005-0000-0000-000065570000}"/>
    <cellStyle name="Normal 260 5" xfId="22630" xr:uid="{00000000-0005-0000-0000-000066570000}"/>
    <cellStyle name="Normal 260 5 2" xfId="22631" xr:uid="{00000000-0005-0000-0000-000067570000}"/>
    <cellStyle name="Normal 260 5 2 2" xfId="22632" xr:uid="{00000000-0005-0000-0000-000068570000}"/>
    <cellStyle name="Normal 260 5 3" xfId="22633" xr:uid="{00000000-0005-0000-0000-000069570000}"/>
    <cellStyle name="Normal 260 6" xfId="22634" xr:uid="{00000000-0005-0000-0000-00006A570000}"/>
    <cellStyle name="Normal 260 6 2" xfId="22635" xr:uid="{00000000-0005-0000-0000-00006B570000}"/>
    <cellStyle name="Normal 260 6 2 2" xfId="22636" xr:uid="{00000000-0005-0000-0000-00006C570000}"/>
    <cellStyle name="Normal 260 6 3" xfId="22637" xr:uid="{00000000-0005-0000-0000-00006D570000}"/>
    <cellStyle name="Normal 260 7" xfId="22638" xr:uid="{00000000-0005-0000-0000-00006E570000}"/>
    <cellStyle name="Normal 260 7 2" xfId="22639" xr:uid="{00000000-0005-0000-0000-00006F570000}"/>
    <cellStyle name="Normal 260 7 2 2" xfId="22640" xr:uid="{00000000-0005-0000-0000-000070570000}"/>
    <cellStyle name="Normal 260 7 3" xfId="22641" xr:uid="{00000000-0005-0000-0000-000071570000}"/>
    <cellStyle name="Normal 260 8" xfId="22642" xr:uid="{00000000-0005-0000-0000-000072570000}"/>
    <cellStyle name="Normal 261" xfId="22643" xr:uid="{00000000-0005-0000-0000-000073570000}"/>
    <cellStyle name="Normal 261 2" xfId="22644" xr:uid="{00000000-0005-0000-0000-000074570000}"/>
    <cellStyle name="Normal 261 2 2" xfId="22645" xr:uid="{00000000-0005-0000-0000-000075570000}"/>
    <cellStyle name="Normal 261 2 2 2" xfId="22646" xr:uid="{00000000-0005-0000-0000-000076570000}"/>
    <cellStyle name="Normal 261 2 2 2 2" xfId="22647" xr:uid="{00000000-0005-0000-0000-000077570000}"/>
    <cellStyle name="Normal 261 2 2 3" xfId="22648" xr:uid="{00000000-0005-0000-0000-000078570000}"/>
    <cellStyle name="Normal 261 2 2 3 2" xfId="22649" xr:uid="{00000000-0005-0000-0000-000079570000}"/>
    <cellStyle name="Normal 261 2 2 3 2 2" xfId="22650" xr:uid="{00000000-0005-0000-0000-00007A570000}"/>
    <cellStyle name="Normal 261 2 2 3 3" xfId="22651" xr:uid="{00000000-0005-0000-0000-00007B570000}"/>
    <cellStyle name="Normal 261 2 2 4" xfId="22652" xr:uid="{00000000-0005-0000-0000-00007C570000}"/>
    <cellStyle name="Normal 261 2 2 4 2" xfId="22653" xr:uid="{00000000-0005-0000-0000-00007D570000}"/>
    <cellStyle name="Normal 261 2 2 4 2 2" xfId="22654" xr:uid="{00000000-0005-0000-0000-00007E570000}"/>
    <cellStyle name="Normal 261 2 2 4 3" xfId="22655" xr:uid="{00000000-0005-0000-0000-00007F570000}"/>
    <cellStyle name="Normal 261 2 2 5" xfId="22656" xr:uid="{00000000-0005-0000-0000-000080570000}"/>
    <cellStyle name="Normal 261 2 3" xfId="22657" xr:uid="{00000000-0005-0000-0000-000081570000}"/>
    <cellStyle name="Normal 261 2 3 2" xfId="22658" xr:uid="{00000000-0005-0000-0000-000082570000}"/>
    <cellStyle name="Normal 261 2 3 2 2" xfId="22659" xr:uid="{00000000-0005-0000-0000-000083570000}"/>
    <cellStyle name="Normal 261 2 3 2 2 2" xfId="22660" xr:uid="{00000000-0005-0000-0000-000084570000}"/>
    <cellStyle name="Normal 261 2 3 2 3" xfId="22661" xr:uid="{00000000-0005-0000-0000-000085570000}"/>
    <cellStyle name="Normal 261 2 3 2 3 2" xfId="22662" xr:uid="{00000000-0005-0000-0000-000086570000}"/>
    <cellStyle name="Normal 261 2 3 2 3 2 2" xfId="22663" xr:uid="{00000000-0005-0000-0000-000087570000}"/>
    <cellStyle name="Normal 261 2 3 2 3 3" xfId="22664" xr:uid="{00000000-0005-0000-0000-000088570000}"/>
    <cellStyle name="Normal 261 2 3 2 4" xfId="22665" xr:uid="{00000000-0005-0000-0000-000089570000}"/>
    <cellStyle name="Normal 261 2 3 3" xfId="22666" xr:uid="{00000000-0005-0000-0000-00008A570000}"/>
    <cellStyle name="Normal 261 2 3 3 2" xfId="22667" xr:uid="{00000000-0005-0000-0000-00008B570000}"/>
    <cellStyle name="Normal 261 2 3 3 2 2" xfId="22668" xr:uid="{00000000-0005-0000-0000-00008C570000}"/>
    <cellStyle name="Normal 261 2 3 3 3" xfId="22669" xr:uid="{00000000-0005-0000-0000-00008D570000}"/>
    <cellStyle name="Normal 261 2 3 4" xfId="22670" xr:uid="{00000000-0005-0000-0000-00008E570000}"/>
    <cellStyle name="Normal 261 2 3 4 2" xfId="22671" xr:uid="{00000000-0005-0000-0000-00008F570000}"/>
    <cellStyle name="Normal 261 2 3 4 2 2" xfId="22672" xr:uid="{00000000-0005-0000-0000-000090570000}"/>
    <cellStyle name="Normal 261 2 3 4 3" xfId="22673" xr:uid="{00000000-0005-0000-0000-000091570000}"/>
    <cellStyle name="Normal 261 2 3 5" xfId="22674" xr:uid="{00000000-0005-0000-0000-000092570000}"/>
    <cellStyle name="Normal 261 2 3 5 2" xfId="22675" xr:uid="{00000000-0005-0000-0000-000093570000}"/>
    <cellStyle name="Normal 261 2 3 5 2 2" xfId="22676" xr:uid="{00000000-0005-0000-0000-000094570000}"/>
    <cellStyle name="Normal 261 2 3 5 3" xfId="22677" xr:uid="{00000000-0005-0000-0000-000095570000}"/>
    <cellStyle name="Normal 261 2 3 6" xfId="22678" xr:uid="{00000000-0005-0000-0000-000096570000}"/>
    <cellStyle name="Normal 261 2 4" xfId="22679" xr:uid="{00000000-0005-0000-0000-000097570000}"/>
    <cellStyle name="Normal 261 2 4 2" xfId="22680" xr:uid="{00000000-0005-0000-0000-000098570000}"/>
    <cellStyle name="Normal 261 2 4 2 2" xfId="22681" xr:uid="{00000000-0005-0000-0000-000099570000}"/>
    <cellStyle name="Normal 261 2 4 3" xfId="22682" xr:uid="{00000000-0005-0000-0000-00009A570000}"/>
    <cellStyle name="Normal 261 2 5" xfId="22683" xr:uid="{00000000-0005-0000-0000-00009B570000}"/>
    <cellStyle name="Normal 261 2 5 2" xfId="22684" xr:uid="{00000000-0005-0000-0000-00009C570000}"/>
    <cellStyle name="Normal 261 2 5 2 2" xfId="22685" xr:uid="{00000000-0005-0000-0000-00009D570000}"/>
    <cellStyle name="Normal 261 2 5 3" xfId="22686" xr:uid="{00000000-0005-0000-0000-00009E570000}"/>
    <cellStyle name="Normal 261 2 6" xfId="22687" xr:uid="{00000000-0005-0000-0000-00009F570000}"/>
    <cellStyle name="Normal 261 2 6 2" xfId="22688" xr:uid="{00000000-0005-0000-0000-0000A0570000}"/>
    <cellStyle name="Normal 261 2 6 2 2" xfId="22689" xr:uid="{00000000-0005-0000-0000-0000A1570000}"/>
    <cellStyle name="Normal 261 2 6 3" xfId="22690" xr:uid="{00000000-0005-0000-0000-0000A2570000}"/>
    <cellStyle name="Normal 261 2 7" xfId="22691" xr:uid="{00000000-0005-0000-0000-0000A3570000}"/>
    <cellStyle name="Normal 261 3" xfId="22692" xr:uid="{00000000-0005-0000-0000-0000A4570000}"/>
    <cellStyle name="Normal 261 3 2" xfId="22693" xr:uid="{00000000-0005-0000-0000-0000A5570000}"/>
    <cellStyle name="Normal 261 3 2 2" xfId="22694" xr:uid="{00000000-0005-0000-0000-0000A6570000}"/>
    <cellStyle name="Normal 261 3 3" xfId="22695" xr:uid="{00000000-0005-0000-0000-0000A7570000}"/>
    <cellStyle name="Normal 261 3 3 2" xfId="22696" xr:uid="{00000000-0005-0000-0000-0000A8570000}"/>
    <cellStyle name="Normal 261 3 3 2 2" xfId="22697" xr:uid="{00000000-0005-0000-0000-0000A9570000}"/>
    <cellStyle name="Normal 261 3 3 3" xfId="22698" xr:uid="{00000000-0005-0000-0000-0000AA570000}"/>
    <cellStyle name="Normal 261 3 4" xfId="22699" xr:uid="{00000000-0005-0000-0000-0000AB570000}"/>
    <cellStyle name="Normal 261 3 4 2" xfId="22700" xr:uid="{00000000-0005-0000-0000-0000AC570000}"/>
    <cellStyle name="Normal 261 3 4 2 2" xfId="22701" xr:uid="{00000000-0005-0000-0000-0000AD570000}"/>
    <cellStyle name="Normal 261 3 4 3" xfId="22702" xr:uid="{00000000-0005-0000-0000-0000AE570000}"/>
    <cellStyle name="Normal 261 3 5" xfId="22703" xr:uid="{00000000-0005-0000-0000-0000AF570000}"/>
    <cellStyle name="Normal 261 4" xfId="22704" xr:uid="{00000000-0005-0000-0000-0000B0570000}"/>
    <cellStyle name="Normal 261 4 2" xfId="22705" xr:uid="{00000000-0005-0000-0000-0000B1570000}"/>
    <cellStyle name="Normal 261 4 2 2" xfId="22706" xr:uid="{00000000-0005-0000-0000-0000B2570000}"/>
    <cellStyle name="Normal 261 4 2 2 2" xfId="22707" xr:uid="{00000000-0005-0000-0000-0000B3570000}"/>
    <cellStyle name="Normal 261 4 2 3" xfId="22708" xr:uid="{00000000-0005-0000-0000-0000B4570000}"/>
    <cellStyle name="Normal 261 4 2 3 2" xfId="22709" xr:uid="{00000000-0005-0000-0000-0000B5570000}"/>
    <cellStyle name="Normal 261 4 2 3 2 2" xfId="22710" xr:uid="{00000000-0005-0000-0000-0000B6570000}"/>
    <cellStyle name="Normal 261 4 2 3 3" xfId="22711" xr:uid="{00000000-0005-0000-0000-0000B7570000}"/>
    <cellStyle name="Normal 261 4 2 4" xfId="22712" xr:uid="{00000000-0005-0000-0000-0000B8570000}"/>
    <cellStyle name="Normal 261 4 3" xfId="22713" xr:uid="{00000000-0005-0000-0000-0000B9570000}"/>
    <cellStyle name="Normal 261 4 3 2" xfId="22714" xr:uid="{00000000-0005-0000-0000-0000BA570000}"/>
    <cellStyle name="Normal 261 4 3 2 2" xfId="22715" xr:uid="{00000000-0005-0000-0000-0000BB570000}"/>
    <cellStyle name="Normal 261 4 3 3" xfId="22716" xr:uid="{00000000-0005-0000-0000-0000BC570000}"/>
    <cellStyle name="Normal 261 4 4" xfId="22717" xr:uid="{00000000-0005-0000-0000-0000BD570000}"/>
    <cellStyle name="Normal 261 4 4 2" xfId="22718" xr:uid="{00000000-0005-0000-0000-0000BE570000}"/>
    <cellStyle name="Normal 261 4 4 2 2" xfId="22719" xr:uid="{00000000-0005-0000-0000-0000BF570000}"/>
    <cellStyle name="Normal 261 4 4 3" xfId="22720" xr:uid="{00000000-0005-0000-0000-0000C0570000}"/>
    <cellStyle name="Normal 261 4 5" xfId="22721" xr:uid="{00000000-0005-0000-0000-0000C1570000}"/>
    <cellStyle name="Normal 261 4 5 2" xfId="22722" xr:uid="{00000000-0005-0000-0000-0000C2570000}"/>
    <cellStyle name="Normal 261 4 5 2 2" xfId="22723" xr:uid="{00000000-0005-0000-0000-0000C3570000}"/>
    <cellStyle name="Normal 261 4 5 3" xfId="22724" xr:uid="{00000000-0005-0000-0000-0000C4570000}"/>
    <cellStyle name="Normal 261 4 6" xfId="22725" xr:uid="{00000000-0005-0000-0000-0000C5570000}"/>
    <cellStyle name="Normal 261 5" xfId="22726" xr:uid="{00000000-0005-0000-0000-0000C6570000}"/>
    <cellStyle name="Normal 261 5 2" xfId="22727" xr:uid="{00000000-0005-0000-0000-0000C7570000}"/>
    <cellStyle name="Normal 261 5 2 2" xfId="22728" xr:uid="{00000000-0005-0000-0000-0000C8570000}"/>
    <cellStyle name="Normal 261 5 3" xfId="22729" xr:uid="{00000000-0005-0000-0000-0000C9570000}"/>
    <cellStyle name="Normal 261 6" xfId="22730" xr:uid="{00000000-0005-0000-0000-0000CA570000}"/>
    <cellStyle name="Normal 261 6 2" xfId="22731" xr:uid="{00000000-0005-0000-0000-0000CB570000}"/>
    <cellStyle name="Normal 261 6 2 2" xfId="22732" xr:uid="{00000000-0005-0000-0000-0000CC570000}"/>
    <cellStyle name="Normal 261 6 3" xfId="22733" xr:uid="{00000000-0005-0000-0000-0000CD570000}"/>
    <cellStyle name="Normal 261 7" xfId="22734" xr:uid="{00000000-0005-0000-0000-0000CE570000}"/>
    <cellStyle name="Normal 261 7 2" xfId="22735" xr:uid="{00000000-0005-0000-0000-0000CF570000}"/>
    <cellStyle name="Normal 261 7 2 2" xfId="22736" xr:uid="{00000000-0005-0000-0000-0000D0570000}"/>
    <cellStyle name="Normal 261 7 3" xfId="22737" xr:uid="{00000000-0005-0000-0000-0000D1570000}"/>
    <cellStyle name="Normal 261 8" xfId="22738" xr:uid="{00000000-0005-0000-0000-0000D2570000}"/>
    <cellStyle name="Normal 262" xfId="22739" xr:uid="{00000000-0005-0000-0000-0000D3570000}"/>
    <cellStyle name="Normal 262 2" xfId="22740" xr:uid="{00000000-0005-0000-0000-0000D4570000}"/>
    <cellStyle name="Normal 262 2 2" xfId="22741" xr:uid="{00000000-0005-0000-0000-0000D5570000}"/>
    <cellStyle name="Normal 262 2 2 2" xfId="22742" xr:uid="{00000000-0005-0000-0000-0000D6570000}"/>
    <cellStyle name="Normal 262 2 2 2 2" xfId="22743" xr:uid="{00000000-0005-0000-0000-0000D7570000}"/>
    <cellStyle name="Normal 262 2 2 3" xfId="22744" xr:uid="{00000000-0005-0000-0000-0000D8570000}"/>
    <cellStyle name="Normal 262 2 2 3 2" xfId="22745" xr:uid="{00000000-0005-0000-0000-0000D9570000}"/>
    <cellStyle name="Normal 262 2 2 3 2 2" xfId="22746" xr:uid="{00000000-0005-0000-0000-0000DA570000}"/>
    <cellStyle name="Normal 262 2 2 3 3" xfId="22747" xr:uid="{00000000-0005-0000-0000-0000DB570000}"/>
    <cellStyle name="Normal 262 2 2 4" xfId="22748" xr:uid="{00000000-0005-0000-0000-0000DC570000}"/>
    <cellStyle name="Normal 262 2 2 4 2" xfId="22749" xr:uid="{00000000-0005-0000-0000-0000DD570000}"/>
    <cellStyle name="Normal 262 2 2 4 2 2" xfId="22750" xr:uid="{00000000-0005-0000-0000-0000DE570000}"/>
    <cellStyle name="Normal 262 2 2 4 3" xfId="22751" xr:uid="{00000000-0005-0000-0000-0000DF570000}"/>
    <cellStyle name="Normal 262 2 2 5" xfId="22752" xr:uid="{00000000-0005-0000-0000-0000E0570000}"/>
    <cellStyle name="Normal 262 2 3" xfId="22753" xr:uid="{00000000-0005-0000-0000-0000E1570000}"/>
    <cellStyle name="Normal 262 2 3 2" xfId="22754" xr:uid="{00000000-0005-0000-0000-0000E2570000}"/>
    <cellStyle name="Normal 262 2 3 2 2" xfId="22755" xr:uid="{00000000-0005-0000-0000-0000E3570000}"/>
    <cellStyle name="Normal 262 2 3 2 2 2" xfId="22756" xr:uid="{00000000-0005-0000-0000-0000E4570000}"/>
    <cellStyle name="Normal 262 2 3 2 3" xfId="22757" xr:uid="{00000000-0005-0000-0000-0000E5570000}"/>
    <cellStyle name="Normal 262 2 3 2 3 2" xfId="22758" xr:uid="{00000000-0005-0000-0000-0000E6570000}"/>
    <cellStyle name="Normal 262 2 3 2 3 2 2" xfId="22759" xr:uid="{00000000-0005-0000-0000-0000E7570000}"/>
    <cellStyle name="Normal 262 2 3 2 3 3" xfId="22760" xr:uid="{00000000-0005-0000-0000-0000E8570000}"/>
    <cellStyle name="Normal 262 2 3 2 4" xfId="22761" xr:uid="{00000000-0005-0000-0000-0000E9570000}"/>
    <cellStyle name="Normal 262 2 3 3" xfId="22762" xr:uid="{00000000-0005-0000-0000-0000EA570000}"/>
    <cellStyle name="Normal 262 2 3 3 2" xfId="22763" xr:uid="{00000000-0005-0000-0000-0000EB570000}"/>
    <cellStyle name="Normal 262 2 3 3 2 2" xfId="22764" xr:uid="{00000000-0005-0000-0000-0000EC570000}"/>
    <cellStyle name="Normal 262 2 3 3 3" xfId="22765" xr:uid="{00000000-0005-0000-0000-0000ED570000}"/>
    <cellStyle name="Normal 262 2 3 4" xfId="22766" xr:uid="{00000000-0005-0000-0000-0000EE570000}"/>
    <cellStyle name="Normal 262 2 3 4 2" xfId="22767" xr:uid="{00000000-0005-0000-0000-0000EF570000}"/>
    <cellStyle name="Normal 262 2 3 4 2 2" xfId="22768" xr:uid="{00000000-0005-0000-0000-0000F0570000}"/>
    <cellStyle name="Normal 262 2 3 4 3" xfId="22769" xr:uid="{00000000-0005-0000-0000-0000F1570000}"/>
    <cellStyle name="Normal 262 2 3 5" xfId="22770" xr:uid="{00000000-0005-0000-0000-0000F2570000}"/>
    <cellStyle name="Normal 262 2 3 5 2" xfId="22771" xr:uid="{00000000-0005-0000-0000-0000F3570000}"/>
    <cellStyle name="Normal 262 2 3 5 2 2" xfId="22772" xr:uid="{00000000-0005-0000-0000-0000F4570000}"/>
    <cellStyle name="Normal 262 2 3 5 3" xfId="22773" xr:uid="{00000000-0005-0000-0000-0000F5570000}"/>
    <cellStyle name="Normal 262 2 3 6" xfId="22774" xr:uid="{00000000-0005-0000-0000-0000F6570000}"/>
    <cellStyle name="Normal 262 2 4" xfId="22775" xr:uid="{00000000-0005-0000-0000-0000F7570000}"/>
    <cellStyle name="Normal 262 2 4 2" xfId="22776" xr:uid="{00000000-0005-0000-0000-0000F8570000}"/>
    <cellStyle name="Normal 262 2 4 2 2" xfId="22777" xr:uid="{00000000-0005-0000-0000-0000F9570000}"/>
    <cellStyle name="Normal 262 2 4 3" xfId="22778" xr:uid="{00000000-0005-0000-0000-0000FA570000}"/>
    <cellStyle name="Normal 262 2 5" xfId="22779" xr:uid="{00000000-0005-0000-0000-0000FB570000}"/>
    <cellStyle name="Normal 262 2 5 2" xfId="22780" xr:uid="{00000000-0005-0000-0000-0000FC570000}"/>
    <cellStyle name="Normal 262 2 5 2 2" xfId="22781" xr:uid="{00000000-0005-0000-0000-0000FD570000}"/>
    <cellStyle name="Normal 262 2 5 3" xfId="22782" xr:uid="{00000000-0005-0000-0000-0000FE570000}"/>
    <cellStyle name="Normal 262 2 6" xfId="22783" xr:uid="{00000000-0005-0000-0000-0000FF570000}"/>
    <cellStyle name="Normal 262 2 6 2" xfId="22784" xr:uid="{00000000-0005-0000-0000-000000580000}"/>
    <cellStyle name="Normal 262 2 6 2 2" xfId="22785" xr:uid="{00000000-0005-0000-0000-000001580000}"/>
    <cellStyle name="Normal 262 2 6 3" xfId="22786" xr:uid="{00000000-0005-0000-0000-000002580000}"/>
    <cellStyle name="Normal 262 2 7" xfId="22787" xr:uid="{00000000-0005-0000-0000-000003580000}"/>
    <cellStyle name="Normal 262 3" xfId="22788" xr:uid="{00000000-0005-0000-0000-000004580000}"/>
    <cellStyle name="Normal 262 3 2" xfId="22789" xr:uid="{00000000-0005-0000-0000-000005580000}"/>
    <cellStyle name="Normal 262 3 2 2" xfId="22790" xr:uid="{00000000-0005-0000-0000-000006580000}"/>
    <cellStyle name="Normal 262 3 3" xfId="22791" xr:uid="{00000000-0005-0000-0000-000007580000}"/>
    <cellStyle name="Normal 262 3 3 2" xfId="22792" xr:uid="{00000000-0005-0000-0000-000008580000}"/>
    <cellStyle name="Normal 262 3 3 2 2" xfId="22793" xr:uid="{00000000-0005-0000-0000-000009580000}"/>
    <cellStyle name="Normal 262 3 3 3" xfId="22794" xr:uid="{00000000-0005-0000-0000-00000A580000}"/>
    <cellStyle name="Normal 262 3 4" xfId="22795" xr:uid="{00000000-0005-0000-0000-00000B580000}"/>
    <cellStyle name="Normal 262 3 4 2" xfId="22796" xr:uid="{00000000-0005-0000-0000-00000C580000}"/>
    <cellStyle name="Normal 262 3 4 2 2" xfId="22797" xr:uid="{00000000-0005-0000-0000-00000D580000}"/>
    <cellStyle name="Normal 262 3 4 3" xfId="22798" xr:uid="{00000000-0005-0000-0000-00000E580000}"/>
    <cellStyle name="Normal 262 3 5" xfId="22799" xr:uid="{00000000-0005-0000-0000-00000F580000}"/>
    <cellStyle name="Normal 262 4" xfId="22800" xr:uid="{00000000-0005-0000-0000-000010580000}"/>
    <cellStyle name="Normal 262 4 2" xfId="22801" xr:uid="{00000000-0005-0000-0000-000011580000}"/>
    <cellStyle name="Normal 262 4 2 2" xfId="22802" xr:uid="{00000000-0005-0000-0000-000012580000}"/>
    <cellStyle name="Normal 262 4 2 2 2" xfId="22803" xr:uid="{00000000-0005-0000-0000-000013580000}"/>
    <cellStyle name="Normal 262 4 2 3" xfId="22804" xr:uid="{00000000-0005-0000-0000-000014580000}"/>
    <cellStyle name="Normal 262 4 2 3 2" xfId="22805" xr:uid="{00000000-0005-0000-0000-000015580000}"/>
    <cellStyle name="Normal 262 4 2 3 2 2" xfId="22806" xr:uid="{00000000-0005-0000-0000-000016580000}"/>
    <cellStyle name="Normal 262 4 2 3 3" xfId="22807" xr:uid="{00000000-0005-0000-0000-000017580000}"/>
    <cellStyle name="Normal 262 4 2 4" xfId="22808" xr:uid="{00000000-0005-0000-0000-000018580000}"/>
    <cellStyle name="Normal 262 4 3" xfId="22809" xr:uid="{00000000-0005-0000-0000-000019580000}"/>
    <cellStyle name="Normal 262 4 3 2" xfId="22810" xr:uid="{00000000-0005-0000-0000-00001A580000}"/>
    <cellStyle name="Normal 262 4 3 2 2" xfId="22811" xr:uid="{00000000-0005-0000-0000-00001B580000}"/>
    <cellStyle name="Normal 262 4 3 3" xfId="22812" xr:uid="{00000000-0005-0000-0000-00001C580000}"/>
    <cellStyle name="Normal 262 4 4" xfId="22813" xr:uid="{00000000-0005-0000-0000-00001D580000}"/>
    <cellStyle name="Normal 262 4 4 2" xfId="22814" xr:uid="{00000000-0005-0000-0000-00001E580000}"/>
    <cellStyle name="Normal 262 4 4 2 2" xfId="22815" xr:uid="{00000000-0005-0000-0000-00001F580000}"/>
    <cellStyle name="Normal 262 4 4 3" xfId="22816" xr:uid="{00000000-0005-0000-0000-000020580000}"/>
    <cellStyle name="Normal 262 4 5" xfId="22817" xr:uid="{00000000-0005-0000-0000-000021580000}"/>
    <cellStyle name="Normal 262 4 5 2" xfId="22818" xr:uid="{00000000-0005-0000-0000-000022580000}"/>
    <cellStyle name="Normal 262 4 5 2 2" xfId="22819" xr:uid="{00000000-0005-0000-0000-000023580000}"/>
    <cellStyle name="Normal 262 4 5 3" xfId="22820" xr:uid="{00000000-0005-0000-0000-000024580000}"/>
    <cellStyle name="Normal 262 4 6" xfId="22821" xr:uid="{00000000-0005-0000-0000-000025580000}"/>
    <cellStyle name="Normal 262 5" xfId="22822" xr:uid="{00000000-0005-0000-0000-000026580000}"/>
    <cellStyle name="Normal 262 5 2" xfId="22823" xr:uid="{00000000-0005-0000-0000-000027580000}"/>
    <cellStyle name="Normal 262 5 2 2" xfId="22824" xr:uid="{00000000-0005-0000-0000-000028580000}"/>
    <cellStyle name="Normal 262 5 3" xfId="22825" xr:uid="{00000000-0005-0000-0000-000029580000}"/>
    <cellStyle name="Normal 262 6" xfId="22826" xr:uid="{00000000-0005-0000-0000-00002A580000}"/>
    <cellStyle name="Normal 262 6 2" xfId="22827" xr:uid="{00000000-0005-0000-0000-00002B580000}"/>
    <cellStyle name="Normal 262 6 2 2" xfId="22828" xr:uid="{00000000-0005-0000-0000-00002C580000}"/>
    <cellStyle name="Normal 262 6 3" xfId="22829" xr:uid="{00000000-0005-0000-0000-00002D580000}"/>
    <cellStyle name="Normal 262 7" xfId="22830" xr:uid="{00000000-0005-0000-0000-00002E580000}"/>
    <cellStyle name="Normal 262 7 2" xfId="22831" xr:uid="{00000000-0005-0000-0000-00002F580000}"/>
    <cellStyle name="Normal 262 7 2 2" xfId="22832" xr:uid="{00000000-0005-0000-0000-000030580000}"/>
    <cellStyle name="Normal 262 7 3" xfId="22833" xr:uid="{00000000-0005-0000-0000-000031580000}"/>
    <cellStyle name="Normal 262 8" xfId="22834" xr:uid="{00000000-0005-0000-0000-000032580000}"/>
    <cellStyle name="Normal 263" xfId="22835" xr:uid="{00000000-0005-0000-0000-000033580000}"/>
    <cellStyle name="Normal 263 2" xfId="22836" xr:uid="{00000000-0005-0000-0000-000034580000}"/>
    <cellStyle name="Normal 263 2 2" xfId="22837" xr:uid="{00000000-0005-0000-0000-000035580000}"/>
    <cellStyle name="Normal 263 2 2 2" xfId="22838" xr:uid="{00000000-0005-0000-0000-000036580000}"/>
    <cellStyle name="Normal 263 2 2 2 2" xfId="22839" xr:uid="{00000000-0005-0000-0000-000037580000}"/>
    <cellStyle name="Normal 263 2 2 3" xfId="22840" xr:uid="{00000000-0005-0000-0000-000038580000}"/>
    <cellStyle name="Normal 263 2 2 3 2" xfId="22841" xr:uid="{00000000-0005-0000-0000-000039580000}"/>
    <cellStyle name="Normal 263 2 2 3 2 2" xfId="22842" xr:uid="{00000000-0005-0000-0000-00003A580000}"/>
    <cellStyle name="Normal 263 2 2 3 3" xfId="22843" xr:uid="{00000000-0005-0000-0000-00003B580000}"/>
    <cellStyle name="Normal 263 2 2 4" xfId="22844" xr:uid="{00000000-0005-0000-0000-00003C580000}"/>
    <cellStyle name="Normal 263 2 2 4 2" xfId="22845" xr:uid="{00000000-0005-0000-0000-00003D580000}"/>
    <cellStyle name="Normal 263 2 2 4 2 2" xfId="22846" xr:uid="{00000000-0005-0000-0000-00003E580000}"/>
    <cellStyle name="Normal 263 2 2 4 3" xfId="22847" xr:uid="{00000000-0005-0000-0000-00003F580000}"/>
    <cellStyle name="Normal 263 2 2 5" xfId="22848" xr:uid="{00000000-0005-0000-0000-000040580000}"/>
    <cellStyle name="Normal 263 2 3" xfId="22849" xr:uid="{00000000-0005-0000-0000-000041580000}"/>
    <cellStyle name="Normal 263 2 3 2" xfId="22850" xr:uid="{00000000-0005-0000-0000-000042580000}"/>
    <cellStyle name="Normal 263 2 3 2 2" xfId="22851" xr:uid="{00000000-0005-0000-0000-000043580000}"/>
    <cellStyle name="Normal 263 2 3 2 2 2" xfId="22852" xr:uid="{00000000-0005-0000-0000-000044580000}"/>
    <cellStyle name="Normal 263 2 3 2 3" xfId="22853" xr:uid="{00000000-0005-0000-0000-000045580000}"/>
    <cellStyle name="Normal 263 2 3 2 3 2" xfId="22854" xr:uid="{00000000-0005-0000-0000-000046580000}"/>
    <cellStyle name="Normal 263 2 3 2 3 2 2" xfId="22855" xr:uid="{00000000-0005-0000-0000-000047580000}"/>
    <cellStyle name="Normal 263 2 3 2 3 3" xfId="22856" xr:uid="{00000000-0005-0000-0000-000048580000}"/>
    <cellStyle name="Normal 263 2 3 2 4" xfId="22857" xr:uid="{00000000-0005-0000-0000-000049580000}"/>
    <cellStyle name="Normal 263 2 3 3" xfId="22858" xr:uid="{00000000-0005-0000-0000-00004A580000}"/>
    <cellStyle name="Normal 263 2 3 3 2" xfId="22859" xr:uid="{00000000-0005-0000-0000-00004B580000}"/>
    <cellStyle name="Normal 263 2 3 3 2 2" xfId="22860" xr:uid="{00000000-0005-0000-0000-00004C580000}"/>
    <cellStyle name="Normal 263 2 3 3 3" xfId="22861" xr:uid="{00000000-0005-0000-0000-00004D580000}"/>
    <cellStyle name="Normal 263 2 3 4" xfId="22862" xr:uid="{00000000-0005-0000-0000-00004E580000}"/>
    <cellStyle name="Normal 263 2 3 4 2" xfId="22863" xr:uid="{00000000-0005-0000-0000-00004F580000}"/>
    <cellStyle name="Normal 263 2 3 4 2 2" xfId="22864" xr:uid="{00000000-0005-0000-0000-000050580000}"/>
    <cellStyle name="Normal 263 2 3 4 3" xfId="22865" xr:uid="{00000000-0005-0000-0000-000051580000}"/>
    <cellStyle name="Normal 263 2 3 5" xfId="22866" xr:uid="{00000000-0005-0000-0000-000052580000}"/>
    <cellStyle name="Normal 263 2 3 5 2" xfId="22867" xr:uid="{00000000-0005-0000-0000-000053580000}"/>
    <cellStyle name="Normal 263 2 3 5 2 2" xfId="22868" xr:uid="{00000000-0005-0000-0000-000054580000}"/>
    <cellStyle name="Normal 263 2 3 5 3" xfId="22869" xr:uid="{00000000-0005-0000-0000-000055580000}"/>
    <cellStyle name="Normal 263 2 3 6" xfId="22870" xr:uid="{00000000-0005-0000-0000-000056580000}"/>
    <cellStyle name="Normal 263 2 4" xfId="22871" xr:uid="{00000000-0005-0000-0000-000057580000}"/>
    <cellStyle name="Normal 263 2 4 2" xfId="22872" xr:uid="{00000000-0005-0000-0000-000058580000}"/>
    <cellStyle name="Normal 263 2 4 2 2" xfId="22873" xr:uid="{00000000-0005-0000-0000-000059580000}"/>
    <cellStyle name="Normal 263 2 4 3" xfId="22874" xr:uid="{00000000-0005-0000-0000-00005A580000}"/>
    <cellStyle name="Normal 263 2 5" xfId="22875" xr:uid="{00000000-0005-0000-0000-00005B580000}"/>
    <cellStyle name="Normal 263 2 5 2" xfId="22876" xr:uid="{00000000-0005-0000-0000-00005C580000}"/>
    <cellStyle name="Normal 263 2 5 2 2" xfId="22877" xr:uid="{00000000-0005-0000-0000-00005D580000}"/>
    <cellStyle name="Normal 263 2 5 3" xfId="22878" xr:uid="{00000000-0005-0000-0000-00005E580000}"/>
    <cellStyle name="Normal 263 2 6" xfId="22879" xr:uid="{00000000-0005-0000-0000-00005F580000}"/>
    <cellStyle name="Normal 263 2 6 2" xfId="22880" xr:uid="{00000000-0005-0000-0000-000060580000}"/>
    <cellStyle name="Normal 263 2 6 2 2" xfId="22881" xr:uid="{00000000-0005-0000-0000-000061580000}"/>
    <cellStyle name="Normal 263 2 6 3" xfId="22882" xr:uid="{00000000-0005-0000-0000-000062580000}"/>
    <cellStyle name="Normal 263 2 7" xfId="22883" xr:uid="{00000000-0005-0000-0000-000063580000}"/>
    <cellStyle name="Normal 263 3" xfId="22884" xr:uid="{00000000-0005-0000-0000-000064580000}"/>
    <cellStyle name="Normal 263 3 2" xfId="22885" xr:uid="{00000000-0005-0000-0000-000065580000}"/>
    <cellStyle name="Normal 263 3 2 2" xfId="22886" xr:uid="{00000000-0005-0000-0000-000066580000}"/>
    <cellStyle name="Normal 263 3 3" xfId="22887" xr:uid="{00000000-0005-0000-0000-000067580000}"/>
    <cellStyle name="Normal 263 3 3 2" xfId="22888" xr:uid="{00000000-0005-0000-0000-000068580000}"/>
    <cellStyle name="Normal 263 3 3 2 2" xfId="22889" xr:uid="{00000000-0005-0000-0000-000069580000}"/>
    <cellStyle name="Normal 263 3 3 3" xfId="22890" xr:uid="{00000000-0005-0000-0000-00006A580000}"/>
    <cellStyle name="Normal 263 3 4" xfId="22891" xr:uid="{00000000-0005-0000-0000-00006B580000}"/>
    <cellStyle name="Normal 263 3 4 2" xfId="22892" xr:uid="{00000000-0005-0000-0000-00006C580000}"/>
    <cellStyle name="Normal 263 3 4 2 2" xfId="22893" xr:uid="{00000000-0005-0000-0000-00006D580000}"/>
    <cellStyle name="Normal 263 3 4 3" xfId="22894" xr:uid="{00000000-0005-0000-0000-00006E580000}"/>
    <cellStyle name="Normal 263 3 5" xfId="22895" xr:uid="{00000000-0005-0000-0000-00006F580000}"/>
    <cellStyle name="Normal 263 4" xfId="22896" xr:uid="{00000000-0005-0000-0000-000070580000}"/>
    <cellStyle name="Normal 263 4 2" xfId="22897" xr:uid="{00000000-0005-0000-0000-000071580000}"/>
    <cellStyle name="Normal 263 4 2 2" xfId="22898" xr:uid="{00000000-0005-0000-0000-000072580000}"/>
    <cellStyle name="Normal 263 4 2 2 2" xfId="22899" xr:uid="{00000000-0005-0000-0000-000073580000}"/>
    <cellStyle name="Normal 263 4 2 3" xfId="22900" xr:uid="{00000000-0005-0000-0000-000074580000}"/>
    <cellStyle name="Normal 263 4 2 3 2" xfId="22901" xr:uid="{00000000-0005-0000-0000-000075580000}"/>
    <cellStyle name="Normal 263 4 2 3 2 2" xfId="22902" xr:uid="{00000000-0005-0000-0000-000076580000}"/>
    <cellStyle name="Normal 263 4 2 3 3" xfId="22903" xr:uid="{00000000-0005-0000-0000-000077580000}"/>
    <cellStyle name="Normal 263 4 2 4" xfId="22904" xr:uid="{00000000-0005-0000-0000-000078580000}"/>
    <cellStyle name="Normal 263 4 3" xfId="22905" xr:uid="{00000000-0005-0000-0000-000079580000}"/>
    <cellStyle name="Normal 263 4 3 2" xfId="22906" xr:uid="{00000000-0005-0000-0000-00007A580000}"/>
    <cellStyle name="Normal 263 4 3 2 2" xfId="22907" xr:uid="{00000000-0005-0000-0000-00007B580000}"/>
    <cellStyle name="Normal 263 4 3 3" xfId="22908" xr:uid="{00000000-0005-0000-0000-00007C580000}"/>
    <cellStyle name="Normal 263 4 4" xfId="22909" xr:uid="{00000000-0005-0000-0000-00007D580000}"/>
    <cellStyle name="Normal 263 4 4 2" xfId="22910" xr:uid="{00000000-0005-0000-0000-00007E580000}"/>
    <cellStyle name="Normal 263 4 4 2 2" xfId="22911" xr:uid="{00000000-0005-0000-0000-00007F580000}"/>
    <cellStyle name="Normal 263 4 4 3" xfId="22912" xr:uid="{00000000-0005-0000-0000-000080580000}"/>
    <cellStyle name="Normal 263 4 5" xfId="22913" xr:uid="{00000000-0005-0000-0000-000081580000}"/>
    <cellStyle name="Normal 263 4 5 2" xfId="22914" xr:uid="{00000000-0005-0000-0000-000082580000}"/>
    <cellStyle name="Normal 263 4 5 2 2" xfId="22915" xr:uid="{00000000-0005-0000-0000-000083580000}"/>
    <cellStyle name="Normal 263 4 5 3" xfId="22916" xr:uid="{00000000-0005-0000-0000-000084580000}"/>
    <cellStyle name="Normal 263 4 6" xfId="22917" xr:uid="{00000000-0005-0000-0000-000085580000}"/>
    <cellStyle name="Normal 263 5" xfId="22918" xr:uid="{00000000-0005-0000-0000-000086580000}"/>
    <cellStyle name="Normal 263 5 2" xfId="22919" xr:uid="{00000000-0005-0000-0000-000087580000}"/>
    <cellStyle name="Normal 263 5 2 2" xfId="22920" xr:uid="{00000000-0005-0000-0000-000088580000}"/>
    <cellStyle name="Normal 263 5 3" xfId="22921" xr:uid="{00000000-0005-0000-0000-000089580000}"/>
    <cellStyle name="Normal 263 6" xfId="22922" xr:uid="{00000000-0005-0000-0000-00008A580000}"/>
    <cellStyle name="Normal 263 6 2" xfId="22923" xr:uid="{00000000-0005-0000-0000-00008B580000}"/>
    <cellStyle name="Normal 263 6 2 2" xfId="22924" xr:uid="{00000000-0005-0000-0000-00008C580000}"/>
    <cellStyle name="Normal 263 6 3" xfId="22925" xr:uid="{00000000-0005-0000-0000-00008D580000}"/>
    <cellStyle name="Normal 263 7" xfId="22926" xr:uid="{00000000-0005-0000-0000-00008E580000}"/>
    <cellStyle name="Normal 263 7 2" xfId="22927" xr:uid="{00000000-0005-0000-0000-00008F580000}"/>
    <cellStyle name="Normal 263 7 2 2" xfId="22928" xr:uid="{00000000-0005-0000-0000-000090580000}"/>
    <cellStyle name="Normal 263 7 3" xfId="22929" xr:uid="{00000000-0005-0000-0000-000091580000}"/>
    <cellStyle name="Normal 263 8" xfId="22930" xr:uid="{00000000-0005-0000-0000-000092580000}"/>
    <cellStyle name="Normal 264" xfId="22931" xr:uid="{00000000-0005-0000-0000-000093580000}"/>
    <cellStyle name="Normal 264 2" xfId="22932" xr:uid="{00000000-0005-0000-0000-000094580000}"/>
    <cellStyle name="Normal 264 2 2" xfId="22933" xr:uid="{00000000-0005-0000-0000-000095580000}"/>
    <cellStyle name="Normal 264 2 2 2" xfId="22934" xr:uid="{00000000-0005-0000-0000-000096580000}"/>
    <cellStyle name="Normal 264 2 3" xfId="22935" xr:uid="{00000000-0005-0000-0000-000097580000}"/>
    <cellStyle name="Normal 264 2 3 2" xfId="22936" xr:uid="{00000000-0005-0000-0000-000098580000}"/>
    <cellStyle name="Normal 264 2 3 2 2" xfId="22937" xr:uid="{00000000-0005-0000-0000-000099580000}"/>
    <cellStyle name="Normal 264 2 3 3" xfId="22938" xr:uid="{00000000-0005-0000-0000-00009A580000}"/>
    <cellStyle name="Normal 264 2 4" xfId="22939" xr:uid="{00000000-0005-0000-0000-00009B580000}"/>
    <cellStyle name="Normal 264 2 4 2" xfId="22940" xr:uid="{00000000-0005-0000-0000-00009C580000}"/>
    <cellStyle name="Normal 264 2 4 2 2" xfId="22941" xr:uid="{00000000-0005-0000-0000-00009D580000}"/>
    <cellStyle name="Normal 264 2 4 3" xfId="22942" xr:uid="{00000000-0005-0000-0000-00009E580000}"/>
    <cellStyle name="Normal 264 2 5" xfId="22943" xr:uid="{00000000-0005-0000-0000-00009F580000}"/>
    <cellStyle name="Normal 264 3" xfId="22944" xr:uid="{00000000-0005-0000-0000-0000A0580000}"/>
    <cellStyle name="Normal 264 3 2" xfId="22945" xr:uid="{00000000-0005-0000-0000-0000A1580000}"/>
    <cellStyle name="Normal 264 3 2 2" xfId="22946" xr:uid="{00000000-0005-0000-0000-0000A2580000}"/>
    <cellStyle name="Normal 264 3 2 2 2" xfId="22947" xr:uid="{00000000-0005-0000-0000-0000A3580000}"/>
    <cellStyle name="Normal 264 3 2 3" xfId="22948" xr:uid="{00000000-0005-0000-0000-0000A4580000}"/>
    <cellStyle name="Normal 264 3 2 3 2" xfId="22949" xr:uid="{00000000-0005-0000-0000-0000A5580000}"/>
    <cellStyle name="Normal 264 3 2 3 2 2" xfId="22950" xr:uid="{00000000-0005-0000-0000-0000A6580000}"/>
    <cellStyle name="Normal 264 3 2 3 3" xfId="22951" xr:uid="{00000000-0005-0000-0000-0000A7580000}"/>
    <cellStyle name="Normal 264 3 2 4" xfId="22952" xr:uid="{00000000-0005-0000-0000-0000A8580000}"/>
    <cellStyle name="Normal 264 3 3" xfId="22953" xr:uid="{00000000-0005-0000-0000-0000A9580000}"/>
    <cellStyle name="Normal 264 3 3 2" xfId="22954" xr:uid="{00000000-0005-0000-0000-0000AA580000}"/>
    <cellStyle name="Normal 264 3 3 2 2" xfId="22955" xr:uid="{00000000-0005-0000-0000-0000AB580000}"/>
    <cellStyle name="Normal 264 3 3 3" xfId="22956" xr:uid="{00000000-0005-0000-0000-0000AC580000}"/>
    <cellStyle name="Normal 264 3 4" xfId="22957" xr:uid="{00000000-0005-0000-0000-0000AD580000}"/>
    <cellStyle name="Normal 264 3 4 2" xfId="22958" xr:uid="{00000000-0005-0000-0000-0000AE580000}"/>
    <cellStyle name="Normal 264 3 4 2 2" xfId="22959" xr:uid="{00000000-0005-0000-0000-0000AF580000}"/>
    <cellStyle name="Normal 264 3 4 3" xfId="22960" xr:uid="{00000000-0005-0000-0000-0000B0580000}"/>
    <cellStyle name="Normal 264 3 5" xfId="22961" xr:uid="{00000000-0005-0000-0000-0000B1580000}"/>
    <cellStyle name="Normal 264 3 5 2" xfId="22962" xr:uid="{00000000-0005-0000-0000-0000B2580000}"/>
    <cellStyle name="Normal 264 3 5 2 2" xfId="22963" xr:uid="{00000000-0005-0000-0000-0000B3580000}"/>
    <cellStyle name="Normal 264 3 5 3" xfId="22964" xr:uid="{00000000-0005-0000-0000-0000B4580000}"/>
    <cellStyle name="Normal 264 3 6" xfId="22965" xr:uid="{00000000-0005-0000-0000-0000B5580000}"/>
    <cellStyle name="Normal 264 4" xfId="22966" xr:uid="{00000000-0005-0000-0000-0000B6580000}"/>
    <cellStyle name="Normal 264 4 2" xfId="22967" xr:uid="{00000000-0005-0000-0000-0000B7580000}"/>
    <cellStyle name="Normal 264 4 2 2" xfId="22968" xr:uid="{00000000-0005-0000-0000-0000B8580000}"/>
    <cellStyle name="Normal 264 4 3" xfId="22969" xr:uid="{00000000-0005-0000-0000-0000B9580000}"/>
    <cellStyle name="Normal 264 5" xfId="22970" xr:uid="{00000000-0005-0000-0000-0000BA580000}"/>
    <cellStyle name="Normal 264 5 2" xfId="22971" xr:uid="{00000000-0005-0000-0000-0000BB580000}"/>
    <cellStyle name="Normal 264 5 2 2" xfId="22972" xr:uid="{00000000-0005-0000-0000-0000BC580000}"/>
    <cellStyle name="Normal 264 5 3" xfId="22973" xr:uid="{00000000-0005-0000-0000-0000BD580000}"/>
    <cellStyle name="Normal 264 6" xfId="22974" xr:uid="{00000000-0005-0000-0000-0000BE580000}"/>
    <cellStyle name="Normal 264 6 2" xfId="22975" xr:uid="{00000000-0005-0000-0000-0000BF580000}"/>
    <cellStyle name="Normal 264 6 2 2" xfId="22976" xr:uid="{00000000-0005-0000-0000-0000C0580000}"/>
    <cellStyle name="Normal 264 6 3" xfId="22977" xr:uid="{00000000-0005-0000-0000-0000C1580000}"/>
    <cellStyle name="Normal 264 7" xfId="22978" xr:uid="{00000000-0005-0000-0000-0000C2580000}"/>
    <cellStyle name="Normal 265" xfId="22979" xr:uid="{00000000-0005-0000-0000-0000C3580000}"/>
    <cellStyle name="Normal 265 2" xfId="22980" xr:uid="{00000000-0005-0000-0000-0000C4580000}"/>
    <cellStyle name="Normal 265 2 2" xfId="22981" xr:uid="{00000000-0005-0000-0000-0000C5580000}"/>
    <cellStyle name="Normal 265 2 2 2" xfId="22982" xr:uid="{00000000-0005-0000-0000-0000C6580000}"/>
    <cellStyle name="Normal 265 2 3" xfId="22983" xr:uid="{00000000-0005-0000-0000-0000C7580000}"/>
    <cellStyle name="Normal 265 2 3 2" xfId="22984" xr:uid="{00000000-0005-0000-0000-0000C8580000}"/>
    <cellStyle name="Normal 265 2 3 2 2" xfId="22985" xr:uid="{00000000-0005-0000-0000-0000C9580000}"/>
    <cellStyle name="Normal 265 2 3 3" xfId="22986" xr:uid="{00000000-0005-0000-0000-0000CA580000}"/>
    <cellStyle name="Normal 265 2 4" xfId="22987" xr:uid="{00000000-0005-0000-0000-0000CB580000}"/>
    <cellStyle name="Normal 265 2 4 2" xfId="22988" xr:uid="{00000000-0005-0000-0000-0000CC580000}"/>
    <cellStyle name="Normal 265 2 4 2 2" xfId="22989" xr:uid="{00000000-0005-0000-0000-0000CD580000}"/>
    <cellStyle name="Normal 265 2 4 3" xfId="22990" xr:uid="{00000000-0005-0000-0000-0000CE580000}"/>
    <cellStyle name="Normal 265 2 5" xfId="22991" xr:uid="{00000000-0005-0000-0000-0000CF580000}"/>
    <cellStyle name="Normal 265 3" xfId="22992" xr:uid="{00000000-0005-0000-0000-0000D0580000}"/>
    <cellStyle name="Normal 265 3 2" xfId="22993" xr:uid="{00000000-0005-0000-0000-0000D1580000}"/>
    <cellStyle name="Normal 265 3 2 2" xfId="22994" xr:uid="{00000000-0005-0000-0000-0000D2580000}"/>
    <cellStyle name="Normal 265 3 2 2 2" xfId="22995" xr:uid="{00000000-0005-0000-0000-0000D3580000}"/>
    <cellStyle name="Normal 265 3 2 3" xfId="22996" xr:uid="{00000000-0005-0000-0000-0000D4580000}"/>
    <cellStyle name="Normal 265 3 2 3 2" xfId="22997" xr:uid="{00000000-0005-0000-0000-0000D5580000}"/>
    <cellStyle name="Normal 265 3 2 3 2 2" xfId="22998" xr:uid="{00000000-0005-0000-0000-0000D6580000}"/>
    <cellStyle name="Normal 265 3 2 3 3" xfId="22999" xr:uid="{00000000-0005-0000-0000-0000D7580000}"/>
    <cellStyle name="Normal 265 3 2 4" xfId="23000" xr:uid="{00000000-0005-0000-0000-0000D8580000}"/>
    <cellStyle name="Normal 265 3 3" xfId="23001" xr:uid="{00000000-0005-0000-0000-0000D9580000}"/>
    <cellStyle name="Normal 265 3 3 2" xfId="23002" xr:uid="{00000000-0005-0000-0000-0000DA580000}"/>
    <cellStyle name="Normal 265 3 3 2 2" xfId="23003" xr:uid="{00000000-0005-0000-0000-0000DB580000}"/>
    <cellStyle name="Normal 265 3 3 3" xfId="23004" xr:uid="{00000000-0005-0000-0000-0000DC580000}"/>
    <cellStyle name="Normal 265 3 4" xfId="23005" xr:uid="{00000000-0005-0000-0000-0000DD580000}"/>
    <cellStyle name="Normal 265 3 4 2" xfId="23006" xr:uid="{00000000-0005-0000-0000-0000DE580000}"/>
    <cellStyle name="Normal 265 3 4 2 2" xfId="23007" xr:uid="{00000000-0005-0000-0000-0000DF580000}"/>
    <cellStyle name="Normal 265 3 4 3" xfId="23008" xr:uid="{00000000-0005-0000-0000-0000E0580000}"/>
    <cellStyle name="Normal 265 3 5" xfId="23009" xr:uid="{00000000-0005-0000-0000-0000E1580000}"/>
    <cellStyle name="Normal 265 3 5 2" xfId="23010" xr:uid="{00000000-0005-0000-0000-0000E2580000}"/>
    <cellStyle name="Normal 265 3 5 2 2" xfId="23011" xr:uid="{00000000-0005-0000-0000-0000E3580000}"/>
    <cellStyle name="Normal 265 3 5 3" xfId="23012" xr:uid="{00000000-0005-0000-0000-0000E4580000}"/>
    <cellStyle name="Normal 265 3 6" xfId="23013" xr:uid="{00000000-0005-0000-0000-0000E5580000}"/>
    <cellStyle name="Normal 265 4" xfId="23014" xr:uid="{00000000-0005-0000-0000-0000E6580000}"/>
    <cellStyle name="Normal 265 4 2" xfId="23015" xr:uid="{00000000-0005-0000-0000-0000E7580000}"/>
    <cellStyle name="Normal 265 4 2 2" xfId="23016" xr:uid="{00000000-0005-0000-0000-0000E8580000}"/>
    <cellStyle name="Normal 265 4 3" xfId="23017" xr:uid="{00000000-0005-0000-0000-0000E9580000}"/>
    <cellStyle name="Normal 265 5" xfId="23018" xr:uid="{00000000-0005-0000-0000-0000EA580000}"/>
    <cellStyle name="Normal 265 5 2" xfId="23019" xr:uid="{00000000-0005-0000-0000-0000EB580000}"/>
    <cellStyle name="Normal 265 5 2 2" xfId="23020" xr:uid="{00000000-0005-0000-0000-0000EC580000}"/>
    <cellStyle name="Normal 265 5 3" xfId="23021" xr:uid="{00000000-0005-0000-0000-0000ED580000}"/>
    <cellStyle name="Normal 265 6" xfId="23022" xr:uid="{00000000-0005-0000-0000-0000EE580000}"/>
    <cellStyle name="Normal 265 6 2" xfId="23023" xr:uid="{00000000-0005-0000-0000-0000EF580000}"/>
    <cellStyle name="Normal 265 6 2 2" xfId="23024" xr:uid="{00000000-0005-0000-0000-0000F0580000}"/>
    <cellStyle name="Normal 265 6 3" xfId="23025" xr:uid="{00000000-0005-0000-0000-0000F1580000}"/>
    <cellStyle name="Normal 265 7" xfId="23026" xr:uid="{00000000-0005-0000-0000-0000F2580000}"/>
    <cellStyle name="Normal 266" xfId="23027" xr:uid="{00000000-0005-0000-0000-0000F3580000}"/>
    <cellStyle name="Normal 266 2" xfId="23028" xr:uid="{00000000-0005-0000-0000-0000F4580000}"/>
    <cellStyle name="Normal 266 2 2" xfId="23029" xr:uid="{00000000-0005-0000-0000-0000F5580000}"/>
    <cellStyle name="Normal 266 2 2 2" xfId="23030" xr:uid="{00000000-0005-0000-0000-0000F6580000}"/>
    <cellStyle name="Normal 266 2 3" xfId="23031" xr:uid="{00000000-0005-0000-0000-0000F7580000}"/>
    <cellStyle name="Normal 266 2 3 2" xfId="23032" xr:uid="{00000000-0005-0000-0000-0000F8580000}"/>
    <cellStyle name="Normal 266 2 3 2 2" xfId="23033" xr:uid="{00000000-0005-0000-0000-0000F9580000}"/>
    <cellStyle name="Normal 266 2 3 3" xfId="23034" xr:uid="{00000000-0005-0000-0000-0000FA580000}"/>
    <cellStyle name="Normal 266 2 4" xfId="23035" xr:uid="{00000000-0005-0000-0000-0000FB580000}"/>
    <cellStyle name="Normal 266 2 4 2" xfId="23036" xr:uid="{00000000-0005-0000-0000-0000FC580000}"/>
    <cellStyle name="Normal 266 2 4 2 2" xfId="23037" xr:uid="{00000000-0005-0000-0000-0000FD580000}"/>
    <cellStyle name="Normal 266 2 4 3" xfId="23038" xr:uid="{00000000-0005-0000-0000-0000FE580000}"/>
    <cellStyle name="Normal 266 2 5" xfId="23039" xr:uid="{00000000-0005-0000-0000-0000FF580000}"/>
    <cellStyle name="Normal 266 3" xfId="23040" xr:uid="{00000000-0005-0000-0000-000000590000}"/>
    <cellStyle name="Normal 266 3 2" xfId="23041" xr:uid="{00000000-0005-0000-0000-000001590000}"/>
    <cellStyle name="Normal 266 3 2 2" xfId="23042" xr:uid="{00000000-0005-0000-0000-000002590000}"/>
    <cellStyle name="Normal 266 3 2 2 2" xfId="23043" xr:uid="{00000000-0005-0000-0000-000003590000}"/>
    <cellStyle name="Normal 266 3 2 3" xfId="23044" xr:uid="{00000000-0005-0000-0000-000004590000}"/>
    <cellStyle name="Normal 266 3 2 3 2" xfId="23045" xr:uid="{00000000-0005-0000-0000-000005590000}"/>
    <cellStyle name="Normal 266 3 2 3 2 2" xfId="23046" xr:uid="{00000000-0005-0000-0000-000006590000}"/>
    <cellStyle name="Normal 266 3 2 3 3" xfId="23047" xr:uid="{00000000-0005-0000-0000-000007590000}"/>
    <cellStyle name="Normal 266 3 2 4" xfId="23048" xr:uid="{00000000-0005-0000-0000-000008590000}"/>
    <cellStyle name="Normal 266 3 3" xfId="23049" xr:uid="{00000000-0005-0000-0000-000009590000}"/>
    <cellStyle name="Normal 266 3 3 2" xfId="23050" xr:uid="{00000000-0005-0000-0000-00000A590000}"/>
    <cellStyle name="Normal 266 3 3 2 2" xfId="23051" xr:uid="{00000000-0005-0000-0000-00000B590000}"/>
    <cellStyle name="Normal 266 3 3 3" xfId="23052" xr:uid="{00000000-0005-0000-0000-00000C590000}"/>
    <cellStyle name="Normal 266 3 4" xfId="23053" xr:uid="{00000000-0005-0000-0000-00000D590000}"/>
    <cellStyle name="Normal 266 3 4 2" xfId="23054" xr:uid="{00000000-0005-0000-0000-00000E590000}"/>
    <cellStyle name="Normal 266 3 4 2 2" xfId="23055" xr:uid="{00000000-0005-0000-0000-00000F590000}"/>
    <cellStyle name="Normal 266 3 4 3" xfId="23056" xr:uid="{00000000-0005-0000-0000-000010590000}"/>
    <cellStyle name="Normal 266 3 5" xfId="23057" xr:uid="{00000000-0005-0000-0000-000011590000}"/>
    <cellStyle name="Normal 266 3 5 2" xfId="23058" xr:uid="{00000000-0005-0000-0000-000012590000}"/>
    <cellStyle name="Normal 266 3 5 2 2" xfId="23059" xr:uid="{00000000-0005-0000-0000-000013590000}"/>
    <cellStyle name="Normal 266 3 5 3" xfId="23060" xr:uid="{00000000-0005-0000-0000-000014590000}"/>
    <cellStyle name="Normal 266 3 6" xfId="23061" xr:uid="{00000000-0005-0000-0000-000015590000}"/>
    <cellStyle name="Normal 266 4" xfId="23062" xr:uid="{00000000-0005-0000-0000-000016590000}"/>
    <cellStyle name="Normal 266 4 2" xfId="23063" xr:uid="{00000000-0005-0000-0000-000017590000}"/>
    <cellStyle name="Normal 266 4 2 2" xfId="23064" xr:uid="{00000000-0005-0000-0000-000018590000}"/>
    <cellStyle name="Normal 266 4 3" xfId="23065" xr:uid="{00000000-0005-0000-0000-000019590000}"/>
    <cellStyle name="Normal 266 5" xfId="23066" xr:uid="{00000000-0005-0000-0000-00001A590000}"/>
    <cellStyle name="Normal 266 5 2" xfId="23067" xr:uid="{00000000-0005-0000-0000-00001B590000}"/>
    <cellStyle name="Normal 266 5 2 2" xfId="23068" xr:uid="{00000000-0005-0000-0000-00001C590000}"/>
    <cellStyle name="Normal 266 5 3" xfId="23069" xr:uid="{00000000-0005-0000-0000-00001D590000}"/>
    <cellStyle name="Normal 266 6" xfId="23070" xr:uid="{00000000-0005-0000-0000-00001E590000}"/>
    <cellStyle name="Normal 266 6 2" xfId="23071" xr:uid="{00000000-0005-0000-0000-00001F590000}"/>
    <cellStyle name="Normal 266 6 2 2" xfId="23072" xr:uid="{00000000-0005-0000-0000-000020590000}"/>
    <cellStyle name="Normal 266 6 3" xfId="23073" xr:uid="{00000000-0005-0000-0000-000021590000}"/>
    <cellStyle name="Normal 266 7" xfId="23074" xr:uid="{00000000-0005-0000-0000-000022590000}"/>
    <cellStyle name="Normal 267" xfId="23075" xr:uid="{00000000-0005-0000-0000-000023590000}"/>
    <cellStyle name="Normal 267 2" xfId="23076" xr:uid="{00000000-0005-0000-0000-000024590000}"/>
    <cellStyle name="Normal 267 2 2" xfId="23077" xr:uid="{00000000-0005-0000-0000-000025590000}"/>
    <cellStyle name="Normal 267 2 2 2" xfId="23078" xr:uid="{00000000-0005-0000-0000-000026590000}"/>
    <cellStyle name="Normal 267 2 3" xfId="23079" xr:uid="{00000000-0005-0000-0000-000027590000}"/>
    <cellStyle name="Normal 267 2 3 2" xfId="23080" xr:uid="{00000000-0005-0000-0000-000028590000}"/>
    <cellStyle name="Normal 267 2 3 2 2" xfId="23081" xr:uid="{00000000-0005-0000-0000-000029590000}"/>
    <cellStyle name="Normal 267 2 3 3" xfId="23082" xr:uid="{00000000-0005-0000-0000-00002A590000}"/>
    <cellStyle name="Normal 267 2 4" xfId="23083" xr:uid="{00000000-0005-0000-0000-00002B590000}"/>
    <cellStyle name="Normal 267 2 4 2" xfId="23084" xr:uid="{00000000-0005-0000-0000-00002C590000}"/>
    <cellStyle name="Normal 267 2 4 2 2" xfId="23085" xr:uid="{00000000-0005-0000-0000-00002D590000}"/>
    <cellStyle name="Normal 267 2 4 3" xfId="23086" xr:uid="{00000000-0005-0000-0000-00002E590000}"/>
    <cellStyle name="Normal 267 2 5" xfId="23087" xr:uid="{00000000-0005-0000-0000-00002F590000}"/>
    <cellStyle name="Normal 267 3" xfId="23088" xr:uid="{00000000-0005-0000-0000-000030590000}"/>
    <cellStyle name="Normal 267 3 2" xfId="23089" xr:uid="{00000000-0005-0000-0000-000031590000}"/>
    <cellStyle name="Normal 267 3 2 2" xfId="23090" xr:uid="{00000000-0005-0000-0000-000032590000}"/>
    <cellStyle name="Normal 267 3 2 2 2" xfId="23091" xr:uid="{00000000-0005-0000-0000-000033590000}"/>
    <cellStyle name="Normal 267 3 2 3" xfId="23092" xr:uid="{00000000-0005-0000-0000-000034590000}"/>
    <cellStyle name="Normal 267 3 2 3 2" xfId="23093" xr:uid="{00000000-0005-0000-0000-000035590000}"/>
    <cellStyle name="Normal 267 3 2 3 2 2" xfId="23094" xr:uid="{00000000-0005-0000-0000-000036590000}"/>
    <cellStyle name="Normal 267 3 2 3 3" xfId="23095" xr:uid="{00000000-0005-0000-0000-000037590000}"/>
    <cellStyle name="Normal 267 3 2 4" xfId="23096" xr:uid="{00000000-0005-0000-0000-000038590000}"/>
    <cellStyle name="Normal 267 3 3" xfId="23097" xr:uid="{00000000-0005-0000-0000-000039590000}"/>
    <cellStyle name="Normal 267 3 3 2" xfId="23098" xr:uid="{00000000-0005-0000-0000-00003A590000}"/>
    <cellStyle name="Normal 267 3 3 2 2" xfId="23099" xr:uid="{00000000-0005-0000-0000-00003B590000}"/>
    <cellStyle name="Normal 267 3 3 3" xfId="23100" xr:uid="{00000000-0005-0000-0000-00003C590000}"/>
    <cellStyle name="Normal 267 3 4" xfId="23101" xr:uid="{00000000-0005-0000-0000-00003D590000}"/>
    <cellStyle name="Normal 267 3 4 2" xfId="23102" xr:uid="{00000000-0005-0000-0000-00003E590000}"/>
    <cellStyle name="Normal 267 3 4 2 2" xfId="23103" xr:uid="{00000000-0005-0000-0000-00003F590000}"/>
    <cellStyle name="Normal 267 3 4 3" xfId="23104" xr:uid="{00000000-0005-0000-0000-000040590000}"/>
    <cellStyle name="Normal 267 3 5" xfId="23105" xr:uid="{00000000-0005-0000-0000-000041590000}"/>
    <cellStyle name="Normal 267 3 5 2" xfId="23106" xr:uid="{00000000-0005-0000-0000-000042590000}"/>
    <cellStyle name="Normal 267 3 5 2 2" xfId="23107" xr:uid="{00000000-0005-0000-0000-000043590000}"/>
    <cellStyle name="Normal 267 3 5 3" xfId="23108" xr:uid="{00000000-0005-0000-0000-000044590000}"/>
    <cellStyle name="Normal 267 3 6" xfId="23109" xr:uid="{00000000-0005-0000-0000-000045590000}"/>
    <cellStyle name="Normal 267 4" xfId="23110" xr:uid="{00000000-0005-0000-0000-000046590000}"/>
    <cellStyle name="Normal 267 4 2" xfId="23111" xr:uid="{00000000-0005-0000-0000-000047590000}"/>
    <cellStyle name="Normal 267 4 2 2" xfId="23112" xr:uid="{00000000-0005-0000-0000-000048590000}"/>
    <cellStyle name="Normal 267 4 3" xfId="23113" xr:uid="{00000000-0005-0000-0000-000049590000}"/>
    <cellStyle name="Normal 267 5" xfId="23114" xr:uid="{00000000-0005-0000-0000-00004A590000}"/>
    <cellStyle name="Normal 267 5 2" xfId="23115" xr:uid="{00000000-0005-0000-0000-00004B590000}"/>
    <cellStyle name="Normal 267 5 2 2" xfId="23116" xr:uid="{00000000-0005-0000-0000-00004C590000}"/>
    <cellStyle name="Normal 267 5 3" xfId="23117" xr:uid="{00000000-0005-0000-0000-00004D590000}"/>
    <cellStyle name="Normal 267 6" xfId="23118" xr:uid="{00000000-0005-0000-0000-00004E590000}"/>
    <cellStyle name="Normal 267 6 2" xfId="23119" xr:uid="{00000000-0005-0000-0000-00004F590000}"/>
    <cellStyle name="Normal 267 6 2 2" xfId="23120" xr:uid="{00000000-0005-0000-0000-000050590000}"/>
    <cellStyle name="Normal 267 6 3" xfId="23121" xr:uid="{00000000-0005-0000-0000-000051590000}"/>
    <cellStyle name="Normal 267 7" xfId="23122" xr:uid="{00000000-0005-0000-0000-000052590000}"/>
    <cellStyle name="Normal 268" xfId="23123" xr:uid="{00000000-0005-0000-0000-000053590000}"/>
    <cellStyle name="Normal 268 2" xfId="23124" xr:uid="{00000000-0005-0000-0000-000054590000}"/>
    <cellStyle name="Normal 268 2 2" xfId="23125" xr:uid="{00000000-0005-0000-0000-000055590000}"/>
    <cellStyle name="Normal 268 2 2 2" xfId="23126" xr:uid="{00000000-0005-0000-0000-000056590000}"/>
    <cellStyle name="Normal 268 2 3" xfId="23127" xr:uid="{00000000-0005-0000-0000-000057590000}"/>
    <cellStyle name="Normal 268 2 3 2" xfId="23128" xr:uid="{00000000-0005-0000-0000-000058590000}"/>
    <cellStyle name="Normal 268 2 3 2 2" xfId="23129" xr:uid="{00000000-0005-0000-0000-000059590000}"/>
    <cellStyle name="Normal 268 2 3 3" xfId="23130" xr:uid="{00000000-0005-0000-0000-00005A590000}"/>
    <cellStyle name="Normal 268 2 4" xfId="23131" xr:uid="{00000000-0005-0000-0000-00005B590000}"/>
    <cellStyle name="Normal 268 2 4 2" xfId="23132" xr:uid="{00000000-0005-0000-0000-00005C590000}"/>
    <cellStyle name="Normal 268 2 4 2 2" xfId="23133" xr:uid="{00000000-0005-0000-0000-00005D590000}"/>
    <cellStyle name="Normal 268 2 4 3" xfId="23134" xr:uid="{00000000-0005-0000-0000-00005E590000}"/>
    <cellStyle name="Normal 268 2 5" xfId="23135" xr:uid="{00000000-0005-0000-0000-00005F590000}"/>
    <cellStyle name="Normal 268 3" xfId="23136" xr:uid="{00000000-0005-0000-0000-000060590000}"/>
    <cellStyle name="Normal 268 3 2" xfId="23137" xr:uid="{00000000-0005-0000-0000-000061590000}"/>
    <cellStyle name="Normal 268 3 2 2" xfId="23138" xr:uid="{00000000-0005-0000-0000-000062590000}"/>
    <cellStyle name="Normal 268 3 2 2 2" xfId="23139" xr:uid="{00000000-0005-0000-0000-000063590000}"/>
    <cellStyle name="Normal 268 3 2 3" xfId="23140" xr:uid="{00000000-0005-0000-0000-000064590000}"/>
    <cellStyle name="Normal 268 3 2 3 2" xfId="23141" xr:uid="{00000000-0005-0000-0000-000065590000}"/>
    <cellStyle name="Normal 268 3 2 3 2 2" xfId="23142" xr:uid="{00000000-0005-0000-0000-000066590000}"/>
    <cellStyle name="Normal 268 3 2 3 3" xfId="23143" xr:uid="{00000000-0005-0000-0000-000067590000}"/>
    <cellStyle name="Normal 268 3 2 4" xfId="23144" xr:uid="{00000000-0005-0000-0000-000068590000}"/>
    <cellStyle name="Normal 268 3 3" xfId="23145" xr:uid="{00000000-0005-0000-0000-000069590000}"/>
    <cellStyle name="Normal 268 3 3 2" xfId="23146" xr:uid="{00000000-0005-0000-0000-00006A590000}"/>
    <cellStyle name="Normal 268 3 3 2 2" xfId="23147" xr:uid="{00000000-0005-0000-0000-00006B590000}"/>
    <cellStyle name="Normal 268 3 3 3" xfId="23148" xr:uid="{00000000-0005-0000-0000-00006C590000}"/>
    <cellStyle name="Normal 268 3 4" xfId="23149" xr:uid="{00000000-0005-0000-0000-00006D590000}"/>
    <cellStyle name="Normal 268 3 4 2" xfId="23150" xr:uid="{00000000-0005-0000-0000-00006E590000}"/>
    <cellStyle name="Normal 268 3 4 2 2" xfId="23151" xr:uid="{00000000-0005-0000-0000-00006F590000}"/>
    <cellStyle name="Normal 268 3 4 3" xfId="23152" xr:uid="{00000000-0005-0000-0000-000070590000}"/>
    <cellStyle name="Normal 268 3 5" xfId="23153" xr:uid="{00000000-0005-0000-0000-000071590000}"/>
    <cellStyle name="Normal 268 3 5 2" xfId="23154" xr:uid="{00000000-0005-0000-0000-000072590000}"/>
    <cellStyle name="Normal 268 3 5 2 2" xfId="23155" xr:uid="{00000000-0005-0000-0000-000073590000}"/>
    <cellStyle name="Normal 268 3 5 3" xfId="23156" xr:uid="{00000000-0005-0000-0000-000074590000}"/>
    <cellStyle name="Normal 268 3 6" xfId="23157" xr:uid="{00000000-0005-0000-0000-000075590000}"/>
    <cellStyle name="Normal 268 4" xfId="23158" xr:uid="{00000000-0005-0000-0000-000076590000}"/>
    <cellStyle name="Normal 268 4 2" xfId="23159" xr:uid="{00000000-0005-0000-0000-000077590000}"/>
    <cellStyle name="Normal 268 4 2 2" xfId="23160" xr:uid="{00000000-0005-0000-0000-000078590000}"/>
    <cellStyle name="Normal 268 4 3" xfId="23161" xr:uid="{00000000-0005-0000-0000-000079590000}"/>
    <cellStyle name="Normal 268 5" xfId="23162" xr:uid="{00000000-0005-0000-0000-00007A590000}"/>
    <cellStyle name="Normal 268 5 2" xfId="23163" xr:uid="{00000000-0005-0000-0000-00007B590000}"/>
    <cellStyle name="Normal 268 5 2 2" xfId="23164" xr:uid="{00000000-0005-0000-0000-00007C590000}"/>
    <cellStyle name="Normal 268 5 3" xfId="23165" xr:uid="{00000000-0005-0000-0000-00007D590000}"/>
    <cellStyle name="Normal 268 6" xfId="23166" xr:uid="{00000000-0005-0000-0000-00007E590000}"/>
    <cellStyle name="Normal 268 6 2" xfId="23167" xr:uid="{00000000-0005-0000-0000-00007F590000}"/>
    <cellStyle name="Normal 268 6 2 2" xfId="23168" xr:uid="{00000000-0005-0000-0000-000080590000}"/>
    <cellStyle name="Normal 268 6 3" xfId="23169" xr:uid="{00000000-0005-0000-0000-000081590000}"/>
    <cellStyle name="Normal 268 7" xfId="23170" xr:uid="{00000000-0005-0000-0000-000082590000}"/>
    <cellStyle name="Normal 269" xfId="23171" xr:uid="{00000000-0005-0000-0000-000083590000}"/>
    <cellStyle name="Normal 269 2" xfId="23172" xr:uid="{00000000-0005-0000-0000-000084590000}"/>
    <cellStyle name="Normal 269 2 2" xfId="23173" xr:uid="{00000000-0005-0000-0000-000085590000}"/>
    <cellStyle name="Normal 269 2 2 2" xfId="23174" xr:uid="{00000000-0005-0000-0000-000086590000}"/>
    <cellStyle name="Normal 269 2 3" xfId="23175" xr:uid="{00000000-0005-0000-0000-000087590000}"/>
    <cellStyle name="Normal 269 2 3 2" xfId="23176" xr:uid="{00000000-0005-0000-0000-000088590000}"/>
    <cellStyle name="Normal 269 2 3 2 2" xfId="23177" xr:uid="{00000000-0005-0000-0000-000089590000}"/>
    <cellStyle name="Normal 269 2 3 3" xfId="23178" xr:uid="{00000000-0005-0000-0000-00008A590000}"/>
    <cellStyle name="Normal 269 2 4" xfId="23179" xr:uid="{00000000-0005-0000-0000-00008B590000}"/>
    <cellStyle name="Normal 269 2 4 2" xfId="23180" xr:uid="{00000000-0005-0000-0000-00008C590000}"/>
    <cellStyle name="Normal 269 2 4 2 2" xfId="23181" xr:uid="{00000000-0005-0000-0000-00008D590000}"/>
    <cellStyle name="Normal 269 2 4 3" xfId="23182" xr:uid="{00000000-0005-0000-0000-00008E590000}"/>
    <cellStyle name="Normal 269 2 5" xfId="23183" xr:uid="{00000000-0005-0000-0000-00008F590000}"/>
    <cellStyle name="Normal 269 3" xfId="23184" xr:uid="{00000000-0005-0000-0000-000090590000}"/>
    <cellStyle name="Normal 269 3 2" xfId="23185" xr:uid="{00000000-0005-0000-0000-000091590000}"/>
    <cellStyle name="Normal 269 3 2 2" xfId="23186" xr:uid="{00000000-0005-0000-0000-000092590000}"/>
    <cellStyle name="Normal 269 3 2 2 2" xfId="23187" xr:uid="{00000000-0005-0000-0000-000093590000}"/>
    <cellStyle name="Normal 269 3 2 3" xfId="23188" xr:uid="{00000000-0005-0000-0000-000094590000}"/>
    <cellStyle name="Normal 269 3 2 3 2" xfId="23189" xr:uid="{00000000-0005-0000-0000-000095590000}"/>
    <cellStyle name="Normal 269 3 2 3 2 2" xfId="23190" xr:uid="{00000000-0005-0000-0000-000096590000}"/>
    <cellStyle name="Normal 269 3 2 3 3" xfId="23191" xr:uid="{00000000-0005-0000-0000-000097590000}"/>
    <cellStyle name="Normal 269 3 2 4" xfId="23192" xr:uid="{00000000-0005-0000-0000-000098590000}"/>
    <cellStyle name="Normal 269 3 3" xfId="23193" xr:uid="{00000000-0005-0000-0000-000099590000}"/>
    <cellStyle name="Normal 269 3 3 2" xfId="23194" xr:uid="{00000000-0005-0000-0000-00009A590000}"/>
    <cellStyle name="Normal 269 3 3 2 2" xfId="23195" xr:uid="{00000000-0005-0000-0000-00009B590000}"/>
    <cellStyle name="Normal 269 3 3 3" xfId="23196" xr:uid="{00000000-0005-0000-0000-00009C590000}"/>
    <cellStyle name="Normal 269 3 4" xfId="23197" xr:uid="{00000000-0005-0000-0000-00009D590000}"/>
    <cellStyle name="Normal 269 3 4 2" xfId="23198" xr:uid="{00000000-0005-0000-0000-00009E590000}"/>
    <cellStyle name="Normal 269 3 4 2 2" xfId="23199" xr:uid="{00000000-0005-0000-0000-00009F590000}"/>
    <cellStyle name="Normal 269 3 4 3" xfId="23200" xr:uid="{00000000-0005-0000-0000-0000A0590000}"/>
    <cellStyle name="Normal 269 3 5" xfId="23201" xr:uid="{00000000-0005-0000-0000-0000A1590000}"/>
    <cellStyle name="Normal 269 3 5 2" xfId="23202" xr:uid="{00000000-0005-0000-0000-0000A2590000}"/>
    <cellStyle name="Normal 269 3 5 2 2" xfId="23203" xr:uid="{00000000-0005-0000-0000-0000A3590000}"/>
    <cellStyle name="Normal 269 3 5 3" xfId="23204" xr:uid="{00000000-0005-0000-0000-0000A4590000}"/>
    <cellStyle name="Normal 269 3 6" xfId="23205" xr:uid="{00000000-0005-0000-0000-0000A5590000}"/>
    <cellStyle name="Normal 269 4" xfId="23206" xr:uid="{00000000-0005-0000-0000-0000A6590000}"/>
    <cellStyle name="Normal 269 4 2" xfId="23207" xr:uid="{00000000-0005-0000-0000-0000A7590000}"/>
    <cellStyle name="Normal 269 4 2 2" xfId="23208" xr:uid="{00000000-0005-0000-0000-0000A8590000}"/>
    <cellStyle name="Normal 269 4 3" xfId="23209" xr:uid="{00000000-0005-0000-0000-0000A9590000}"/>
    <cellStyle name="Normal 269 5" xfId="23210" xr:uid="{00000000-0005-0000-0000-0000AA590000}"/>
    <cellStyle name="Normal 269 5 2" xfId="23211" xr:uid="{00000000-0005-0000-0000-0000AB590000}"/>
    <cellStyle name="Normal 269 5 2 2" xfId="23212" xr:uid="{00000000-0005-0000-0000-0000AC590000}"/>
    <cellStyle name="Normal 269 5 3" xfId="23213" xr:uid="{00000000-0005-0000-0000-0000AD590000}"/>
    <cellStyle name="Normal 269 6" xfId="23214" xr:uid="{00000000-0005-0000-0000-0000AE590000}"/>
    <cellStyle name="Normal 269 6 2" xfId="23215" xr:uid="{00000000-0005-0000-0000-0000AF590000}"/>
    <cellStyle name="Normal 269 6 2 2" xfId="23216" xr:uid="{00000000-0005-0000-0000-0000B0590000}"/>
    <cellStyle name="Normal 269 6 3" xfId="23217" xr:uid="{00000000-0005-0000-0000-0000B1590000}"/>
    <cellStyle name="Normal 269 7" xfId="23218" xr:uid="{00000000-0005-0000-0000-0000B2590000}"/>
    <cellStyle name="Normal 27" xfId="23219" xr:uid="{00000000-0005-0000-0000-0000B3590000}"/>
    <cellStyle name="Normal 27 2" xfId="23220" xr:uid="{00000000-0005-0000-0000-0000B4590000}"/>
    <cellStyle name="Normal 27 2 2" xfId="23221" xr:uid="{00000000-0005-0000-0000-0000B5590000}"/>
    <cellStyle name="Normal 27 2 2 2" xfId="23222" xr:uid="{00000000-0005-0000-0000-0000B6590000}"/>
    <cellStyle name="Normal 27 2 2 2 2" xfId="23223" xr:uid="{00000000-0005-0000-0000-0000B7590000}"/>
    <cellStyle name="Normal 27 2 2 3" xfId="23224" xr:uid="{00000000-0005-0000-0000-0000B8590000}"/>
    <cellStyle name="Normal 27 2 2 3 2" xfId="23225" xr:uid="{00000000-0005-0000-0000-0000B9590000}"/>
    <cellStyle name="Normal 27 2 2 3 2 2" xfId="23226" xr:uid="{00000000-0005-0000-0000-0000BA590000}"/>
    <cellStyle name="Normal 27 2 2 3 3" xfId="23227" xr:uid="{00000000-0005-0000-0000-0000BB590000}"/>
    <cellStyle name="Normal 27 2 2 4" xfId="23228" xr:uid="{00000000-0005-0000-0000-0000BC590000}"/>
    <cellStyle name="Normal 27 2 2 4 2" xfId="23229" xr:uid="{00000000-0005-0000-0000-0000BD590000}"/>
    <cellStyle name="Normal 27 2 2 4 2 2" xfId="23230" xr:uid="{00000000-0005-0000-0000-0000BE590000}"/>
    <cellStyle name="Normal 27 2 2 4 3" xfId="23231" xr:uid="{00000000-0005-0000-0000-0000BF590000}"/>
    <cellStyle name="Normal 27 2 2 5" xfId="23232" xr:uid="{00000000-0005-0000-0000-0000C0590000}"/>
    <cellStyle name="Normal 27 2 3" xfId="23233" xr:uid="{00000000-0005-0000-0000-0000C1590000}"/>
    <cellStyle name="Normal 27 2 3 2" xfId="23234" xr:uid="{00000000-0005-0000-0000-0000C2590000}"/>
    <cellStyle name="Normal 27 2 3 2 2" xfId="23235" xr:uid="{00000000-0005-0000-0000-0000C3590000}"/>
    <cellStyle name="Normal 27 2 3 3" xfId="23236" xr:uid="{00000000-0005-0000-0000-0000C4590000}"/>
    <cellStyle name="Normal 27 2 4" xfId="23237" xr:uid="{00000000-0005-0000-0000-0000C5590000}"/>
    <cellStyle name="Normal 27 2 4 2" xfId="23238" xr:uid="{00000000-0005-0000-0000-0000C6590000}"/>
    <cellStyle name="Normal 27 2 4 2 2" xfId="23239" xr:uid="{00000000-0005-0000-0000-0000C7590000}"/>
    <cellStyle name="Normal 27 2 4 3" xfId="23240" xr:uid="{00000000-0005-0000-0000-0000C8590000}"/>
    <cellStyle name="Normal 27 2 5" xfId="23241" xr:uid="{00000000-0005-0000-0000-0000C9590000}"/>
    <cellStyle name="Normal 27 2 5 2" xfId="23242" xr:uid="{00000000-0005-0000-0000-0000CA590000}"/>
    <cellStyle name="Normal 27 2 5 2 2" xfId="23243" xr:uid="{00000000-0005-0000-0000-0000CB590000}"/>
    <cellStyle name="Normal 27 2 5 3" xfId="23244" xr:uid="{00000000-0005-0000-0000-0000CC590000}"/>
    <cellStyle name="Normal 27 2 6" xfId="23245" xr:uid="{00000000-0005-0000-0000-0000CD590000}"/>
    <cellStyle name="Normal 27 3" xfId="23246" xr:uid="{00000000-0005-0000-0000-0000CE590000}"/>
    <cellStyle name="Normal 27 3 2" xfId="23247" xr:uid="{00000000-0005-0000-0000-0000CF590000}"/>
    <cellStyle name="Normal 27 3 2 2" xfId="23248" xr:uid="{00000000-0005-0000-0000-0000D0590000}"/>
    <cellStyle name="Normal 27 3 3" xfId="23249" xr:uid="{00000000-0005-0000-0000-0000D1590000}"/>
    <cellStyle name="Normal 27 3 3 2" xfId="23250" xr:uid="{00000000-0005-0000-0000-0000D2590000}"/>
    <cellStyle name="Normal 27 3 3 2 2" xfId="23251" xr:uid="{00000000-0005-0000-0000-0000D3590000}"/>
    <cellStyle name="Normal 27 3 3 3" xfId="23252" xr:uid="{00000000-0005-0000-0000-0000D4590000}"/>
    <cellStyle name="Normal 27 3 4" xfId="23253" xr:uid="{00000000-0005-0000-0000-0000D5590000}"/>
    <cellStyle name="Normal 27 3 4 2" xfId="23254" xr:uid="{00000000-0005-0000-0000-0000D6590000}"/>
    <cellStyle name="Normal 27 3 4 2 2" xfId="23255" xr:uid="{00000000-0005-0000-0000-0000D7590000}"/>
    <cellStyle name="Normal 27 3 4 3" xfId="23256" xr:uid="{00000000-0005-0000-0000-0000D8590000}"/>
    <cellStyle name="Normal 27 3 5" xfId="23257" xr:uid="{00000000-0005-0000-0000-0000D9590000}"/>
    <cellStyle name="Normal 27 4" xfId="23258" xr:uid="{00000000-0005-0000-0000-0000DA590000}"/>
    <cellStyle name="Normal 27 4 2" xfId="23259" xr:uid="{00000000-0005-0000-0000-0000DB590000}"/>
    <cellStyle name="Normal 27 4 2 2" xfId="23260" xr:uid="{00000000-0005-0000-0000-0000DC590000}"/>
    <cellStyle name="Normal 27 4 3" xfId="23261" xr:uid="{00000000-0005-0000-0000-0000DD590000}"/>
    <cellStyle name="Normal 27 4 3 2" xfId="23262" xr:uid="{00000000-0005-0000-0000-0000DE590000}"/>
    <cellStyle name="Normal 27 4 3 2 2" xfId="23263" xr:uid="{00000000-0005-0000-0000-0000DF590000}"/>
    <cellStyle name="Normal 27 4 3 3" xfId="23264" xr:uid="{00000000-0005-0000-0000-0000E0590000}"/>
    <cellStyle name="Normal 27 4 4" xfId="23265" xr:uid="{00000000-0005-0000-0000-0000E1590000}"/>
    <cellStyle name="Normal 27 4 4 2" xfId="23266" xr:uid="{00000000-0005-0000-0000-0000E2590000}"/>
    <cellStyle name="Normal 27 4 4 2 2" xfId="23267" xr:uid="{00000000-0005-0000-0000-0000E3590000}"/>
    <cellStyle name="Normal 27 4 4 3" xfId="23268" xr:uid="{00000000-0005-0000-0000-0000E4590000}"/>
    <cellStyle name="Normal 27 4 5" xfId="23269" xr:uid="{00000000-0005-0000-0000-0000E5590000}"/>
    <cellStyle name="Normal 27 5" xfId="23270" xr:uid="{00000000-0005-0000-0000-0000E6590000}"/>
    <cellStyle name="Normal 27 5 2" xfId="23271" xr:uid="{00000000-0005-0000-0000-0000E7590000}"/>
    <cellStyle name="Normal 27 5 2 2" xfId="23272" xr:uid="{00000000-0005-0000-0000-0000E8590000}"/>
    <cellStyle name="Normal 27 5 3" xfId="23273" xr:uid="{00000000-0005-0000-0000-0000E9590000}"/>
    <cellStyle name="Normal 27 6" xfId="23274" xr:uid="{00000000-0005-0000-0000-0000EA590000}"/>
    <cellStyle name="Normal 27 6 2" xfId="23275" xr:uid="{00000000-0005-0000-0000-0000EB590000}"/>
    <cellStyle name="Normal 27 6 2 2" xfId="23276" xr:uid="{00000000-0005-0000-0000-0000EC590000}"/>
    <cellStyle name="Normal 27 6 3" xfId="23277" xr:uid="{00000000-0005-0000-0000-0000ED590000}"/>
    <cellStyle name="Normal 27 7" xfId="23278" xr:uid="{00000000-0005-0000-0000-0000EE590000}"/>
    <cellStyle name="Normal 27 7 2" xfId="23279" xr:uid="{00000000-0005-0000-0000-0000EF590000}"/>
    <cellStyle name="Normal 27 7 2 2" xfId="23280" xr:uid="{00000000-0005-0000-0000-0000F0590000}"/>
    <cellStyle name="Normal 27 7 3" xfId="23281" xr:uid="{00000000-0005-0000-0000-0000F1590000}"/>
    <cellStyle name="Normal 27 8" xfId="23282" xr:uid="{00000000-0005-0000-0000-0000F2590000}"/>
    <cellStyle name="Normal 270" xfId="23283" xr:uid="{00000000-0005-0000-0000-0000F3590000}"/>
    <cellStyle name="Normal 270 2" xfId="23284" xr:uid="{00000000-0005-0000-0000-0000F4590000}"/>
    <cellStyle name="Normal 270 2 2" xfId="23285" xr:uid="{00000000-0005-0000-0000-0000F5590000}"/>
    <cellStyle name="Normal 270 2 2 2" xfId="23286" xr:uid="{00000000-0005-0000-0000-0000F6590000}"/>
    <cellStyle name="Normal 270 2 3" xfId="23287" xr:uid="{00000000-0005-0000-0000-0000F7590000}"/>
    <cellStyle name="Normal 270 2 3 2" xfId="23288" xr:uid="{00000000-0005-0000-0000-0000F8590000}"/>
    <cellStyle name="Normal 270 2 3 2 2" xfId="23289" xr:uid="{00000000-0005-0000-0000-0000F9590000}"/>
    <cellStyle name="Normal 270 2 3 3" xfId="23290" xr:uid="{00000000-0005-0000-0000-0000FA590000}"/>
    <cellStyle name="Normal 270 2 4" xfId="23291" xr:uid="{00000000-0005-0000-0000-0000FB590000}"/>
    <cellStyle name="Normal 270 2 4 2" xfId="23292" xr:uid="{00000000-0005-0000-0000-0000FC590000}"/>
    <cellStyle name="Normal 270 2 4 2 2" xfId="23293" xr:uid="{00000000-0005-0000-0000-0000FD590000}"/>
    <cellStyle name="Normal 270 2 4 3" xfId="23294" xr:uid="{00000000-0005-0000-0000-0000FE590000}"/>
    <cellStyle name="Normal 270 2 5" xfId="23295" xr:uid="{00000000-0005-0000-0000-0000FF590000}"/>
    <cellStyle name="Normal 270 3" xfId="23296" xr:uid="{00000000-0005-0000-0000-0000005A0000}"/>
    <cellStyle name="Normal 270 3 2" xfId="23297" xr:uid="{00000000-0005-0000-0000-0000015A0000}"/>
    <cellStyle name="Normal 270 3 2 2" xfId="23298" xr:uid="{00000000-0005-0000-0000-0000025A0000}"/>
    <cellStyle name="Normal 270 3 2 2 2" xfId="23299" xr:uid="{00000000-0005-0000-0000-0000035A0000}"/>
    <cellStyle name="Normal 270 3 2 3" xfId="23300" xr:uid="{00000000-0005-0000-0000-0000045A0000}"/>
    <cellStyle name="Normal 270 3 2 3 2" xfId="23301" xr:uid="{00000000-0005-0000-0000-0000055A0000}"/>
    <cellStyle name="Normal 270 3 2 3 2 2" xfId="23302" xr:uid="{00000000-0005-0000-0000-0000065A0000}"/>
    <cellStyle name="Normal 270 3 2 3 3" xfId="23303" xr:uid="{00000000-0005-0000-0000-0000075A0000}"/>
    <cellStyle name="Normal 270 3 2 4" xfId="23304" xr:uid="{00000000-0005-0000-0000-0000085A0000}"/>
    <cellStyle name="Normal 270 3 3" xfId="23305" xr:uid="{00000000-0005-0000-0000-0000095A0000}"/>
    <cellStyle name="Normal 270 3 3 2" xfId="23306" xr:uid="{00000000-0005-0000-0000-00000A5A0000}"/>
    <cellStyle name="Normal 270 3 3 2 2" xfId="23307" xr:uid="{00000000-0005-0000-0000-00000B5A0000}"/>
    <cellStyle name="Normal 270 3 3 3" xfId="23308" xr:uid="{00000000-0005-0000-0000-00000C5A0000}"/>
    <cellStyle name="Normal 270 3 4" xfId="23309" xr:uid="{00000000-0005-0000-0000-00000D5A0000}"/>
    <cellStyle name="Normal 270 3 4 2" xfId="23310" xr:uid="{00000000-0005-0000-0000-00000E5A0000}"/>
    <cellStyle name="Normal 270 3 4 2 2" xfId="23311" xr:uid="{00000000-0005-0000-0000-00000F5A0000}"/>
    <cellStyle name="Normal 270 3 4 3" xfId="23312" xr:uid="{00000000-0005-0000-0000-0000105A0000}"/>
    <cellStyle name="Normal 270 3 5" xfId="23313" xr:uid="{00000000-0005-0000-0000-0000115A0000}"/>
    <cellStyle name="Normal 270 3 5 2" xfId="23314" xr:uid="{00000000-0005-0000-0000-0000125A0000}"/>
    <cellStyle name="Normal 270 3 5 2 2" xfId="23315" xr:uid="{00000000-0005-0000-0000-0000135A0000}"/>
    <cellStyle name="Normal 270 3 5 3" xfId="23316" xr:uid="{00000000-0005-0000-0000-0000145A0000}"/>
    <cellStyle name="Normal 270 3 6" xfId="23317" xr:uid="{00000000-0005-0000-0000-0000155A0000}"/>
    <cellStyle name="Normal 270 4" xfId="23318" xr:uid="{00000000-0005-0000-0000-0000165A0000}"/>
    <cellStyle name="Normal 270 4 2" xfId="23319" xr:uid="{00000000-0005-0000-0000-0000175A0000}"/>
    <cellStyle name="Normal 270 4 2 2" xfId="23320" xr:uid="{00000000-0005-0000-0000-0000185A0000}"/>
    <cellStyle name="Normal 270 4 3" xfId="23321" xr:uid="{00000000-0005-0000-0000-0000195A0000}"/>
    <cellStyle name="Normal 270 5" xfId="23322" xr:uid="{00000000-0005-0000-0000-00001A5A0000}"/>
    <cellStyle name="Normal 270 5 2" xfId="23323" xr:uid="{00000000-0005-0000-0000-00001B5A0000}"/>
    <cellStyle name="Normal 270 5 2 2" xfId="23324" xr:uid="{00000000-0005-0000-0000-00001C5A0000}"/>
    <cellStyle name="Normal 270 5 3" xfId="23325" xr:uid="{00000000-0005-0000-0000-00001D5A0000}"/>
    <cellStyle name="Normal 270 6" xfId="23326" xr:uid="{00000000-0005-0000-0000-00001E5A0000}"/>
    <cellStyle name="Normal 270 6 2" xfId="23327" xr:uid="{00000000-0005-0000-0000-00001F5A0000}"/>
    <cellStyle name="Normal 270 6 2 2" xfId="23328" xr:uid="{00000000-0005-0000-0000-0000205A0000}"/>
    <cellStyle name="Normal 270 6 3" xfId="23329" xr:uid="{00000000-0005-0000-0000-0000215A0000}"/>
    <cellStyle name="Normal 270 7" xfId="23330" xr:uid="{00000000-0005-0000-0000-0000225A0000}"/>
    <cellStyle name="Normal 271" xfId="23331" xr:uid="{00000000-0005-0000-0000-0000235A0000}"/>
    <cellStyle name="Normal 271 2" xfId="23332" xr:uid="{00000000-0005-0000-0000-0000245A0000}"/>
    <cellStyle name="Normal 271 2 2" xfId="23333" xr:uid="{00000000-0005-0000-0000-0000255A0000}"/>
    <cellStyle name="Normal 271 2 2 2" xfId="23334" xr:uid="{00000000-0005-0000-0000-0000265A0000}"/>
    <cellStyle name="Normal 271 2 3" xfId="23335" xr:uid="{00000000-0005-0000-0000-0000275A0000}"/>
    <cellStyle name="Normal 271 2 3 2" xfId="23336" xr:uid="{00000000-0005-0000-0000-0000285A0000}"/>
    <cellStyle name="Normal 271 2 3 2 2" xfId="23337" xr:uid="{00000000-0005-0000-0000-0000295A0000}"/>
    <cellStyle name="Normal 271 2 3 3" xfId="23338" xr:uid="{00000000-0005-0000-0000-00002A5A0000}"/>
    <cellStyle name="Normal 271 2 4" xfId="23339" xr:uid="{00000000-0005-0000-0000-00002B5A0000}"/>
    <cellStyle name="Normal 271 2 4 2" xfId="23340" xr:uid="{00000000-0005-0000-0000-00002C5A0000}"/>
    <cellStyle name="Normal 271 2 4 2 2" xfId="23341" xr:uid="{00000000-0005-0000-0000-00002D5A0000}"/>
    <cellStyle name="Normal 271 2 4 3" xfId="23342" xr:uid="{00000000-0005-0000-0000-00002E5A0000}"/>
    <cellStyle name="Normal 271 2 5" xfId="23343" xr:uid="{00000000-0005-0000-0000-00002F5A0000}"/>
    <cellStyle name="Normal 271 3" xfId="23344" xr:uid="{00000000-0005-0000-0000-0000305A0000}"/>
    <cellStyle name="Normal 271 3 2" xfId="23345" xr:uid="{00000000-0005-0000-0000-0000315A0000}"/>
    <cellStyle name="Normal 271 3 2 2" xfId="23346" xr:uid="{00000000-0005-0000-0000-0000325A0000}"/>
    <cellStyle name="Normal 271 3 2 2 2" xfId="23347" xr:uid="{00000000-0005-0000-0000-0000335A0000}"/>
    <cellStyle name="Normal 271 3 2 3" xfId="23348" xr:uid="{00000000-0005-0000-0000-0000345A0000}"/>
    <cellStyle name="Normal 271 3 2 3 2" xfId="23349" xr:uid="{00000000-0005-0000-0000-0000355A0000}"/>
    <cellStyle name="Normal 271 3 2 3 2 2" xfId="23350" xr:uid="{00000000-0005-0000-0000-0000365A0000}"/>
    <cellStyle name="Normal 271 3 2 3 3" xfId="23351" xr:uid="{00000000-0005-0000-0000-0000375A0000}"/>
    <cellStyle name="Normal 271 3 2 4" xfId="23352" xr:uid="{00000000-0005-0000-0000-0000385A0000}"/>
    <cellStyle name="Normal 271 3 3" xfId="23353" xr:uid="{00000000-0005-0000-0000-0000395A0000}"/>
    <cellStyle name="Normal 271 3 3 2" xfId="23354" xr:uid="{00000000-0005-0000-0000-00003A5A0000}"/>
    <cellStyle name="Normal 271 3 3 2 2" xfId="23355" xr:uid="{00000000-0005-0000-0000-00003B5A0000}"/>
    <cellStyle name="Normal 271 3 3 3" xfId="23356" xr:uid="{00000000-0005-0000-0000-00003C5A0000}"/>
    <cellStyle name="Normal 271 3 4" xfId="23357" xr:uid="{00000000-0005-0000-0000-00003D5A0000}"/>
    <cellStyle name="Normal 271 3 4 2" xfId="23358" xr:uid="{00000000-0005-0000-0000-00003E5A0000}"/>
    <cellStyle name="Normal 271 3 4 2 2" xfId="23359" xr:uid="{00000000-0005-0000-0000-00003F5A0000}"/>
    <cellStyle name="Normal 271 3 4 3" xfId="23360" xr:uid="{00000000-0005-0000-0000-0000405A0000}"/>
    <cellStyle name="Normal 271 3 5" xfId="23361" xr:uid="{00000000-0005-0000-0000-0000415A0000}"/>
    <cellStyle name="Normal 271 3 5 2" xfId="23362" xr:uid="{00000000-0005-0000-0000-0000425A0000}"/>
    <cellStyle name="Normal 271 3 5 2 2" xfId="23363" xr:uid="{00000000-0005-0000-0000-0000435A0000}"/>
    <cellStyle name="Normal 271 3 5 3" xfId="23364" xr:uid="{00000000-0005-0000-0000-0000445A0000}"/>
    <cellStyle name="Normal 271 3 6" xfId="23365" xr:uid="{00000000-0005-0000-0000-0000455A0000}"/>
    <cellStyle name="Normal 271 4" xfId="23366" xr:uid="{00000000-0005-0000-0000-0000465A0000}"/>
    <cellStyle name="Normal 271 4 2" xfId="23367" xr:uid="{00000000-0005-0000-0000-0000475A0000}"/>
    <cellStyle name="Normal 271 4 2 2" xfId="23368" xr:uid="{00000000-0005-0000-0000-0000485A0000}"/>
    <cellStyle name="Normal 271 4 3" xfId="23369" xr:uid="{00000000-0005-0000-0000-0000495A0000}"/>
    <cellStyle name="Normal 271 5" xfId="23370" xr:uid="{00000000-0005-0000-0000-00004A5A0000}"/>
    <cellStyle name="Normal 271 5 2" xfId="23371" xr:uid="{00000000-0005-0000-0000-00004B5A0000}"/>
    <cellStyle name="Normal 271 5 2 2" xfId="23372" xr:uid="{00000000-0005-0000-0000-00004C5A0000}"/>
    <cellStyle name="Normal 271 5 3" xfId="23373" xr:uid="{00000000-0005-0000-0000-00004D5A0000}"/>
    <cellStyle name="Normal 271 6" xfId="23374" xr:uid="{00000000-0005-0000-0000-00004E5A0000}"/>
    <cellStyle name="Normal 271 6 2" xfId="23375" xr:uid="{00000000-0005-0000-0000-00004F5A0000}"/>
    <cellStyle name="Normal 271 6 2 2" xfId="23376" xr:uid="{00000000-0005-0000-0000-0000505A0000}"/>
    <cellStyle name="Normal 271 6 3" xfId="23377" xr:uid="{00000000-0005-0000-0000-0000515A0000}"/>
    <cellStyle name="Normal 271 7" xfId="23378" xr:uid="{00000000-0005-0000-0000-0000525A0000}"/>
    <cellStyle name="Normal 272" xfId="23379" xr:uid="{00000000-0005-0000-0000-0000535A0000}"/>
    <cellStyle name="Normal 272 2" xfId="23380" xr:uid="{00000000-0005-0000-0000-0000545A0000}"/>
    <cellStyle name="Normal 272 2 2" xfId="23381" xr:uid="{00000000-0005-0000-0000-0000555A0000}"/>
    <cellStyle name="Normal 272 2 2 2" xfId="23382" xr:uid="{00000000-0005-0000-0000-0000565A0000}"/>
    <cellStyle name="Normal 272 2 3" xfId="23383" xr:uid="{00000000-0005-0000-0000-0000575A0000}"/>
    <cellStyle name="Normal 272 2 3 2" xfId="23384" xr:uid="{00000000-0005-0000-0000-0000585A0000}"/>
    <cellStyle name="Normal 272 2 3 2 2" xfId="23385" xr:uid="{00000000-0005-0000-0000-0000595A0000}"/>
    <cellStyle name="Normal 272 2 3 3" xfId="23386" xr:uid="{00000000-0005-0000-0000-00005A5A0000}"/>
    <cellStyle name="Normal 272 2 4" xfId="23387" xr:uid="{00000000-0005-0000-0000-00005B5A0000}"/>
    <cellStyle name="Normal 272 2 4 2" xfId="23388" xr:uid="{00000000-0005-0000-0000-00005C5A0000}"/>
    <cellStyle name="Normal 272 2 4 2 2" xfId="23389" xr:uid="{00000000-0005-0000-0000-00005D5A0000}"/>
    <cellStyle name="Normal 272 2 4 3" xfId="23390" xr:uid="{00000000-0005-0000-0000-00005E5A0000}"/>
    <cellStyle name="Normal 272 2 5" xfId="23391" xr:uid="{00000000-0005-0000-0000-00005F5A0000}"/>
    <cellStyle name="Normal 272 3" xfId="23392" xr:uid="{00000000-0005-0000-0000-0000605A0000}"/>
    <cellStyle name="Normal 272 3 2" xfId="23393" xr:uid="{00000000-0005-0000-0000-0000615A0000}"/>
    <cellStyle name="Normal 272 3 2 2" xfId="23394" xr:uid="{00000000-0005-0000-0000-0000625A0000}"/>
    <cellStyle name="Normal 272 3 2 2 2" xfId="23395" xr:uid="{00000000-0005-0000-0000-0000635A0000}"/>
    <cellStyle name="Normal 272 3 2 3" xfId="23396" xr:uid="{00000000-0005-0000-0000-0000645A0000}"/>
    <cellStyle name="Normal 272 3 2 3 2" xfId="23397" xr:uid="{00000000-0005-0000-0000-0000655A0000}"/>
    <cellStyle name="Normal 272 3 2 3 2 2" xfId="23398" xr:uid="{00000000-0005-0000-0000-0000665A0000}"/>
    <cellStyle name="Normal 272 3 2 3 3" xfId="23399" xr:uid="{00000000-0005-0000-0000-0000675A0000}"/>
    <cellStyle name="Normal 272 3 2 4" xfId="23400" xr:uid="{00000000-0005-0000-0000-0000685A0000}"/>
    <cellStyle name="Normal 272 3 3" xfId="23401" xr:uid="{00000000-0005-0000-0000-0000695A0000}"/>
    <cellStyle name="Normal 272 3 3 2" xfId="23402" xr:uid="{00000000-0005-0000-0000-00006A5A0000}"/>
    <cellStyle name="Normal 272 3 3 2 2" xfId="23403" xr:uid="{00000000-0005-0000-0000-00006B5A0000}"/>
    <cellStyle name="Normal 272 3 3 3" xfId="23404" xr:uid="{00000000-0005-0000-0000-00006C5A0000}"/>
    <cellStyle name="Normal 272 3 4" xfId="23405" xr:uid="{00000000-0005-0000-0000-00006D5A0000}"/>
    <cellStyle name="Normal 272 3 4 2" xfId="23406" xr:uid="{00000000-0005-0000-0000-00006E5A0000}"/>
    <cellStyle name="Normal 272 3 4 2 2" xfId="23407" xr:uid="{00000000-0005-0000-0000-00006F5A0000}"/>
    <cellStyle name="Normal 272 3 4 3" xfId="23408" xr:uid="{00000000-0005-0000-0000-0000705A0000}"/>
    <cellStyle name="Normal 272 3 5" xfId="23409" xr:uid="{00000000-0005-0000-0000-0000715A0000}"/>
    <cellStyle name="Normal 272 3 5 2" xfId="23410" xr:uid="{00000000-0005-0000-0000-0000725A0000}"/>
    <cellStyle name="Normal 272 3 5 2 2" xfId="23411" xr:uid="{00000000-0005-0000-0000-0000735A0000}"/>
    <cellStyle name="Normal 272 3 5 3" xfId="23412" xr:uid="{00000000-0005-0000-0000-0000745A0000}"/>
    <cellStyle name="Normal 272 3 6" xfId="23413" xr:uid="{00000000-0005-0000-0000-0000755A0000}"/>
    <cellStyle name="Normal 272 4" xfId="23414" xr:uid="{00000000-0005-0000-0000-0000765A0000}"/>
    <cellStyle name="Normal 272 4 2" xfId="23415" xr:uid="{00000000-0005-0000-0000-0000775A0000}"/>
    <cellStyle name="Normal 272 4 2 2" xfId="23416" xr:uid="{00000000-0005-0000-0000-0000785A0000}"/>
    <cellStyle name="Normal 272 4 3" xfId="23417" xr:uid="{00000000-0005-0000-0000-0000795A0000}"/>
    <cellStyle name="Normal 272 5" xfId="23418" xr:uid="{00000000-0005-0000-0000-00007A5A0000}"/>
    <cellStyle name="Normal 272 5 2" xfId="23419" xr:uid="{00000000-0005-0000-0000-00007B5A0000}"/>
    <cellStyle name="Normal 272 5 2 2" xfId="23420" xr:uid="{00000000-0005-0000-0000-00007C5A0000}"/>
    <cellStyle name="Normal 272 5 3" xfId="23421" xr:uid="{00000000-0005-0000-0000-00007D5A0000}"/>
    <cellStyle name="Normal 272 6" xfId="23422" xr:uid="{00000000-0005-0000-0000-00007E5A0000}"/>
    <cellStyle name="Normal 272 6 2" xfId="23423" xr:uid="{00000000-0005-0000-0000-00007F5A0000}"/>
    <cellStyle name="Normal 272 6 2 2" xfId="23424" xr:uid="{00000000-0005-0000-0000-0000805A0000}"/>
    <cellStyle name="Normal 272 6 3" xfId="23425" xr:uid="{00000000-0005-0000-0000-0000815A0000}"/>
    <cellStyle name="Normal 272 7" xfId="23426" xr:uid="{00000000-0005-0000-0000-0000825A0000}"/>
    <cellStyle name="Normal 273" xfId="23427" xr:uid="{00000000-0005-0000-0000-0000835A0000}"/>
    <cellStyle name="Normal 273 2" xfId="23428" xr:uid="{00000000-0005-0000-0000-0000845A0000}"/>
    <cellStyle name="Normal 273 2 2" xfId="23429" xr:uid="{00000000-0005-0000-0000-0000855A0000}"/>
    <cellStyle name="Normal 273 2 2 2" xfId="23430" xr:uid="{00000000-0005-0000-0000-0000865A0000}"/>
    <cellStyle name="Normal 273 2 3" xfId="23431" xr:uid="{00000000-0005-0000-0000-0000875A0000}"/>
    <cellStyle name="Normal 273 2 3 2" xfId="23432" xr:uid="{00000000-0005-0000-0000-0000885A0000}"/>
    <cellStyle name="Normal 273 2 3 2 2" xfId="23433" xr:uid="{00000000-0005-0000-0000-0000895A0000}"/>
    <cellStyle name="Normal 273 2 3 3" xfId="23434" xr:uid="{00000000-0005-0000-0000-00008A5A0000}"/>
    <cellStyle name="Normal 273 2 4" xfId="23435" xr:uid="{00000000-0005-0000-0000-00008B5A0000}"/>
    <cellStyle name="Normal 273 2 4 2" xfId="23436" xr:uid="{00000000-0005-0000-0000-00008C5A0000}"/>
    <cellStyle name="Normal 273 2 4 2 2" xfId="23437" xr:uid="{00000000-0005-0000-0000-00008D5A0000}"/>
    <cellStyle name="Normal 273 2 4 3" xfId="23438" xr:uid="{00000000-0005-0000-0000-00008E5A0000}"/>
    <cellStyle name="Normal 273 2 5" xfId="23439" xr:uid="{00000000-0005-0000-0000-00008F5A0000}"/>
    <cellStyle name="Normal 273 3" xfId="23440" xr:uid="{00000000-0005-0000-0000-0000905A0000}"/>
    <cellStyle name="Normal 273 3 2" xfId="23441" xr:uid="{00000000-0005-0000-0000-0000915A0000}"/>
    <cellStyle name="Normal 273 3 2 2" xfId="23442" xr:uid="{00000000-0005-0000-0000-0000925A0000}"/>
    <cellStyle name="Normal 273 3 2 2 2" xfId="23443" xr:uid="{00000000-0005-0000-0000-0000935A0000}"/>
    <cellStyle name="Normal 273 3 2 3" xfId="23444" xr:uid="{00000000-0005-0000-0000-0000945A0000}"/>
    <cellStyle name="Normal 273 3 2 3 2" xfId="23445" xr:uid="{00000000-0005-0000-0000-0000955A0000}"/>
    <cellStyle name="Normal 273 3 2 3 2 2" xfId="23446" xr:uid="{00000000-0005-0000-0000-0000965A0000}"/>
    <cellStyle name="Normal 273 3 2 3 3" xfId="23447" xr:uid="{00000000-0005-0000-0000-0000975A0000}"/>
    <cellStyle name="Normal 273 3 2 4" xfId="23448" xr:uid="{00000000-0005-0000-0000-0000985A0000}"/>
    <cellStyle name="Normal 273 3 3" xfId="23449" xr:uid="{00000000-0005-0000-0000-0000995A0000}"/>
    <cellStyle name="Normal 273 3 3 2" xfId="23450" xr:uid="{00000000-0005-0000-0000-00009A5A0000}"/>
    <cellStyle name="Normal 273 3 3 2 2" xfId="23451" xr:uid="{00000000-0005-0000-0000-00009B5A0000}"/>
    <cellStyle name="Normal 273 3 3 3" xfId="23452" xr:uid="{00000000-0005-0000-0000-00009C5A0000}"/>
    <cellStyle name="Normal 273 3 4" xfId="23453" xr:uid="{00000000-0005-0000-0000-00009D5A0000}"/>
    <cellStyle name="Normal 273 3 4 2" xfId="23454" xr:uid="{00000000-0005-0000-0000-00009E5A0000}"/>
    <cellStyle name="Normal 273 3 4 2 2" xfId="23455" xr:uid="{00000000-0005-0000-0000-00009F5A0000}"/>
    <cellStyle name="Normal 273 3 4 3" xfId="23456" xr:uid="{00000000-0005-0000-0000-0000A05A0000}"/>
    <cellStyle name="Normal 273 3 5" xfId="23457" xr:uid="{00000000-0005-0000-0000-0000A15A0000}"/>
    <cellStyle name="Normal 273 3 5 2" xfId="23458" xr:uid="{00000000-0005-0000-0000-0000A25A0000}"/>
    <cellStyle name="Normal 273 3 5 2 2" xfId="23459" xr:uid="{00000000-0005-0000-0000-0000A35A0000}"/>
    <cellStyle name="Normal 273 3 5 3" xfId="23460" xr:uid="{00000000-0005-0000-0000-0000A45A0000}"/>
    <cellStyle name="Normal 273 3 6" xfId="23461" xr:uid="{00000000-0005-0000-0000-0000A55A0000}"/>
    <cellStyle name="Normal 273 4" xfId="23462" xr:uid="{00000000-0005-0000-0000-0000A65A0000}"/>
    <cellStyle name="Normal 273 4 2" xfId="23463" xr:uid="{00000000-0005-0000-0000-0000A75A0000}"/>
    <cellStyle name="Normal 273 4 2 2" xfId="23464" xr:uid="{00000000-0005-0000-0000-0000A85A0000}"/>
    <cellStyle name="Normal 273 4 3" xfId="23465" xr:uid="{00000000-0005-0000-0000-0000A95A0000}"/>
    <cellStyle name="Normal 273 5" xfId="23466" xr:uid="{00000000-0005-0000-0000-0000AA5A0000}"/>
    <cellStyle name="Normal 273 5 2" xfId="23467" xr:uid="{00000000-0005-0000-0000-0000AB5A0000}"/>
    <cellStyle name="Normal 273 5 2 2" xfId="23468" xr:uid="{00000000-0005-0000-0000-0000AC5A0000}"/>
    <cellStyle name="Normal 273 5 3" xfId="23469" xr:uid="{00000000-0005-0000-0000-0000AD5A0000}"/>
    <cellStyle name="Normal 273 6" xfId="23470" xr:uid="{00000000-0005-0000-0000-0000AE5A0000}"/>
    <cellStyle name="Normal 273 6 2" xfId="23471" xr:uid="{00000000-0005-0000-0000-0000AF5A0000}"/>
    <cellStyle name="Normal 273 6 2 2" xfId="23472" xr:uid="{00000000-0005-0000-0000-0000B05A0000}"/>
    <cellStyle name="Normal 273 6 3" xfId="23473" xr:uid="{00000000-0005-0000-0000-0000B15A0000}"/>
    <cellStyle name="Normal 273 7" xfId="23474" xr:uid="{00000000-0005-0000-0000-0000B25A0000}"/>
    <cellStyle name="Normal 274" xfId="23475" xr:uid="{00000000-0005-0000-0000-0000B35A0000}"/>
    <cellStyle name="Normal 274 2" xfId="23476" xr:uid="{00000000-0005-0000-0000-0000B45A0000}"/>
    <cellStyle name="Normal 274 2 2" xfId="23477" xr:uid="{00000000-0005-0000-0000-0000B55A0000}"/>
    <cellStyle name="Normal 274 2 2 2" xfId="23478" xr:uid="{00000000-0005-0000-0000-0000B65A0000}"/>
    <cellStyle name="Normal 274 2 3" xfId="23479" xr:uid="{00000000-0005-0000-0000-0000B75A0000}"/>
    <cellStyle name="Normal 274 2 3 2" xfId="23480" xr:uid="{00000000-0005-0000-0000-0000B85A0000}"/>
    <cellStyle name="Normal 274 2 3 2 2" xfId="23481" xr:uid="{00000000-0005-0000-0000-0000B95A0000}"/>
    <cellStyle name="Normal 274 2 3 3" xfId="23482" xr:uid="{00000000-0005-0000-0000-0000BA5A0000}"/>
    <cellStyle name="Normal 274 2 4" xfId="23483" xr:uid="{00000000-0005-0000-0000-0000BB5A0000}"/>
    <cellStyle name="Normal 274 2 4 2" xfId="23484" xr:uid="{00000000-0005-0000-0000-0000BC5A0000}"/>
    <cellStyle name="Normal 274 2 4 2 2" xfId="23485" xr:uid="{00000000-0005-0000-0000-0000BD5A0000}"/>
    <cellStyle name="Normal 274 2 4 3" xfId="23486" xr:uid="{00000000-0005-0000-0000-0000BE5A0000}"/>
    <cellStyle name="Normal 274 2 5" xfId="23487" xr:uid="{00000000-0005-0000-0000-0000BF5A0000}"/>
    <cellStyle name="Normal 274 3" xfId="23488" xr:uid="{00000000-0005-0000-0000-0000C05A0000}"/>
    <cellStyle name="Normal 274 3 2" xfId="23489" xr:uid="{00000000-0005-0000-0000-0000C15A0000}"/>
    <cellStyle name="Normal 274 3 2 2" xfId="23490" xr:uid="{00000000-0005-0000-0000-0000C25A0000}"/>
    <cellStyle name="Normal 274 3 2 2 2" xfId="23491" xr:uid="{00000000-0005-0000-0000-0000C35A0000}"/>
    <cellStyle name="Normal 274 3 2 3" xfId="23492" xr:uid="{00000000-0005-0000-0000-0000C45A0000}"/>
    <cellStyle name="Normal 274 3 2 3 2" xfId="23493" xr:uid="{00000000-0005-0000-0000-0000C55A0000}"/>
    <cellStyle name="Normal 274 3 2 3 2 2" xfId="23494" xr:uid="{00000000-0005-0000-0000-0000C65A0000}"/>
    <cellStyle name="Normal 274 3 2 3 3" xfId="23495" xr:uid="{00000000-0005-0000-0000-0000C75A0000}"/>
    <cellStyle name="Normal 274 3 2 4" xfId="23496" xr:uid="{00000000-0005-0000-0000-0000C85A0000}"/>
    <cellStyle name="Normal 274 3 3" xfId="23497" xr:uid="{00000000-0005-0000-0000-0000C95A0000}"/>
    <cellStyle name="Normal 274 3 3 2" xfId="23498" xr:uid="{00000000-0005-0000-0000-0000CA5A0000}"/>
    <cellStyle name="Normal 274 3 3 2 2" xfId="23499" xr:uid="{00000000-0005-0000-0000-0000CB5A0000}"/>
    <cellStyle name="Normal 274 3 3 3" xfId="23500" xr:uid="{00000000-0005-0000-0000-0000CC5A0000}"/>
    <cellStyle name="Normal 274 3 4" xfId="23501" xr:uid="{00000000-0005-0000-0000-0000CD5A0000}"/>
    <cellStyle name="Normal 274 3 4 2" xfId="23502" xr:uid="{00000000-0005-0000-0000-0000CE5A0000}"/>
    <cellStyle name="Normal 274 3 4 2 2" xfId="23503" xr:uid="{00000000-0005-0000-0000-0000CF5A0000}"/>
    <cellStyle name="Normal 274 3 4 3" xfId="23504" xr:uid="{00000000-0005-0000-0000-0000D05A0000}"/>
    <cellStyle name="Normal 274 3 5" xfId="23505" xr:uid="{00000000-0005-0000-0000-0000D15A0000}"/>
    <cellStyle name="Normal 274 3 5 2" xfId="23506" xr:uid="{00000000-0005-0000-0000-0000D25A0000}"/>
    <cellStyle name="Normal 274 3 5 2 2" xfId="23507" xr:uid="{00000000-0005-0000-0000-0000D35A0000}"/>
    <cellStyle name="Normal 274 3 5 3" xfId="23508" xr:uid="{00000000-0005-0000-0000-0000D45A0000}"/>
    <cellStyle name="Normal 274 3 6" xfId="23509" xr:uid="{00000000-0005-0000-0000-0000D55A0000}"/>
    <cellStyle name="Normal 274 4" xfId="23510" xr:uid="{00000000-0005-0000-0000-0000D65A0000}"/>
    <cellStyle name="Normal 274 4 2" xfId="23511" xr:uid="{00000000-0005-0000-0000-0000D75A0000}"/>
    <cellStyle name="Normal 274 4 2 2" xfId="23512" xr:uid="{00000000-0005-0000-0000-0000D85A0000}"/>
    <cellStyle name="Normal 274 4 3" xfId="23513" xr:uid="{00000000-0005-0000-0000-0000D95A0000}"/>
    <cellStyle name="Normal 274 5" xfId="23514" xr:uid="{00000000-0005-0000-0000-0000DA5A0000}"/>
    <cellStyle name="Normal 274 5 2" xfId="23515" xr:uid="{00000000-0005-0000-0000-0000DB5A0000}"/>
    <cellStyle name="Normal 274 5 2 2" xfId="23516" xr:uid="{00000000-0005-0000-0000-0000DC5A0000}"/>
    <cellStyle name="Normal 274 5 3" xfId="23517" xr:uid="{00000000-0005-0000-0000-0000DD5A0000}"/>
    <cellStyle name="Normal 274 6" xfId="23518" xr:uid="{00000000-0005-0000-0000-0000DE5A0000}"/>
    <cellStyle name="Normal 274 6 2" xfId="23519" xr:uid="{00000000-0005-0000-0000-0000DF5A0000}"/>
    <cellStyle name="Normal 274 6 2 2" xfId="23520" xr:uid="{00000000-0005-0000-0000-0000E05A0000}"/>
    <cellStyle name="Normal 274 6 3" xfId="23521" xr:uid="{00000000-0005-0000-0000-0000E15A0000}"/>
    <cellStyle name="Normal 274 7" xfId="23522" xr:uid="{00000000-0005-0000-0000-0000E25A0000}"/>
    <cellStyle name="Normal 275" xfId="23523" xr:uid="{00000000-0005-0000-0000-0000E35A0000}"/>
    <cellStyle name="Normal 275 2" xfId="23524" xr:uid="{00000000-0005-0000-0000-0000E45A0000}"/>
    <cellStyle name="Normal 275 2 2" xfId="23525" xr:uid="{00000000-0005-0000-0000-0000E55A0000}"/>
    <cellStyle name="Normal 275 2 2 2" xfId="23526" xr:uid="{00000000-0005-0000-0000-0000E65A0000}"/>
    <cellStyle name="Normal 275 2 3" xfId="23527" xr:uid="{00000000-0005-0000-0000-0000E75A0000}"/>
    <cellStyle name="Normal 275 2 3 2" xfId="23528" xr:uid="{00000000-0005-0000-0000-0000E85A0000}"/>
    <cellStyle name="Normal 275 2 3 2 2" xfId="23529" xr:uid="{00000000-0005-0000-0000-0000E95A0000}"/>
    <cellStyle name="Normal 275 2 3 3" xfId="23530" xr:uid="{00000000-0005-0000-0000-0000EA5A0000}"/>
    <cellStyle name="Normal 275 2 4" xfId="23531" xr:uid="{00000000-0005-0000-0000-0000EB5A0000}"/>
    <cellStyle name="Normal 275 2 4 2" xfId="23532" xr:uid="{00000000-0005-0000-0000-0000EC5A0000}"/>
    <cellStyle name="Normal 275 2 4 2 2" xfId="23533" xr:uid="{00000000-0005-0000-0000-0000ED5A0000}"/>
    <cellStyle name="Normal 275 2 4 3" xfId="23534" xr:uid="{00000000-0005-0000-0000-0000EE5A0000}"/>
    <cellStyle name="Normal 275 2 5" xfId="23535" xr:uid="{00000000-0005-0000-0000-0000EF5A0000}"/>
    <cellStyle name="Normal 275 3" xfId="23536" xr:uid="{00000000-0005-0000-0000-0000F05A0000}"/>
    <cellStyle name="Normal 275 3 2" xfId="23537" xr:uid="{00000000-0005-0000-0000-0000F15A0000}"/>
    <cellStyle name="Normal 275 3 2 2" xfId="23538" xr:uid="{00000000-0005-0000-0000-0000F25A0000}"/>
    <cellStyle name="Normal 275 3 2 2 2" xfId="23539" xr:uid="{00000000-0005-0000-0000-0000F35A0000}"/>
    <cellStyle name="Normal 275 3 2 3" xfId="23540" xr:uid="{00000000-0005-0000-0000-0000F45A0000}"/>
    <cellStyle name="Normal 275 3 2 3 2" xfId="23541" xr:uid="{00000000-0005-0000-0000-0000F55A0000}"/>
    <cellStyle name="Normal 275 3 2 3 2 2" xfId="23542" xr:uid="{00000000-0005-0000-0000-0000F65A0000}"/>
    <cellStyle name="Normal 275 3 2 3 3" xfId="23543" xr:uid="{00000000-0005-0000-0000-0000F75A0000}"/>
    <cellStyle name="Normal 275 3 2 4" xfId="23544" xr:uid="{00000000-0005-0000-0000-0000F85A0000}"/>
    <cellStyle name="Normal 275 3 3" xfId="23545" xr:uid="{00000000-0005-0000-0000-0000F95A0000}"/>
    <cellStyle name="Normal 275 3 3 2" xfId="23546" xr:uid="{00000000-0005-0000-0000-0000FA5A0000}"/>
    <cellStyle name="Normal 275 3 3 2 2" xfId="23547" xr:uid="{00000000-0005-0000-0000-0000FB5A0000}"/>
    <cellStyle name="Normal 275 3 3 3" xfId="23548" xr:uid="{00000000-0005-0000-0000-0000FC5A0000}"/>
    <cellStyle name="Normal 275 3 4" xfId="23549" xr:uid="{00000000-0005-0000-0000-0000FD5A0000}"/>
    <cellStyle name="Normal 275 3 4 2" xfId="23550" xr:uid="{00000000-0005-0000-0000-0000FE5A0000}"/>
    <cellStyle name="Normal 275 3 4 2 2" xfId="23551" xr:uid="{00000000-0005-0000-0000-0000FF5A0000}"/>
    <cellStyle name="Normal 275 3 4 3" xfId="23552" xr:uid="{00000000-0005-0000-0000-0000005B0000}"/>
    <cellStyle name="Normal 275 3 5" xfId="23553" xr:uid="{00000000-0005-0000-0000-0000015B0000}"/>
    <cellStyle name="Normal 275 3 5 2" xfId="23554" xr:uid="{00000000-0005-0000-0000-0000025B0000}"/>
    <cellStyle name="Normal 275 3 5 2 2" xfId="23555" xr:uid="{00000000-0005-0000-0000-0000035B0000}"/>
    <cellStyle name="Normal 275 3 5 3" xfId="23556" xr:uid="{00000000-0005-0000-0000-0000045B0000}"/>
    <cellStyle name="Normal 275 3 6" xfId="23557" xr:uid="{00000000-0005-0000-0000-0000055B0000}"/>
    <cellStyle name="Normal 275 4" xfId="23558" xr:uid="{00000000-0005-0000-0000-0000065B0000}"/>
    <cellStyle name="Normal 275 4 2" xfId="23559" xr:uid="{00000000-0005-0000-0000-0000075B0000}"/>
    <cellStyle name="Normal 275 4 2 2" xfId="23560" xr:uid="{00000000-0005-0000-0000-0000085B0000}"/>
    <cellStyle name="Normal 275 4 3" xfId="23561" xr:uid="{00000000-0005-0000-0000-0000095B0000}"/>
    <cellStyle name="Normal 275 5" xfId="23562" xr:uid="{00000000-0005-0000-0000-00000A5B0000}"/>
    <cellStyle name="Normal 275 5 2" xfId="23563" xr:uid="{00000000-0005-0000-0000-00000B5B0000}"/>
    <cellStyle name="Normal 275 5 2 2" xfId="23564" xr:uid="{00000000-0005-0000-0000-00000C5B0000}"/>
    <cellStyle name="Normal 275 5 3" xfId="23565" xr:uid="{00000000-0005-0000-0000-00000D5B0000}"/>
    <cellStyle name="Normal 275 6" xfId="23566" xr:uid="{00000000-0005-0000-0000-00000E5B0000}"/>
    <cellStyle name="Normal 275 6 2" xfId="23567" xr:uid="{00000000-0005-0000-0000-00000F5B0000}"/>
    <cellStyle name="Normal 275 6 2 2" xfId="23568" xr:uid="{00000000-0005-0000-0000-0000105B0000}"/>
    <cellStyle name="Normal 275 6 3" xfId="23569" xr:uid="{00000000-0005-0000-0000-0000115B0000}"/>
    <cellStyle name="Normal 275 7" xfId="23570" xr:uid="{00000000-0005-0000-0000-0000125B0000}"/>
    <cellStyle name="Normal 276" xfId="23571" xr:uid="{00000000-0005-0000-0000-0000135B0000}"/>
    <cellStyle name="Normal 276 2" xfId="23572" xr:uid="{00000000-0005-0000-0000-0000145B0000}"/>
    <cellStyle name="Normal 276 2 2" xfId="23573" xr:uid="{00000000-0005-0000-0000-0000155B0000}"/>
    <cellStyle name="Normal 276 2 2 2" xfId="23574" xr:uid="{00000000-0005-0000-0000-0000165B0000}"/>
    <cellStyle name="Normal 276 2 3" xfId="23575" xr:uid="{00000000-0005-0000-0000-0000175B0000}"/>
    <cellStyle name="Normal 276 2 3 2" xfId="23576" xr:uid="{00000000-0005-0000-0000-0000185B0000}"/>
    <cellStyle name="Normal 276 2 3 2 2" xfId="23577" xr:uid="{00000000-0005-0000-0000-0000195B0000}"/>
    <cellStyle name="Normal 276 2 3 3" xfId="23578" xr:uid="{00000000-0005-0000-0000-00001A5B0000}"/>
    <cellStyle name="Normal 276 2 4" xfId="23579" xr:uid="{00000000-0005-0000-0000-00001B5B0000}"/>
    <cellStyle name="Normal 276 2 4 2" xfId="23580" xr:uid="{00000000-0005-0000-0000-00001C5B0000}"/>
    <cellStyle name="Normal 276 2 4 2 2" xfId="23581" xr:uid="{00000000-0005-0000-0000-00001D5B0000}"/>
    <cellStyle name="Normal 276 2 4 3" xfId="23582" xr:uid="{00000000-0005-0000-0000-00001E5B0000}"/>
    <cellStyle name="Normal 276 2 5" xfId="23583" xr:uid="{00000000-0005-0000-0000-00001F5B0000}"/>
    <cellStyle name="Normal 276 3" xfId="23584" xr:uid="{00000000-0005-0000-0000-0000205B0000}"/>
    <cellStyle name="Normal 276 3 2" xfId="23585" xr:uid="{00000000-0005-0000-0000-0000215B0000}"/>
    <cellStyle name="Normal 276 3 2 2" xfId="23586" xr:uid="{00000000-0005-0000-0000-0000225B0000}"/>
    <cellStyle name="Normal 276 3 2 2 2" xfId="23587" xr:uid="{00000000-0005-0000-0000-0000235B0000}"/>
    <cellStyle name="Normal 276 3 2 3" xfId="23588" xr:uid="{00000000-0005-0000-0000-0000245B0000}"/>
    <cellStyle name="Normal 276 3 2 3 2" xfId="23589" xr:uid="{00000000-0005-0000-0000-0000255B0000}"/>
    <cellStyle name="Normal 276 3 2 3 2 2" xfId="23590" xr:uid="{00000000-0005-0000-0000-0000265B0000}"/>
    <cellStyle name="Normal 276 3 2 3 3" xfId="23591" xr:uid="{00000000-0005-0000-0000-0000275B0000}"/>
    <cellStyle name="Normal 276 3 2 4" xfId="23592" xr:uid="{00000000-0005-0000-0000-0000285B0000}"/>
    <cellStyle name="Normal 276 3 3" xfId="23593" xr:uid="{00000000-0005-0000-0000-0000295B0000}"/>
    <cellStyle name="Normal 276 3 3 2" xfId="23594" xr:uid="{00000000-0005-0000-0000-00002A5B0000}"/>
    <cellStyle name="Normal 276 3 3 2 2" xfId="23595" xr:uid="{00000000-0005-0000-0000-00002B5B0000}"/>
    <cellStyle name="Normal 276 3 3 3" xfId="23596" xr:uid="{00000000-0005-0000-0000-00002C5B0000}"/>
    <cellStyle name="Normal 276 3 4" xfId="23597" xr:uid="{00000000-0005-0000-0000-00002D5B0000}"/>
    <cellStyle name="Normal 276 3 4 2" xfId="23598" xr:uid="{00000000-0005-0000-0000-00002E5B0000}"/>
    <cellStyle name="Normal 276 3 4 2 2" xfId="23599" xr:uid="{00000000-0005-0000-0000-00002F5B0000}"/>
    <cellStyle name="Normal 276 3 4 3" xfId="23600" xr:uid="{00000000-0005-0000-0000-0000305B0000}"/>
    <cellStyle name="Normal 276 3 5" xfId="23601" xr:uid="{00000000-0005-0000-0000-0000315B0000}"/>
    <cellStyle name="Normal 276 3 5 2" xfId="23602" xr:uid="{00000000-0005-0000-0000-0000325B0000}"/>
    <cellStyle name="Normal 276 3 5 2 2" xfId="23603" xr:uid="{00000000-0005-0000-0000-0000335B0000}"/>
    <cellStyle name="Normal 276 3 5 3" xfId="23604" xr:uid="{00000000-0005-0000-0000-0000345B0000}"/>
    <cellStyle name="Normal 276 3 6" xfId="23605" xr:uid="{00000000-0005-0000-0000-0000355B0000}"/>
    <cellStyle name="Normal 276 4" xfId="23606" xr:uid="{00000000-0005-0000-0000-0000365B0000}"/>
    <cellStyle name="Normal 276 4 2" xfId="23607" xr:uid="{00000000-0005-0000-0000-0000375B0000}"/>
    <cellStyle name="Normal 276 4 2 2" xfId="23608" xr:uid="{00000000-0005-0000-0000-0000385B0000}"/>
    <cellStyle name="Normal 276 4 3" xfId="23609" xr:uid="{00000000-0005-0000-0000-0000395B0000}"/>
    <cellStyle name="Normal 276 5" xfId="23610" xr:uid="{00000000-0005-0000-0000-00003A5B0000}"/>
    <cellStyle name="Normal 276 5 2" xfId="23611" xr:uid="{00000000-0005-0000-0000-00003B5B0000}"/>
    <cellStyle name="Normal 276 5 2 2" xfId="23612" xr:uid="{00000000-0005-0000-0000-00003C5B0000}"/>
    <cellStyle name="Normal 276 5 3" xfId="23613" xr:uid="{00000000-0005-0000-0000-00003D5B0000}"/>
    <cellStyle name="Normal 276 6" xfId="23614" xr:uid="{00000000-0005-0000-0000-00003E5B0000}"/>
    <cellStyle name="Normal 276 6 2" xfId="23615" xr:uid="{00000000-0005-0000-0000-00003F5B0000}"/>
    <cellStyle name="Normal 276 6 2 2" xfId="23616" xr:uid="{00000000-0005-0000-0000-0000405B0000}"/>
    <cellStyle name="Normal 276 6 3" xfId="23617" xr:uid="{00000000-0005-0000-0000-0000415B0000}"/>
    <cellStyle name="Normal 276 7" xfId="23618" xr:uid="{00000000-0005-0000-0000-0000425B0000}"/>
    <cellStyle name="Normal 277" xfId="23619" xr:uid="{00000000-0005-0000-0000-0000435B0000}"/>
    <cellStyle name="Normal 277 2" xfId="23620" xr:uid="{00000000-0005-0000-0000-0000445B0000}"/>
    <cellStyle name="Normal 277 2 2" xfId="23621" xr:uid="{00000000-0005-0000-0000-0000455B0000}"/>
    <cellStyle name="Normal 277 2 2 2" xfId="23622" xr:uid="{00000000-0005-0000-0000-0000465B0000}"/>
    <cellStyle name="Normal 277 2 3" xfId="23623" xr:uid="{00000000-0005-0000-0000-0000475B0000}"/>
    <cellStyle name="Normal 277 2 3 2" xfId="23624" xr:uid="{00000000-0005-0000-0000-0000485B0000}"/>
    <cellStyle name="Normal 277 2 3 2 2" xfId="23625" xr:uid="{00000000-0005-0000-0000-0000495B0000}"/>
    <cellStyle name="Normal 277 2 3 3" xfId="23626" xr:uid="{00000000-0005-0000-0000-00004A5B0000}"/>
    <cellStyle name="Normal 277 2 4" xfId="23627" xr:uid="{00000000-0005-0000-0000-00004B5B0000}"/>
    <cellStyle name="Normal 277 2 4 2" xfId="23628" xr:uid="{00000000-0005-0000-0000-00004C5B0000}"/>
    <cellStyle name="Normal 277 2 4 2 2" xfId="23629" xr:uid="{00000000-0005-0000-0000-00004D5B0000}"/>
    <cellStyle name="Normal 277 2 4 3" xfId="23630" xr:uid="{00000000-0005-0000-0000-00004E5B0000}"/>
    <cellStyle name="Normal 277 2 5" xfId="23631" xr:uid="{00000000-0005-0000-0000-00004F5B0000}"/>
    <cellStyle name="Normal 277 3" xfId="23632" xr:uid="{00000000-0005-0000-0000-0000505B0000}"/>
    <cellStyle name="Normal 277 3 2" xfId="23633" xr:uid="{00000000-0005-0000-0000-0000515B0000}"/>
    <cellStyle name="Normal 277 3 2 2" xfId="23634" xr:uid="{00000000-0005-0000-0000-0000525B0000}"/>
    <cellStyle name="Normal 277 3 2 2 2" xfId="23635" xr:uid="{00000000-0005-0000-0000-0000535B0000}"/>
    <cellStyle name="Normal 277 3 2 3" xfId="23636" xr:uid="{00000000-0005-0000-0000-0000545B0000}"/>
    <cellStyle name="Normal 277 3 2 3 2" xfId="23637" xr:uid="{00000000-0005-0000-0000-0000555B0000}"/>
    <cellStyle name="Normal 277 3 2 3 2 2" xfId="23638" xr:uid="{00000000-0005-0000-0000-0000565B0000}"/>
    <cellStyle name="Normal 277 3 2 3 3" xfId="23639" xr:uid="{00000000-0005-0000-0000-0000575B0000}"/>
    <cellStyle name="Normal 277 3 2 4" xfId="23640" xr:uid="{00000000-0005-0000-0000-0000585B0000}"/>
    <cellStyle name="Normal 277 3 3" xfId="23641" xr:uid="{00000000-0005-0000-0000-0000595B0000}"/>
    <cellStyle name="Normal 277 3 3 2" xfId="23642" xr:uid="{00000000-0005-0000-0000-00005A5B0000}"/>
    <cellStyle name="Normal 277 3 3 2 2" xfId="23643" xr:uid="{00000000-0005-0000-0000-00005B5B0000}"/>
    <cellStyle name="Normal 277 3 3 3" xfId="23644" xr:uid="{00000000-0005-0000-0000-00005C5B0000}"/>
    <cellStyle name="Normal 277 3 4" xfId="23645" xr:uid="{00000000-0005-0000-0000-00005D5B0000}"/>
    <cellStyle name="Normal 277 3 4 2" xfId="23646" xr:uid="{00000000-0005-0000-0000-00005E5B0000}"/>
    <cellStyle name="Normal 277 3 4 2 2" xfId="23647" xr:uid="{00000000-0005-0000-0000-00005F5B0000}"/>
    <cellStyle name="Normal 277 3 4 3" xfId="23648" xr:uid="{00000000-0005-0000-0000-0000605B0000}"/>
    <cellStyle name="Normal 277 3 5" xfId="23649" xr:uid="{00000000-0005-0000-0000-0000615B0000}"/>
    <cellStyle name="Normal 277 3 5 2" xfId="23650" xr:uid="{00000000-0005-0000-0000-0000625B0000}"/>
    <cellStyle name="Normal 277 3 5 2 2" xfId="23651" xr:uid="{00000000-0005-0000-0000-0000635B0000}"/>
    <cellStyle name="Normal 277 3 5 3" xfId="23652" xr:uid="{00000000-0005-0000-0000-0000645B0000}"/>
    <cellStyle name="Normal 277 3 6" xfId="23653" xr:uid="{00000000-0005-0000-0000-0000655B0000}"/>
    <cellStyle name="Normal 277 4" xfId="23654" xr:uid="{00000000-0005-0000-0000-0000665B0000}"/>
    <cellStyle name="Normal 277 4 2" xfId="23655" xr:uid="{00000000-0005-0000-0000-0000675B0000}"/>
    <cellStyle name="Normal 277 4 2 2" xfId="23656" xr:uid="{00000000-0005-0000-0000-0000685B0000}"/>
    <cellStyle name="Normal 277 4 3" xfId="23657" xr:uid="{00000000-0005-0000-0000-0000695B0000}"/>
    <cellStyle name="Normal 277 5" xfId="23658" xr:uid="{00000000-0005-0000-0000-00006A5B0000}"/>
    <cellStyle name="Normal 277 5 2" xfId="23659" xr:uid="{00000000-0005-0000-0000-00006B5B0000}"/>
    <cellStyle name="Normal 277 5 2 2" xfId="23660" xr:uid="{00000000-0005-0000-0000-00006C5B0000}"/>
    <cellStyle name="Normal 277 5 3" xfId="23661" xr:uid="{00000000-0005-0000-0000-00006D5B0000}"/>
    <cellStyle name="Normal 277 6" xfId="23662" xr:uid="{00000000-0005-0000-0000-00006E5B0000}"/>
    <cellStyle name="Normal 277 6 2" xfId="23663" xr:uid="{00000000-0005-0000-0000-00006F5B0000}"/>
    <cellStyle name="Normal 277 6 2 2" xfId="23664" xr:uid="{00000000-0005-0000-0000-0000705B0000}"/>
    <cellStyle name="Normal 277 6 3" xfId="23665" xr:uid="{00000000-0005-0000-0000-0000715B0000}"/>
    <cellStyle name="Normal 277 7" xfId="23666" xr:uid="{00000000-0005-0000-0000-0000725B0000}"/>
    <cellStyle name="Normal 278" xfId="23667" xr:uid="{00000000-0005-0000-0000-0000735B0000}"/>
    <cellStyle name="Normal 278 2" xfId="23668" xr:uid="{00000000-0005-0000-0000-0000745B0000}"/>
    <cellStyle name="Normal 278 2 2" xfId="23669" xr:uid="{00000000-0005-0000-0000-0000755B0000}"/>
    <cellStyle name="Normal 278 2 2 2" xfId="23670" xr:uid="{00000000-0005-0000-0000-0000765B0000}"/>
    <cellStyle name="Normal 278 2 3" xfId="23671" xr:uid="{00000000-0005-0000-0000-0000775B0000}"/>
    <cellStyle name="Normal 278 2 3 2" xfId="23672" xr:uid="{00000000-0005-0000-0000-0000785B0000}"/>
    <cellStyle name="Normal 278 2 3 2 2" xfId="23673" xr:uid="{00000000-0005-0000-0000-0000795B0000}"/>
    <cellStyle name="Normal 278 2 3 3" xfId="23674" xr:uid="{00000000-0005-0000-0000-00007A5B0000}"/>
    <cellStyle name="Normal 278 2 4" xfId="23675" xr:uid="{00000000-0005-0000-0000-00007B5B0000}"/>
    <cellStyle name="Normal 278 2 4 2" xfId="23676" xr:uid="{00000000-0005-0000-0000-00007C5B0000}"/>
    <cellStyle name="Normal 278 2 4 2 2" xfId="23677" xr:uid="{00000000-0005-0000-0000-00007D5B0000}"/>
    <cellStyle name="Normal 278 2 4 3" xfId="23678" xr:uid="{00000000-0005-0000-0000-00007E5B0000}"/>
    <cellStyle name="Normal 278 2 5" xfId="23679" xr:uid="{00000000-0005-0000-0000-00007F5B0000}"/>
    <cellStyle name="Normal 278 3" xfId="23680" xr:uid="{00000000-0005-0000-0000-0000805B0000}"/>
    <cellStyle name="Normal 278 3 2" xfId="23681" xr:uid="{00000000-0005-0000-0000-0000815B0000}"/>
    <cellStyle name="Normal 278 3 2 2" xfId="23682" xr:uid="{00000000-0005-0000-0000-0000825B0000}"/>
    <cellStyle name="Normal 278 3 2 2 2" xfId="23683" xr:uid="{00000000-0005-0000-0000-0000835B0000}"/>
    <cellStyle name="Normal 278 3 2 3" xfId="23684" xr:uid="{00000000-0005-0000-0000-0000845B0000}"/>
    <cellStyle name="Normal 278 3 2 3 2" xfId="23685" xr:uid="{00000000-0005-0000-0000-0000855B0000}"/>
    <cellStyle name="Normal 278 3 2 3 2 2" xfId="23686" xr:uid="{00000000-0005-0000-0000-0000865B0000}"/>
    <cellStyle name="Normal 278 3 2 3 3" xfId="23687" xr:uid="{00000000-0005-0000-0000-0000875B0000}"/>
    <cellStyle name="Normal 278 3 2 4" xfId="23688" xr:uid="{00000000-0005-0000-0000-0000885B0000}"/>
    <cellStyle name="Normal 278 3 3" xfId="23689" xr:uid="{00000000-0005-0000-0000-0000895B0000}"/>
    <cellStyle name="Normal 278 3 3 2" xfId="23690" xr:uid="{00000000-0005-0000-0000-00008A5B0000}"/>
    <cellStyle name="Normal 278 3 3 2 2" xfId="23691" xr:uid="{00000000-0005-0000-0000-00008B5B0000}"/>
    <cellStyle name="Normal 278 3 3 3" xfId="23692" xr:uid="{00000000-0005-0000-0000-00008C5B0000}"/>
    <cellStyle name="Normal 278 3 4" xfId="23693" xr:uid="{00000000-0005-0000-0000-00008D5B0000}"/>
    <cellStyle name="Normal 278 3 4 2" xfId="23694" xr:uid="{00000000-0005-0000-0000-00008E5B0000}"/>
    <cellStyle name="Normal 278 3 4 2 2" xfId="23695" xr:uid="{00000000-0005-0000-0000-00008F5B0000}"/>
    <cellStyle name="Normal 278 3 4 3" xfId="23696" xr:uid="{00000000-0005-0000-0000-0000905B0000}"/>
    <cellStyle name="Normal 278 3 5" xfId="23697" xr:uid="{00000000-0005-0000-0000-0000915B0000}"/>
    <cellStyle name="Normal 278 3 5 2" xfId="23698" xr:uid="{00000000-0005-0000-0000-0000925B0000}"/>
    <cellStyle name="Normal 278 3 5 2 2" xfId="23699" xr:uid="{00000000-0005-0000-0000-0000935B0000}"/>
    <cellStyle name="Normal 278 3 5 3" xfId="23700" xr:uid="{00000000-0005-0000-0000-0000945B0000}"/>
    <cellStyle name="Normal 278 3 6" xfId="23701" xr:uid="{00000000-0005-0000-0000-0000955B0000}"/>
    <cellStyle name="Normal 278 4" xfId="23702" xr:uid="{00000000-0005-0000-0000-0000965B0000}"/>
    <cellStyle name="Normal 278 4 2" xfId="23703" xr:uid="{00000000-0005-0000-0000-0000975B0000}"/>
    <cellStyle name="Normal 278 4 2 2" xfId="23704" xr:uid="{00000000-0005-0000-0000-0000985B0000}"/>
    <cellStyle name="Normal 278 4 3" xfId="23705" xr:uid="{00000000-0005-0000-0000-0000995B0000}"/>
    <cellStyle name="Normal 278 5" xfId="23706" xr:uid="{00000000-0005-0000-0000-00009A5B0000}"/>
    <cellStyle name="Normal 278 5 2" xfId="23707" xr:uid="{00000000-0005-0000-0000-00009B5B0000}"/>
    <cellStyle name="Normal 278 5 2 2" xfId="23708" xr:uid="{00000000-0005-0000-0000-00009C5B0000}"/>
    <cellStyle name="Normal 278 5 3" xfId="23709" xr:uid="{00000000-0005-0000-0000-00009D5B0000}"/>
    <cellStyle name="Normal 278 6" xfId="23710" xr:uid="{00000000-0005-0000-0000-00009E5B0000}"/>
    <cellStyle name="Normal 278 6 2" xfId="23711" xr:uid="{00000000-0005-0000-0000-00009F5B0000}"/>
    <cellStyle name="Normal 278 6 2 2" xfId="23712" xr:uid="{00000000-0005-0000-0000-0000A05B0000}"/>
    <cellStyle name="Normal 278 6 3" xfId="23713" xr:uid="{00000000-0005-0000-0000-0000A15B0000}"/>
    <cellStyle name="Normal 278 7" xfId="23714" xr:uid="{00000000-0005-0000-0000-0000A25B0000}"/>
    <cellStyle name="Normal 279" xfId="23715" xr:uid="{00000000-0005-0000-0000-0000A35B0000}"/>
    <cellStyle name="Normal 279 2" xfId="23716" xr:uid="{00000000-0005-0000-0000-0000A45B0000}"/>
    <cellStyle name="Normal 279 2 2" xfId="23717" xr:uid="{00000000-0005-0000-0000-0000A55B0000}"/>
    <cellStyle name="Normal 279 2 2 2" xfId="23718" xr:uid="{00000000-0005-0000-0000-0000A65B0000}"/>
    <cellStyle name="Normal 279 2 3" xfId="23719" xr:uid="{00000000-0005-0000-0000-0000A75B0000}"/>
    <cellStyle name="Normal 279 2 3 2" xfId="23720" xr:uid="{00000000-0005-0000-0000-0000A85B0000}"/>
    <cellStyle name="Normal 279 2 3 2 2" xfId="23721" xr:uid="{00000000-0005-0000-0000-0000A95B0000}"/>
    <cellStyle name="Normal 279 2 3 3" xfId="23722" xr:uid="{00000000-0005-0000-0000-0000AA5B0000}"/>
    <cellStyle name="Normal 279 2 4" xfId="23723" xr:uid="{00000000-0005-0000-0000-0000AB5B0000}"/>
    <cellStyle name="Normal 279 2 4 2" xfId="23724" xr:uid="{00000000-0005-0000-0000-0000AC5B0000}"/>
    <cellStyle name="Normal 279 2 4 2 2" xfId="23725" xr:uid="{00000000-0005-0000-0000-0000AD5B0000}"/>
    <cellStyle name="Normal 279 2 4 3" xfId="23726" xr:uid="{00000000-0005-0000-0000-0000AE5B0000}"/>
    <cellStyle name="Normal 279 2 5" xfId="23727" xr:uid="{00000000-0005-0000-0000-0000AF5B0000}"/>
    <cellStyle name="Normal 279 3" xfId="23728" xr:uid="{00000000-0005-0000-0000-0000B05B0000}"/>
    <cellStyle name="Normal 279 3 2" xfId="23729" xr:uid="{00000000-0005-0000-0000-0000B15B0000}"/>
    <cellStyle name="Normal 279 3 2 2" xfId="23730" xr:uid="{00000000-0005-0000-0000-0000B25B0000}"/>
    <cellStyle name="Normal 279 3 2 2 2" xfId="23731" xr:uid="{00000000-0005-0000-0000-0000B35B0000}"/>
    <cellStyle name="Normal 279 3 2 3" xfId="23732" xr:uid="{00000000-0005-0000-0000-0000B45B0000}"/>
    <cellStyle name="Normal 279 3 2 3 2" xfId="23733" xr:uid="{00000000-0005-0000-0000-0000B55B0000}"/>
    <cellStyle name="Normal 279 3 2 3 2 2" xfId="23734" xr:uid="{00000000-0005-0000-0000-0000B65B0000}"/>
    <cellStyle name="Normal 279 3 2 3 3" xfId="23735" xr:uid="{00000000-0005-0000-0000-0000B75B0000}"/>
    <cellStyle name="Normal 279 3 2 4" xfId="23736" xr:uid="{00000000-0005-0000-0000-0000B85B0000}"/>
    <cellStyle name="Normal 279 3 3" xfId="23737" xr:uid="{00000000-0005-0000-0000-0000B95B0000}"/>
    <cellStyle name="Normal 279 3 3 2" xfId="23738" xr:uid="{00000000-0005-0000-0000-0000BA5B0000}"/>
    <cellStyle name="Normal 279 3 3 2 2" xfId="23739" xr:uid="{00000000-0005-0000-0000-0000BB5B0000}"/>
    <cellStyle name="Normal 279 3 3 3" xfId="23740" xr:uid="{00000000-0005-0000-0000-0000BC5B0000}"/>
    <cellStyle name="Normal 279 3 4" xfId="23741" xr:uid="{00000000-0005-0000-0000-0000BD5B0000}"/>
    <cellStyle name="Normal 279 3 4 2" xfId="23742" xr:uid="{00000000-0005-0000-0000-0000BE5B0000}"/>
    <cellStyle name="Normal 279 3 4 2 2" xfId="23743" xr:uid="{00000000-0005-0000-0000-0000BF5B0000}"/>
    <cellStyle name="Normal 279 3 4 3" xfId="23744" xr:uid="{00000000-0005-0000-0000-0000C05B0000}"/>
    <cellStyle name="Normal 279 3 5" xfId="23745" xr:uid="{00000000-0005-0000-0000-0000C15B0000}"/>
    <cellStyle name="Normal 279 3 5 2" xfId="23746" xr:uid="{00000000-0005-0000-0000-0000C25B0000}"/>
    <cellStyle name="Normal 279 3 5 2 2" xfId="23747" xr:uid="{00000000-0005-0000-0000-0000C35B0000}"/>
    <cellStyle name="Normal 279 3 5 3" xfId="23748" xr:uid="{00000000-0005-0000-0000-0000C45B0000}"/>
    <cellStyle name="Normal 279 3 6" xfId="23749" xr:uid="{00000000-0005-0000-0000-0000C55B0000}"/>
    <cellStyle name="Normal 279 4" xfId="23750" xr:uid="{00000000-0005-0000-0000-0000C65B0000}"/>
    <cellStyle name="Normal 279 4 2" xfId="23751" xr:uid="{00000000-0005-0000-0000-0000C75B0000}"/>
    <cellStyle name="Normal 279 4 2 2" xfId="23752" xr:uid="{00000000-0005-0000-0000-0000C85B0000}"/>
    <cellStyle name="Normal 279 4 3" xfId="23753" xr:uid="{00000000-0005-0000-0000-0000C95B0000}"/>
    <cellStyle name="Normal 279 5" xfId="23754" xr:uid="{00000000-0005-0000-0000-0000CA5B0000}"/>
    <cellStyle name="Normal 279 5 2" xfId="23755" xr:uid="{00000000-0005-0000-0000-0000CB5B0000}"/>
    <cellStyle name="Normal 279 5 2 2" xfId="23756" xr:uid="{00000000-0005-0000-0000-0000CC5B0000}"/>
    <cellStyle name="Normal 279 5 3" xfId="23757" xr:uid="{00000000-0005-0000-0000-0000CD5B0000}"/>
    <cellStyle name="Normal 279 6" xfId="23758" xr:uid="{00000000-0005-0000-0000-0000CE5B0000}"/>
    <cellStyle name="Normal 279 6 2" xfId="23759" xr:uid="{00000000-0005-0000-0000-0000CF5B0000}"/>
    <cellStyle name="Normal 279 6 2 2" xfId="23760" xr:uid="{00000000-0005-0000-0000-0000D05B0000}"/>
    <cellStyle name="Normal 279 6 3" xfId="23761" xr:uid="{00000000-0005-0000-0000-0000D15B0000}"/>
    <cellStyle name="Normal 279 7" xfId="23762" xr:uid="{00000000-0005-0000-0000-0000D25B0000}"/>
    <cellStyle name="Normal 28" xfId="23763" xr:uid="{00000000-0005-0000-0000-0000D35B0000}"/>
    <cellStyle name="Normal 28 2" xfId="23764" xr:uid="{00000000-0005-0000-0000-0000D45B0000}"/>
    <cellStyle name="Normal 28 2 2" xfId="23765" xr:uid="{00000000-0005-0000-0000-0000D55B0000}"/>
    <cellStyle name="Normal 28 2 2 2" xfId="23766" xr:uid="{00000000-0005-0000-0000-0000D65B0000}"/>
    <cellStyle name="Normal 28 2 2 2 2" xfId="23767" xr:uid="{00000000-0005-0000-0000-0000D75B0000}"/>
    <cellStyle name="Normal 28 2 2 3" xfId="23768" xr:uid="{00000000-0005-0000-0000-0000D85B0000}"/>
    <cellStyle name="Normal 28 2 2 3 2" xfId="23769" xr:uid="{00000000-0005-0000-0000-0000D95B0000}"/>
    <cellStyle name="Normal 28 2 2 3 2 2" xfId="23770" xr:uid="{00000000-0005-0000-0000-0000DA5B0000}"/>
    <cellStyle name="Normal 28 2 2 3 3" xfId="23771" xr:uid="{00000000-0005-0000-0000-0000DB5B0000}"/>
    <cellStyle name="Normal 28 2 2 4" xfId="23772" xr:uid="{00000000-0005-0000-0000-0000DC5B0000}"/>
    <cellStyle name="Normal 28 2 2 4 2" xfId="23773" xr:uid="{00000000-0005-0000-0000-0000DD5B0000}"/>
    <cellStyle name="Normal 28 2 2 4 2 2" xfId="23774" xr:uid="{00000000-0005-0000-0000-0000DE5B0000}"/>
    <cellStyle name="Normal 28 2 2 4 3" xfId="23775" xr:uid="{00000000-0005-0000-0000-0000DF5B0000}"/>
    <cellStyle name="Normal 28 2 2 5" xfId="23776" xr:uid="{00000000-0005-0000-0000-0000E05B0000}"/>
    <cellStyle name="Normal 28 2 3" xfId="23777" xr:uid="{00000000-0005-0000-0000-0000E15B0000}"/>
    <cellStyle name="Normal 28 2 3 2" xfId="23778" xr:uid="{00000000-0005-0000-0000-0000E25B0000}"/>
    <cellStyle name="Normal 28 2 3 2 2" xfId="23779" xr:uid="{00000000-0005-0000-0000-0000E35B0000}"/>
    <cellStyle name="Normal 28 2 3 3" xfId="23780" xr:uid="{00000000-0005-0000-0000-0000E45B0000}"/>
    <cellStyle name="Normal 28 2 4" xfId="23781" xr:uid="{00000000-0005-0000-0000-0000E55B0000}"/>
    <cellStyle name="Normal 28 2 4 2" xfId="23782" xr:uid="{00000000-0005-0000-0000-0000E65B0000}"/>
    <cellStyle name="Normal 28 2 4 2 2" xfId="23783" xr:uid="{00000000-0005-0000-0000-0000E75B0000}"/>
    <cellStyle name="Normal 28 2 4 3" xfId="23784" xr:uid="{00000000-0005-0000-0000-0000E85B0000}"/>
    <cellStyle name="Normal 28 2 5" xfId="23785" xr:uid="{00000000-0005-0000-0000-0000E95B0000}"/>
    <cellStyle name="Normal 28 2 5 2" xfId="23786" xr:uid="{00000000-0005-0000-0000-0000EA5B0000}"/>
    <cellStyle name="Normal 28 2 5 2 2" xfId="23787" xr:uid="{00000000-0005-0000-0000-0000EB5B0000}"/>
    <cellStyle name="Normal 28 2 5 3" xfId="23788" xr:uid="{00000000-0005-0000-0000-0000EC5B0000}"/>
    <cellStyle name="Normal 28 2 6" xfId="23789" xr:uid="{00000000-0005-0000-0000-0000ED5B0000}"/>
    <cellStyle name="Normal 28 3" xfId="23790" xr:uid="{00000000-0005-0000-0000-0000EE5B0000}"/>
    <cellStyle name="Normal 28 3 2" xfId="23791" xr:uid="{00000000-0005-0000-0000-0000EF5B0000}"/>
    <cellStyle name="Normal 28 3 2 2" xfId="23792" xr:uid="{00000000-0005-0000-0000-0000F05B0000}"/>
    <cellStyle name="Normal 28 3 3" xfId="23793" xr:uid="{00000000-0005-0000-0000-0000F15B0000}"/>
    <cellStyle name="Normal 28 3 3 2" xfId="23794" xr:uid="{00000000-0005-0000-0000-0000F25B0000}"/>
    <cellStyle name="Normal 28 3 3 2 2" xfId="23795" xr:uid="{00000000-0005-0000-0000-0000F35B0000}"/>
    <cellStyle name="Normal 28 3 3 3" xfId="23796" xr:uid="{00000000-0005-0000-0000-0000F45B0000}"/>
    <cellStyle name="Normal 28 3 4" xfId="23797" xr:uid="{00000000-0005-0000-0000-0000F55B0000}"/>
    <cellStyle name="Normal 28 3 4 2" xfId="23798" xr:uid="{00000000-0005-0000-0000-0000F65B0000}"/>
    <cellStyle name="Normal 28 3 4 2 2" xfId="23799" xr:uid="{00000000-0005-0000-0000-0000F75B0000}"/>
    <cellStyle name="Normal 28 3 4 3" xfId="23800" xr:uid="{00000000-0005-0000-0000-0000F85B0000}"/>
    <cellStyle name="Normal 28 3 5" xfId="23801" xr:uid="{00000000-0005-0000-0000-0000F95B0000}"/>
    <cellStyle name="Normal 28 4" xfId="23802" xr:uid="{00000000-0005-0000-0000-0000FA5B0000}"/>
    <cellStyle name="Normal 28 4 2" xfId="23803" xr:uid="{00000000-0005-0000-0000-0000FB5B0000}"/>
    <cellStyle name="Normal 28 4 2 2" xfId="23804" xr:uid="{00000000-0005-0000-0000-0000FC5B0000}"/>
    <cellStyle name="Normal 28 4 3" xfId="23805" xr:uid="{00000000-0005-0000-0000-0000FD5B0000}"/>
    <cellStyle name="Normal 28 4 3 2" xfId="23806" xr:uid="{00000000-0005-0000-0000-0000FE5B0000}"/>
    <cellStyle name="Normal 28 4 3 2 2" xfId="23807" xr:uid="{00000000-0005-0000-0000-0000FF5B0000}"/>
    <cellStyle name="Normal 28 4 3 3" xfId="23808" xr:uid="{00000000-0005-0000-0000-0000005C0000}"/>
    <cellStyle name="Normal 28 4 4" xfId="23809" xr:uid="{00000000-0005-0000-0000-0000015C0000}"/>
    <cellStyle name="Normal 28 4 4 2" xfId="23810" xr:uid="{00000000-0005-0000-0000-0000025C0000}"/>
    <cellStyle name="Normal 28 4 4 2 2" xfId="23811" xr:uid="{00000000-0005-0000-0000-0000035C0000}"/>
    <cellStyle name="Normal 28 4 4 3" xfId="23812" xr:uid="{00000000-0005-0000-0000-0000045C0000}"/>
    <cellStyle name="Normal 28 4 5" xfId="23813" xr:uid="{00000000-0005-0000-0000-0000055C0000}"/>
    <cellStyle name="Normal 28 5" xfId="23814" xr:uid="{00000000-0005-0000-0000-0000065C0000}"/>
    <cellStyle name="Normal 28 5 2" xfId="23815" xr:uid="{00000000-0005-0000-0000-0000075C0000}"/>
    <cellStyle name="Normal 28 5 2 2" xfId="23816" xr:uid="{00000000-0005-0000-0000-0000085C0000}"/>
    <cellStyle name="Normal 28 5 3" xfId="23817" xr:uid="{00000000-0005-0000-0000-0000095C0000}"/>
    <cellStyle name="Normal 28 6" xfId="23818" xr:uid="{00000000-0005-0000-0000-00000A5C0000}"/>
    <cellStyle name="Normal 28 6 2" xfId="23819" xr:uid="{00000000-0005-0000-0000-00000B5C0000}"/>
    <cellStyle name="Normal 28 6 2 2" xfId="23820" xr:uid="{00000000-0005-0000-0000-00000C5C0000}"/>
    <cellStyle name="Normal 28 6 3" xfId="23821" xr:uid="{00000000-0005-0000-0000-00000D5C0000}"/>
    <cellStyle name="Normal 28 7" xfId="23822" xr:uid="{00000000-0005-0000-0000-00000E5C0000}"/>
    <cellStyle name="Normal 28 7 2" xfId="23823" xr:uid="{00000000-0005-0000-0000-00000F5C0000}"/>
    <cellStyle name="Normal 28 7 2 2" xfId="23824" xr:uid="{00000000-0005-0000-0000-0000105C0000}"/>
    <cellStyle name="Normal 28 7 3" xfId="23825" xr:uid="{00000000-0005-0000-0000-0000115C0000}"/>
    <cellStyle name="Normal 28 8" xfId="23826" xr:uid="{00000000-0005-0000-0000-0000125C0000}"/>
    <cellStyle name="Normal 280" xfId="23827" xr:uid="{00000000-0005-0000-0000-0000135C0000}"/>
    <cellStyle name="Normal 280 2" xfId="23828" xr:uid="{00000000-0005-0000-0000-0000145C0000}"/>
    <cellStyle name="Normal 280 2 2" xfId="23829" xr:uid="{00000000-0005-0000-0000-0000155C0000}"/>
    <cellStyle name="Normal 280 2 2 2" xfId="23830" xr:uid="{00000000-0005-0000-0000-0000165C0000}"/>
    <cellStyle name="Normal 280 2 3" xfId="23831" xr:uid="{00000000-0005-0000-0000-0000175C0000}"/>
    <cellStyle name="Normal 280 2 3 2" xfId="23832" xr:uid="{00000000-0005-0000-0000-0000185C0000}"/>
    <cellStyle name="Normal 280 2 3 2 2" xfId="23833" xr:uid="{00000000-0005-0000-0000-0000195C0000}"/>
    <cellStyle name="Normal 280 2 3 3" xfId="23834" xr:uid="{00000000-0005-0000-0000-00001A5C0000}"/>
    <cellStyle name="Normal 280 2 4" xfId="23835" xr:uid="{00000000-0005-0000-0000-00001B5C0000}"/>
    <cellStyle name="Normal 280 2 4 2" xfId="23836" xr:uid="{00000000-0005-0000-0000-00001C5C0000}"/>
    <cellStyle name="Normal 280 2 4 2 2" xfId="23837" xr:uid="{00000000-0005-0000-0000-00001D5C0000}"/>
    <cellStyle name="Normal 280 2 4 3" xfId="23838" xr:uid="{00000000-0005-0000-0000-00001E5C0000}"/>
    <cellStyle name="Normal 280 2 5" xfId="23839" xr:uid="{00000000-0005-0000-0000-00001F5C0000}"/>
    <cellStyle name="Normal 280 3" xfId="23840" xr:uid="{00000000-0005-0000-0000-0000205C0000}"/>
    <cellStyle name="Normal 280 3 2" xfId="23841" xr:uid="{00000000-0005-0000-0000-0000215C0000}"/>
    <cellStyle name="Normal 280 3 2 2" xfId="23842" xr:uid="{00000000-0005-0000-0000-0000225C0000}"/>
    <cellStyle name="Normal 280 3 2 2 2" xfId="23843" xr:uid="{00000000-0005-0000-0000-0000235C0000}"/>
    <cellStyle name="Normal 280 3 2 3" xfId="23844" xr:uid="{00000000-0005-0000-0000-0000245C0000}"/>
    <cellStyle name="Normal 280 3 2 3 2" xfId="23845" xr:uid="{00000000-0005-0000-0000-0000255C0000}"/>
    <cellStyle name="Normal 280 3 2 3 2 2" xfId="23846" xr:uid="{00000000-0005-0000-0000-0000265C0000}"/>
    <cellStyle name="Normal 280 3 2 3 3" xfId="23847" xr:uid="{00000000-0005-0000-0000-0000275C0000}"/>
    <cellStyle name="Normal 280 3 2 4" xfId="23848" xr:uid="{00000000-0005-0000-0000-0000285C0000}"/>
    <cellStyle name="Normal 280 3 3" xfId="23849" xr:uid="{00000000-0005-0000-0000-0000295C0000}"/>
    <cellStyle name="Normal 280 3 3 2" xfId="23850" xr:uid="{00000000-0005-0000-0000-00002A5C0000}"/>
    <cellStyle name="Normal 280 3 3 2 2" xfId="23851" xr:uid="{00000000-0005-0000-0000-00002B5C0000}"/>
    <cellStyle name="Normal 280 3 3 3" xfId="23852" xr:uid="{00000000-0005-0000-0000-00002C5C0000}"/>
    <cellStyle name="Normal 280 3 4" xfId="23853" xr:uid="{00000000-0005-0000-0000-00002D5C0000}"/>
    <cellStyle name="Normal 280 3 4 2" xfId="23854" xr:uid="{00000000-0005-0000-0000-00002E5C0000}"/>
    <cellStyle name="Normal 280 3 4 2 2" xfId="23855" xr:uid="{00000000-0005-0000-0000-00002F5C0000}"/>
    <cellStyle name="Normal 280 3 4 3" xfId="23856" xr:uid="{00000000-0005-0000-0000-0000305C0000}"/>
    <cellStyle name="Normal 280 3 5" xfId="23857" xr:uid="{00000000-0005-0000-0000-0000315C0000}"/>
    <cellStyle name="Normal 280 3 5 2" xfId="23858" xr:uid="{00000000-0005-0000-0000-0000325C0000}"/>
    <cellStyle name="Normal 280 3 5 2 2" xfId="23859" xr:uid="{00000000-0005-0000-0000-0000335C0000}"/>
    <cellStyle name="Normal 280 3 5 3" xfId="23860" xr:uid="{00000000-0005-0000-0000-0000345C0000}"/>
    <cellStyle name="Normal 280 3 6" xfId="23861" xr:uid="{00000000-0005-0000-0000-0000355C0000}"/>
    <cellStyle name="Normal 280 4" xfId="23862" xr:uid="{00000000-0005-0000-0000-0000365C0000}"/>
    <cellStyle name="Normal 280 4 2" xfId="23863" xr:uid="{00000000-0005-0000-0000-0000375C0000}"/>
    <cellStyle name="Normal 280 4 2 2" xfId="23864" xr:uid="{00000000-0005-0000-0000-0000385C0000}"/>
    <cellStyle name="Normal 280 4 3" xfId="23865" xr:uid="{00000000-0005-0000-0000-0000395C0000}"/>
    <cellStyle name="Normal 280 5" xfId="23866" xr:uid="{00000000-0005-0000-0000-00003A5C0000}"/>
    <cellStyle name="Normal 280 5 2" xfId="23867" xr:uid="{00000000-0005-0000-0000-00003B5C0000}"/>
    <cellStyle name="Normal 280 5 2 2" xfId="23868" xr:uid="{00000000-0005-0000-0000-00003C5C0000}"/>
    <cellStyle name="Normal 280 5 3" xfId="23869" xr:uid="{00000000-0005-0000-0000-00003D5C0000}"/>
    <cellStyle name="Normal 280 6" xfId="23870" xr:uid="{00000000-0005-0000-0000-00003E5C0000}"/>
    <cellStyle name="Normal 280 6 2" xfId="23871" xr:uid="{00000000-0005-0000-0000-00003F5C0000}"/>
    <cellStyle name="Normal 280 6 2 2" xfId="23872" xr:uid="{00000000-0005-0000-0000-0000405C0000}"/>
    <cellStyle name="Normal 280 6 3" xfId="23873" xr:uid="{00000000-0005-0000-0000-0000415C0000}"/>
    <cellStyle name="Normal 280 7" xfId="23874" xr:uid="{00000000-0005-0000-0000-0000425C0000}"/>
    <cellStyle name="Normal 281" xfId="23875" xr:uid="{00000000-0005-0000-0000-0000435C0000}"/>
    <cellStyle name="Normal 281 2" xfId="23876" xr:uid="{00000000-0005-0000-0000-0000445C0000}"/>
    <cellStyle name="Normal 281 2 2" xfId="23877" xr:uid="{00000000-0005-0000-0000-0000455C0000}"/>
    <cellStyle name="Normal 281 2 2 2" xfId="23878" xr:uid="{00000000-0005-0000-0000-0000465C0000}"/>
    <cellStyle name="Normal 281 2 3" xfId="23879" xr:uid="{00000000-0005-0000-0000-0000475C0000}"/>
    <cellStyle name="Normal 281 2 3 2" xfId="23880" xr:uid="{00000000-0005-0000-0000-0000485C0000}"/>
    <cellStyle name="Normal 281 2 3 2 2" xfId="23881" xr:uid="{00000000-0005-0000-0000-0000495C0000}"/>
    <cellStyle name="Normal 281 2 3 3" xfId="23882" xr:uid="{00000000-0005-0000-0000-00004A5C0000}"/>
    <cellStyle name="Normal 281 2 4" xfId="23883" xr:uid="{00000000-0005-0000-0000-00004B5C0000}"/>
    <cellStyle name="Normal 281 2 4 2" xfId="23884" xr:uid="{00000000-0005-0000-0000-00004C5C0000}"/>
    <cellStyle name="Normal 281 2 4 2 2" xfId="23885" xr:uid="{00000000-0005-0000-0000-00004D5C0000}"/>
    <cellStyle name="Normal 281 2 4 3" xfId="23886" xr:uid="{00000000-0005-0000-0000-00004E5C0000}"/>
    <cellStyle name="Normal 281 2 5" xfId="23887" xr:uid="{00000000-0005-0000-0000-00004F5C0000}"/>
    <cellStyle name="Normal 281 3" xfId="23888" xr:uid="{00000000-0005-0000-0000-0000505C0000}"/>
    <cellStyle name="Normal 281 3 2" xfId="23889" xr:uid="{00000000-0005-0000-0000-0000515C0000}"/>
    <cellStyle name="Normal 281 3 2 2" xfId="23890" xr:uid="{00000000-0005-0000-0000-0000525C0000}"/>
    <cellStyle name="Normal 281 3 2 2 2" xfId="23891" xr:uid="{00000000-0005-0000-0000-0000535C0000}"/>
    <cellStyle name="Normal 281 3 2 3" xfId="23892" xr:uid="{00000000-0005-0000-0000-0000545C0000}"/>
    <cellStyle name="Normal 281 3 2 3 2" xfId="23893" xr:uid="{00000000-0005-0000-0000-0000555C0000}"/>
    <cellStyle name="Normal 281 3 2 3 2 2" xfId="23894" xr:uid="{00000000-0005-0000-0000-0000565C0000}"/>
    <cellStyle name="Normal 281 3 2 3 3" xfId="23895" xr:uid="{00000000-0005-0000-0000-0000575C0000}"/>
    <cellStyle name="Normal 281 3 2 4" xfId="23896" xr:uid="{00000000-0005-0000-0000-0000585C0000}"/>
    <cellStyle name="Normal 281 3 3" xfId="23897" xr:uid="{00000000-0005-0000-0000-0000595C0000}"/>
    <cellStyle name="Normal 281 3 3 2" xfId="23898" xr:uid="{00000000-0005-0000-0000-00005A5C0000}"/>
    <cellStyle name="Normal 281 3 3 2 2" xfId="23899" xr:uid="{00000000-0005-0000-0000-00005B5C0000}"/>
    <cellStyle name="Normal 281 3 3 3" xfId="23900" xr:uid="{00000000-0005-0000-0000-00005C5C0000}"/>
    <cellStyle name="Normal 281 3 4" xfId="23901" xr:uid="{00000000-0005-0000-0000-00005D5C0000}"/>
    <cellStyle name="Normal 281 3 4 2" xfId="23902" xr:uid="{00000000-0005-0000-0000-00005E5C0000}"/>
    <cellStyle name="Normal 281 3 4 2 2" xfId="23903" xr:uid="{00000000-0005-0000-0000-00005F5C0000}"/>
    <cellStyle name="Normal 281 3 4 3" xfId="23904" xr:uid="{00000000-0005-0000-0000-0000605C0000}"/>
    <cellStyle name="Normal 281 3 5" xfId="23905" xr:uid="{00000000-0005-0000-0000-0000615C0000}"/>
    <cellStyle name="Normal 281 3 5 2" xfId="23906" xr:uid="{00000000-0005-0000-0000-0000625C0000}"/>
    <cellStyle name="Normal 281 3 5 2 2" xfId="23907" xr:uid="{00000000-0005-0000-0000-0000635C0000}"/>
    <cellStyle name="Normal 281 3 5 3" xfId="23908" xr:uid="{00000000-0005-0000-0000-0000645C0000}"/>
    <cellStyle name="Normal 281 3 6" xfId="23909" xr:uid="{00000000-0005-0000-0000-0000655C0000}"/>
    <cellStyle name="Normal 281 4" xfId="23910" xr:uid="{00000000-0005-0000-0000-0000665C0000}"/>
    <cellStyle name="Normal 281 4 2" xfId="23911" xr:uid="{00000000-0005-0000-0000-0000675C0000}"/>
    <cellStyle name="Normal 281 4 2 2" xfId="23912" xr:uid="{00000000-0005-0000-0000-0000685C0000}"/>
    <cellStyle name="Normal 281 4 3" xfId="23913" xr:uid="{00000000-0005-0000-0000-0000695C0000}"/>
    <cellStyle name="Normal 281 5" xfId="23914" xr:uid="{00000000-0005-0000-0000-00006A5C0000}"/>
    <cellStyle name="Normal 281 5 2" xfId="23915" xr:uid="{00000000-0005-0000-0000-00006B5C0000}"/>
    <cellStyle name="Normal 281 5 2 2" xfId="23916" xr:uid="{00000000-0005-0000-0000-00006C5C0000}"/>
    <cellStyle name="Normal 281 5 3" xfId="23917" xr:uid="{00000000-0005-0000-0000-00006D5C0000}"/>
    <cellStyle name="Normal 281 6" xfId="23918" xr:uid="{00000000-0005-0000-0000-00006E5C0000}"/>
    <cellStyle name="Normal 281 6 2" xfId="23919" xr:uid="{00000000-0005-0000-0000-00006F5C0000}"/>
    <cellStyle name="Normal 281 6 2 2" xfId="23920" xr:uid="{00000000-0005-0000-0000-0000705C0000}"/>
    <cellStyle name="Normal 281 6 3" xfId="23921" xr:uid="{00000000-0005-0000-0000-0000715C0000}"/>
    <cellStyle name="Normal 281 7" xfId="23922" xr:uid="{00000000-0005-0000-0000-0000725C0000}"/>
    <cellStyle name="Normal 282" xfId="23923" xr:uid="{00000000-0005-0000-0000-0000735C0000}"/>
    <cellStyle name="Normal 282 2" xfId="23924" xr:uid="{00000000-0005-0000-0000-0000745C0000}"/>
    <cellStyle name="Normal 282 2 2" xfId="23925" xr:uid="{00000000-0005-0000-0000-0000755C0000}"/>
    <cellStyle name="Normal 282 2 2 2" xfId="23926" xr:uid="{00000000-0005-0000-0000-0000765C0000}"/>
    <cellStyle name="Normal 282 2 3" xfId="23927" xr:uid="{00000000-0005-0000-0000-0000775C0000}"/>
    <cellStyle name="Normal 282 2 3 2" xfId="23928" xr:uid="{00000000-0005-0000-0000-0000785C0000}"/>
    <cellStyle name="Normal 282 2 3 2 2" xfId="23929" xr:uid="{00000000-0005-0000-0000-0000795C0000}"/>
    <cellStyle name="Normal 282 2 3 3" xfId="23930" xr:uid="{00000000-0005-0000-0000-00007A5C0000}"/>
    <cellStyle name="Normal 282 2 4" xfId="23931" xr:uid="{00000000-0005-0000-0000-00007B5C0000}"/>
    <cellStyle name="Normal 282 2 4 2" xfId="23932" xr:uid="{00000000-0005-0000-0000-00007C5C0000}"/>
    <cellStyle name="Normal 282 2 4 2 2" xfId="23933" xr:uid="{00000000-0005-0000-0000-00007D5C0000}"/>
    <cellStyle name="Normal 282 2 4 3" xfId="23934" xr:uid="{00000000-0005-0000-0000-00007E5C0000}"/>
    <cellStyle name="Normal 282 2 5" xfId="23935" xr:uid="{00000000-0005-0000-0000-00007F5C0000}"/>
    <cellStyle name="Normal 282 3" xfId="23936" xr:uid="{00000000-0005-0000-0000-0000805C0000}"/>
    <cellStyle name="Normal 282 3 2" xfId="23937" xr:uid="{00000000-0005-0000-0000-0000815C0000}"/>
    <cellStyle name="Normal 282 3 2 2" xfId="23938" xr:uid="{00000000-0005-0000-0000-0000825C0000}"/>
    <cellStyle name="Normal 282 3 2 2 2" xfId="23939" xr:uid="{00000000-0005-0000-0000-0000835C0000}"/>
    <cellStyle name="Normal 282 3 2 3" xfId="23940" xr:uid="{00000000-0005-0000-0000-0000845C0000}"/>
    <cellStyle name="Normal 282 3 2 3 2" xfId="23941" xr:uid="{00000000-0005-0000-0000-0000855C0000}"/>
    <cellStyle name="Normal 282 3 2 3 2 2" xfId="23942" xr:uid="{00000000-0005-0000-0000-0000865C0000}"/>
    <cellStyle name="Normal 282 3 2 3 3" xfId="23943" xr:uid="{00000000-0005-0000-0000-0000875C0000}"/>
    <cellStyle name="Normal 282 3 2 4" xfId="23944" xr:uid="{00000000-0005-0000-0000-0000885C0000}"/>
    <cellStyle name="Normal 282 3 3" xfId="23945" xr:uid="{00000000-0005-0000-0000-0000895C0000}"/>
    <cellStyle name="Normal 282 3 3 2" xfId="23946" xr:uid="{00000000-0005-0000-0000-00008A5C0000}"/>
    <cellStyle name="Normal 282 3 3 2 2" xfId="23947" xr:uid="{00000000-0005-0000-0000-00008B5C0000}"/>
    <cellStyle name="Normal 282 3 3 3" xfId="23948" xr:uid="{00000000-0005-0000-0000-00008C5C0000}"/>
    <cellStyle name="Normal 282 3 4" xfId="23949" xr:uid="{00000000-0005-0000-0000-00008D5C0000}"/>
    <cellStyle name="Normal 282 3 4 2" xfId="23950" xr:uid="{00000000-0005-0000-0000-00008E5C0000}"/>
    <cellStyle name="Normal 282 3 4 2 2" xfId="23951" xr:uid="{00000000-0005-0000-0000-00008F5C0000}"/>
    <cellStyle name="Normal 282 3 4 3" xfId="23952" xr:uid="{00000000-0005-0000-0000-0000905C0000}"/>
    <cellStyle name="Normal 282 3 5" xfId="23953" xr:uid="{00000000-0005-0000-0000-0000915C0000}"/>
    <cellStyle name="Normal 282 3 5 2" xfId="23954" xr:uid="{00000000-0005-0000-0000-0000925C0000}"/>
    <cellStyle name="Normal 282 3 5 2 2" xfId="23955" xr:uid="{00000000-0005-0000-0000-0000935C0000}"/>
    <cellStyle name="Normal 282 3 5 3" xfId="23956" xr:uid="{00000000-0005-0000-0000-0000945C0000}"/>
    <cellStyle name="Normal 282 3 6" xfId="23957" xr:uid="{00000000-0005-0000-0000-0000955C0000}"/>
    <cellStyle name="Normal 282 4" xfId="23958" xr:uid="{00000000-0005-0000-0000-0000965C0000}"/>
    <cellStyle name="Normal 282 4 2" xfId="23959" xr:uid="{00000000-0005-0000-0000-0000975C0000}"/>
    <cellStyle name="Normal 282 4 2 2" xfId="23960" xr:uid="{00000000-0005-0000-0000-0000985C0000}"/>
    <cellStyle name="Normal 282 4 3" xfId="23961" xr:uid="{00000000-0005-0000-0000-0000995C0000}"/>
    <cellStyle name="Normal 282 5" xfId="23962" xr:uid="{00000000-0005-0000-0000-00009A5C0000}"/>
    <cellStyle name="Normal 282 5 2" xfId="23963" xr:uid="{00000000-0005-0000-0000-00009B5C0000}"/>
    <cellStyle name="Normal 282 5 2 2" xfId="23964" xr:uid="{00000000-0005-0000-0000-00009C5C0000}"/>
    <cellStyle name="Normal 282 5 3" xfId="23965" xr:uid="{00000000-0005-0000-0000-00009D5C0000}"/>
    <cellStyle name="Normal 282 6" xfId="23966" xr:uid="{00000000-0005-0000-0000-00009E5C0000}"/>
    <cellStyle name="Normal 282 6 2" xfId="23967" xr:uid="{00000000-0005-0000-0000-00009F5C0000}"/>
    <cellStyle name="Normal 282 6 2 2" xfId="23968" xr:uid="{00000000-0005-0000-0000-0000A05C0000}"/>
    <cellStyle name="Normal 282 6 3" xfId="23969" xr:uid="{00000000-0005-0000-0000-0000A15C0000}"/>
    <cellStyle name="Normal 282 7" xfId="23970" xr:uid="{00000000-0005-0000-0000-0000A25C0000}"/>
    <cellStyle name="Normal 283" xfId="23971" xr:uid="{00000000-0005-0000-0000-0000A35C0000}"/>
    <cellStyle name="Normal 283 2" xfId="23972" xr:uid="{00000000-0005-0000-0000-0000A45C0000}"/>
    <cellStyle name="Normal 283 2 2" xfId="23973" xr:uid="{00000000-0005-0000-0000-0000A55C0000}"/>
    <cellStyle name="Normal 283 2 2 2" xfId="23974" xr:uid="{00000000-0005-0000-0000-0000A65C0000}"/>
    <cellStyle name="Normal 283 2 3" xfId="23975" xr:uid="{00000000-0005-0000-0000-0000A75C0000}"/>
    <cellStyle name="Normal 283 2 3 2" xfId="23976" xr:uid="{00000000-0005-0000-0000-0000A85C0000}"/>
    <cellStyle name="Normal 283 2 3 2 2" xfId="23977" xr:uid="{00000000-0005-0000-0000-0000A95C0000}"/>
    <cellStyle name="Normal 283 2 3 3" xfId="23978" xr:uid="{00000000-0005-0000-0000-0000AA5C0000}"/>
    <cellStyle name="Normal 283 2 4" xfId="23979" xr:uid="{00000000-0005-0000-0000-0000AB5C0000}"/>
    <cellStyle name="Normal 283 2 4 2" xfId="23980" xr:uid="{00000000-0005-0000-0000-0000AC5C0000}"/>
    <cellStyle name="Normal 283 2 4 2 2" xfId="23981" xr:uid="{00000000-0005-0000-0000-0000AD5C0000}"/>
    <cellStyle name="Normal 283 2 4 3" xfId="23982" xr:uid="{00000000-0005-0000-0000-0000AE5C0000}"/>
    <cellStyle name="Normal 283 2 5" xfId="23983" xr:uid="{00000000-0005-0000-0000-0000AF5C0000}"/>
    <cellStyle name="Normal 283 3" xfId="23984" xr:uid="{00000000-0005-0000-0000-0000B05C0000}"/>
    <cellStyle name="Normal 283 3 2" xfId="23985" xr:uid="{00000000-0005-0000-0000-0000B15C0000}"/>
    <cellStyle name="Normal 283 3 2 2" xfId="23986" xr:uid="{00000000-0005-0000-0000-0000B25C0000}"/>
    <cellStyle name="Normal 283 3 2 2 2" xfId="23987" xr:uid="{00000000-0005-0000-0000-0000B35C0000}"/>
    <cellStyle name="Normal 283 3 2 3" xfId="23988" xr:uid="{00000000-0005-0000-0000-0000B45C0000}"/>
    <cellStyle name="Normal 283 3 2 3 2" xfId="23989" xr:uid="{00000000-0005-0000-0000-0000B55C0000}"/>
    <cellStyle name="Normal 283 3 2 3 2 2" xfId="23990" xr:uid="{00000000-0005-0000-0000-0000B65C0000}"/>
    <cellStyle name="Normal 283 3 2 3 3" xfId="23991" xr:uid="{00000000-0005-0000-0000-0000B75C0000}"/>
    <cellStyle name="Normal 283 3 2 4" xfId="23992" xr:uid="{00000000-0005-0000-0000-0000B85C0000}"/>
    <cellStyle name="Normal 283 3 3" xfId="23993" xr:uid="{00000000-0005-0000-0000-0000B95C0000}"/>
    <cellStyle name="Normal 283 3 3 2" xfId="23994" xr:uid="{00000000-0005-0000-0000-0000BA5C0000}"/>
    <cellStyle name="Normal 283 3 3 2 2" xfId="23995" xr:uid="{00000000-0005-0000-0000-0000BB5C0000}"/>
    <cellStyle name="Normal 283 3 3 3" xfId="23996" xr:uid="{00000000-0005-0000-0000-0000BC5C0000}"/>
    <cellStyle name="Normal 283 3 4" xfId="23997" xr:uid="{00000000-0005-0000-0000-0000BD5C0000}"/>
    <cellStyle name="Normal 283 3 4 2" xfId="23998" xr:uid="{00000000-0005-0000-0000-0000BE5C0000}"/>
    <cellStyle name="Normal 283 3 4 2 2" xfId="23999" xr:uid="{00000000-0005-0000-0000-0000BF5C0000}"/>
    <cellStyle name="Normal 283 3 4 3" xfId="24000" xr:uid="{00000000-0005-0000-0000-0000C05C0000}"/>
    <cellStyle name="Normal 283 3 5" xfId="24001" xr:uid="{00000000-0005-0000-0000-0000C15C0000}"/>
    <cellStyle name="Normal 283 3 5 2" xfId="24002" xr:uid="{00000000-0005-0000-0000-0000C25C0000}"/>
    <cellStyle name="Normal 283 3 5 2 2" xfId="24003" xr:uid="{00000000-0005-0000-0000-0000C35C0000}"/>
    <cellStyle name="Normal 283 3 5 3" xfId="24004" xr:uid="{00000000-0005-0000-0000-0000C45C0000}"/>
    <cellStyle name="Normal 283 3 6" xfId="24005" xr:uid="{00000000-0005-0000-0000-0000C55C0000}"/>
    <cellStyle name="Normal 283 4" xfId="24006" xr:uid="{00000000-0005-0000-0000-0000C65C0000}"/>
    <cellStyle name="Normal 283 4 2" xfId="24007" xr:uid="{00000000-0005-0000-0000-0000C75C0000}"/>
    <cellStyle name="Normal 283 4 2 2" xfId="24008" xr:uid="{00000000-0005-0000-0000-0000C85C0000}"/>
    <cellStyle name="Normal 283 4 3" xfId="24009" xr:uid="{00000000-0005-0000-0000-0000C95C0000}"/>
    <cellStyle name="Normal 283 5" xfId="24010" xr:uid="{00000000-0005-0000-0000-0000CA5C0000}"/>
    <cellStyle name="Normal 283 5 2" xfId="24011" xr:uid="{00000000-0005-0000-0000-0000CB5C0000}"/>
    <cellStyle name="Normal 283 5 2 2" xfId="24012" xr:uid="{00000000-0005-0000-0000-0000CC5C0000}"/>
    <cellStyle name="Normal 283 5 3" xfId="24013" xr:uid="{00000000-0005-0000-0000-0000CD5C0000}"/>
    <cellStyle name="Normal 283 6" xfId="24014" xr:uid="{00000000-0005-0000-0000-0000CE5C0000}"/>
    <cellStyle name="Normal 283 6 2" xfId="24015" xr:uid="{00000000-0005-0000-0000-0000CF5C0000}"/>
    <cellStyle name="Normal 283 6 2 2" xfId="24016" xr:uid="{00000000-0005-0000-0000-0000D05C0000}"/>
    <cellStyle name="Normal 283 6 3" xfId="24017" xr:uid="{00000000-0005-0000-0000-0000D15C0000}"/>
    <cellStyle name="Normal 283 7" xfId="24018" xr:uid="{00000000-0005-0000-0000-0000D25C0000}"/>
    <cellStyle name="Normal 284" xfId="24019" xr:uid="{00000000-0005-0000-0000-0000D35C0000}"/>
    <cellStyle name="Normal 284 2" xfId="24020" xr:uid="{00000000-0005-0000-0000-0000D45C0000}"/>
    <cellStyle name="Normal 284 2 2" xfId="24021" xr:uid="{00000000-0005-0000-0000-0000D55C0000}"/>
    <cellStyle name="Normal 284 2 2 2" xfId="24022" xr:uid="{00000000-0005-0000-0000-0000D65C0000}"/>
    <cellStyle name="Normal 284 2 3" xfId="24023" xr:uid="{00000000-0005-0000-0000-0000D75C0000}"/>
    <cellStyle name="Normal 284 2 3 2" xfId="24024" xr:uid="{00000000-0005-0000-0000-0000D85C0000}"/>
    <cellStyle name="Normal 284 2 3 2 2" xfId="24025" xr:uid="{00000000-0005-0000-0000-0000D95C0000}"/>
    <cellStyle name="Normal 284 2 3 3" xfId="24026" xr:uid="{00000000-0005-0000-0000-0000DA5C0000}"/>
    <cellStyle name="Normal 284 2 4" xfId="24027" xr:uid="{00000000-0005-0000-0000-0000DB5C0000}"/>
    <cellStyle name="Normal 284 2 4 2" xfId="24028" xr:uid="{00000000-0005-0000-0000-0000DC5C0000}"/>
    <cellStyle name="Normal 284 2 4 2 2" xfId="24029" xr:uid="{00000000-0005-0000-0000-0000DD5C0000}"/>
    <cellStyle name="Normal 284 2 4 3" xfId="24030" xr:uid="{00000000-0005-0000-0000-0000DE5C0000}"/>
    <cellStyle name="Normal 284 2 5" xfId="24031" xr:uid="{00000000-0005-0000-0000-0000DF5C0000}"/>
    <cellStyle name="Normal 284 3" xfId="24032" xr:uid="{00000000-0005-0000-0000-0000E05C0000}"/>
    <cellStyle name="Normal 284 3 2" xfId="24033" xr:uid="{00000000-0005-0000-0000-0000E15C0000}"/>
    <cellStyle name="Normal 284 3 2 2" xfId="24034" xr:uid="{00000000-0005-0000-0000-0000E25C0000}"/>
    <cellStyle name="Normal 284 3 2 2 2" xfId="24035" xr:uid="{00000000-0005-0000-0000-0000E35C0000}"/>
    <cellStyle name="Normal 284 3 2 3" xfId="24036" xr:uid="{00000000-0005-0000-0000-0000E45C0000}"/>
    <cellStyle name="Normal 284 3 2 3 2" xfId="24037" xr:uid="{00000000-0005-0000-0000-0000E55C0000}"/>
    <cellStyle name="Normal 284 3 2 3 2 2" xfId="24038" xr:uid="{00000000-0005-0000-0000-0000E65C0000}"/>
    <cellStyle name="Normal 284 3 2 3 3" xfId="24039" xr:uid="{00000000-0005-0000-0000-0000E75C0000}"/>
    <cellStyle name="Normal 284 3 2 4" xfId="24040" xr:uid="{00000000-0005-0000-0000-0000E85C0000}"/>
    <cellStyle name="Normal 284 3 3" xfId="24041" xr:uid="{00000000-0005-0000-0000-0000E95C0000}"/>
    <cellStyle name="Normal 284 3 3 2" xfId="24042" xr:uid="{00000000-0005-0000-0000-0000EA5C0000}"/>
    <cellStyle name="Normal 284 3 3 2 2" xfId="24043" xr:uid="{00000000-0005-0000-0000-0000EB5C0000}"/>
    <cellStyle name="Normal 284 3 3 3" xfId="24044" xr:uid="{00000000-0005-0000-0000-0000EC5C0000}"/>
    <cellStyle name="Normal 284 3 4" xfId="24045" xr:uid="{00000000-0005-0000-0000-0000ED5C0000}"/>
    <cellStyle name="Normal 284 3 4 2" xfId="24046" xr:uid="{00000000-0005-0000-0000-0000EE5C0000}"/>
    <cellStyle name="Normal 284 3 4 2 2" xfId="24047" xr:uid="{00000000-0005-0000-0000-0000EF5C0000}"/>
    <cellStyle name="Normal 284 3 4 3" xfId="24048" xr:uid="{00000000-0005-0000-0000-0000F05C0000}"/>
    <cellStyle name="Normal 284 3 5" xfId="24049" xr:uid="{00000000-0005-0000-0000-0000F15C0000}"/>
    <cellStyle name="Normal 284 3 5 2" xfId="24050" xr:uid="{00000000-0005-0000-0000-0000F25C0000}"/>
    <cellStyle name="Normal 284 3 5 2 2" xfId="24051" xr:uid="{00000000-0005-0000-0000-0000F35C0000}"/>
    <cellStyle name="Normal 284 3 5 3" xfId="24052" xr:uid="{00000000-0005-0000-0000-0000F45C0000}"/>
    <cellStyle name="Normal 284 3 6" xfId="24053" xr:uid="{00000000-0005-0000-0000-0000F55C0000}"/>
    <cellStyle name="Normal 284 4" xfId="24054" xr:uid="{00000000-0005-0000-0000-0000F65C0000}"/>
    <cellStyle name="Normal 284 4 2" xfId="24055" xr:uid="{00000000-0005-0000-0000-0000F75C0000}"/>
    <cellStyle name="Normal 284 4 2 2" xfId="24056" xr:uid="{00000000-0005-0000-0000-0000F85C0000}"/>
    <cellStyle name="Normal 284 4 3" xfId="24057" xr:uid="{00000000-0005-0000-0000-0000F95C0000}"/>
    <cellStyle name="Normal 284 5" xfId="24058" xr:uid="{00000000-0005-0000-0000-0000FA5C0000}"/>
    <cellStyle name="Normal 284 5 2" xfId="24059" xr:uid="{00000000-0005-0000-0000-0000FB5C0000}"/>
    <cellStyle name="Normal 284 5 2 2" xfId="24060" xr:uid="{00000000-0005-0000-0000-0000FC5C0000}"/>
    <cellStyle name="Normal 284 5 3" xfId="24061" xr:uid="{00000000-0005-0000-0000-0000FD5C0000}"/>
    <cellStyle name="Normal 284 6" xfId="24062" xr:uid="{00000000-0005-0000-0000-0000FE5C0000}"/>
    <cellStyle name="Normal 284 6 2" xfId="24063" xr:uid="{00000000-0005-0000-0000-0000FF5C0000}"/>
    <cellStyle name="Normal 284 6 2 2" xfId="24064" xr:uid="{00000000-0005-0000-0000-0000005D0000}"/>
    <cellStyle name="Normal 284 6 3" xfId="24065" xr:uid="{00000000-0005-0000-0000-0000015D0000}"/>
    <cellStyle name="Normal 284 7" xfId="24066" xr:uid="{00000000-0005-0000-0000-0000025D0000}"/>
    <cellStyle name="Normal 285" xfId="24067" xr:uid="{00000000-0005-0000-0000-0000035D0000}"/>
    <cellStyle name="Normal 285 2" xfId="24068" xr:uid="{00000000-0005-0000-0000-0000045D0000}"/>
    <cellStyle name="Normal 285 2 2" xfId="24069" xr:uid="{00000000-0005-0000-0000-0000055D0000}"/>
    <cellStyle name="Normal 285 2 2 2" xfId="24070" xr:uid="{00000000-0005-0000-0000-0000065D0000}"/>
    <cellStyle name="Normal 285 2 3" xfId="24071" xr:uid="{00000000-0005-0000-0000-0000075D0000}"/>
    <cellStyle name="Normal 285 2 3 2" xfId="24072" xr:uid="{00000000-0005-0000-0000-0000085D0000}"/>
    <cellStyle name="Normal 285 2 3 2 2" xfId="24073" xr:uid="{00000000-0005-0000-0000-0000095D0000}"/>
    <cellStyle name="Normal 285 2 3 3" xfId="24074" xr:uid="{00000000-0005-0000-0000-00000A5D0000}"/>
    <cellStyle name="Normal 285 2 4" xfId="24075" xr:uid="{00000000-0005-0000-0000-00000B5D0000}"/>
    <cellStyle name="Normal 285 2 4 2" xfId="24076" xr:uid="{00000000-0005-0000-0000-00000C5D0000}"/>
    <cellStyle name="Normal 285 2 4 2 2" xfId="24077" xr:uid="{00000000-0005-0000-0000-00000D5D0000}"/>
    <cellStyle name="Normal 285 2 4 3" xfId="24078" xr:uid="{00000000-0005-0000-0000-00000E5D0000}"/>
    <cellStyle name="Normal 285 2 5" xfId="24079" xr:uid="{00000000-0005-0000-0000-00000F5D0000}"/>
    <cellStyle name="Normal 285 3" xfId="24080" xr:uid="{00000000-0005-0000-0000-0000105D0000}"/>
    <cellStyle name="Normal 285 3 2" xfId="24081" xr:uid="{00000000-0005-0000-0000-0000115D0000}"/>
    <cellStyle name="Normal 285 3 2 2" xfId="24082" xr:uid="{00000000-0005-0000-0000-0000125D0000}"/>
    <cellStyle name="Normal 285 3 2 2 2" xfId="24083" xr:uid="{00000000-0005-0000-0000-0000135D0000}"/>
    <cellStyle name="Normal 285 3 2 3" xfId="24084" xr:uid="{00000000-0005-0000-0000-0000145D0000}"/>
    <cellStyle name="Normal 285 3 2 3 2" xfId="24085" xr:uid="{00000000-0005-0000-0000-0000155D0000}"/>
    <cellStyle name="Normal 285 3 2 3 2 2" xfId="24086" xr:uid="{00000000-0005-0000-0000-0000165D0000}"/>
    <cellStyle name="Normal 285 3 2 3 3" xfId="24087" xr:uid="{00000000-0005-0000-0000-0000175D0000}"/>
    <cellStyle name="Normal 285 3 2 4" xfId="24088" xr:uid="{00000000-0005-0000-0000-0000185D0000}"/>
    <cellStyle name="Normal 285 3 3" xfId="24089" xr:uid="{00000000-0005-0000-0000-0000195D0000}"/>
    <cellStyle name="Normal 285 3 3 2" xfId="24090" xr:uid="{00000000-0005-0000-0000-00001A5D0000}"/>
    <cellStyle name="Normal 285 3 3 2 2" xfId="24091" xr:uid="{00000000-0005-0000-0000-00001B5D0000}"/>
    <cellStyle name="Normal 285 3 3 3" xfId="24092" xr:uid="{00000000-0005-0000-0000-00001C5D0000}"/>
    <cellStyle name="Normal 285 3 4" xfId="24093" xr:uid="{00000000-0005-0000-0000-00001D5D0000}"/>
    <cellStyle name="Normal 285 3 4 2" xfId="24094" xr:uid="{00000000-0005-0000-0000-00001E5D0000}"/>
    <cellStyle name="Normal 285 3 4 2 2" xfId="24095" xr:uid="{00000000-0005-0000-0000-00001F5D0000}"/>
    <cellStyle name="Normal 285 3 4 3" xfId="24096" xr:uid="{00000000-0005-0000-0000-0000205D0000}"/>
    <cellStyle name="Normal 285 3 5" xfId="24097" xr:uid="{00000000-0005-0000-0000-0000215D0000}"/>
    <cellStyle name="Normal 285 3 5 2" xfId="24098" xr:uid="{00000000-0005-0000-0000-0000225D0000}"/>
    <cellStyle name="Normal 285 3 5 2 2" xfId="24099" xr:uid="{00000000-0005-0000-0000-0000235D0000}"/>
    <cellStyle name="Normal 285 3 5 3" xfId="24100" xr:uid="{00000000-0005-0000-0000-0000245D0000}"/>
    <cellStyle name="Normal 285 3 6" xfId="24101" xr:uid="{00000000-0005-0000-0000-0000255D0000}"/>
    <cellStyle name="Normal 285 4" xfId="24102" xr:uid="{00000000-0005-0000-0000-0000265D0000}"/>
    <cellStyle name="Normal 285 4 2" xfId="24103" xr:uid="{00000000-0005-0000-0000-0000275D0000}"/>
    <cellStyle name="Normal 285 4 2 2" xfId="24104" xr:uid="{00000000-0005-0000-0000-0000285D0000}"/>
    <cellStyle name="Normal 285 4 3" xfId="24105" xr:uid="{00000000-0005-0000-0000-0000295D0000}"/>
    <cellStyle name="Normal 285 5" xfId="24106" xr:uid="{00000000-0005-0000-0000-00002A5D0000}"/>
    <cellStyle name="Normal 285 5 2" xfId="24107" xr:uid="{00000000-0005-0000-0000-00002B5D0000}"/>
    <cellStyle name="Normal 285 5 2 2" xfId="24108" xr:uid="{00000000-0005-0000-0000-00002C5D0000}"/>
    <cellStyle name="Normal 285 5 3" xfId="24109" xr:uid="{00000000-0005-0000-0000-00002D5D0000}"/>
    <cellStyle name="Normal 285 6" xfId="24110" xr:uid="{00000000-0005-0000-0000-00002E5D0000}"/>
    <cellStyle name="Normal 285 6 2" xfId="24111" xr:uid="{00000000-0005-0000-0000-00002F5D0000}"/>
    <cellStyle name="Normal 285 6 2 2" xfId="24112" xr:uid="{00000000-0005-0000-0000-0000305D0000}"/>
    <cellStyle name="Normal 285 6 3" xfId="24113" xr:uid="{00000000-0005-0000-0000-0000315D0000}"/>
    <cellStyle name="Normal 285 7" xfId="24114" xr:uid="{00000000-0005-0000-0000-0000325D0000}"/>
    <cellStyle name="Normal 286" xfId="24115" xr:uid="{00000000-0005-0000-0000-0000335D0000}"/>
    <cellStyle name="Normal 286 2" xfId="24116" xr:uid="{00000000-0005-0000-0000-0000345D0000}"/>
    <cellStyle name="Normal 286 2 2" xfId="24117" xr:uid="{00000000-0005-0000-0000-0000355D0000}"/>
    <cellStyle name="Normal 286 2 2 2" xfId="24118" xr:uid="{00000000-0005-0000-0000-0000365D0000}"/>
    <cellStyle name="Normal 286 2 3" xfId="24119" xr:uid="{00000000-0005-0000-0000-0000375D0000}"/>
    <cellStyle name="Normal 286 2 3 2" xfId="24120" xr:uid="{00000000-0005-0000-0000-0000385D0000}"/>
    <cellStyle name="Normal 286 2 3 2 2" xfId="24121" xr:uid="{00000000-0005-0000-0000-0000395D0000}"/>
    <cellStyle name="Normal 286 2 3 3" xfId="24122" xr:uid="{00000000-0005-0000-0000-00003A5D0000}"/>
    <cellStyle name="Normal 286 2 4" xfId="24123" xr:uid="{00000000-0005-0000-0000-00003B5D0000}"/>
    <cellStyle name="Normal 286 2 4 2" xfId="24124" xr:uid="{00000000-0005-0000-0000-00003C5D0000}"/>
    <cellStyle name="Normal 286 2 4 2 2" xfId="24125" xr:uid="{00000000-0005-0000-0000-00003D5D0000}"/>
    <cellStyle name="Normal 286 2 4 3" xfId="24126" xr:uid="{00000000-0005-0000-0000-00003E5D0000}"/>
    <cellStyle name="Normal 286 2 5" xfId="24127" xr:uid="{00000000-0005-0000-0000-00003F5D0000}"/>
    <cellStyle name="Normal 286 3" xfId="24128" xr:uid="{00000000-0005-0000-0000-0000405D0000}"/>
    <cellStyle name="Normal 286 3 2" xfId="24129" xr:uid="{00000000-0005-0000-0000-0000415D0000}"/>
    <cellStyle name="Normal 286 3 2 2" xfId="24130" xr:uid="{00000000-0005-0000-0000-0000425D0000}"/>
    <cellStyle name="Normal 286 3 2 2 2" xfId="24131" xr:uid="{00000000-0005-0000-0000-0000435D0000}"/>
    <cellStyle name="Normal 286 3 2 3" xfId="24132" xr:uid="{00000000-0005-0000-0000-0000445D0000}"/>
    <cellStyle name="Normal 286 3 2 3 2" xfId="24133" xr:uid="{00000000-0005-0000-0000-0000455D0000}"/>
    <cellStyle name="Normal 286 3 2 3 2 2" xfId="24134" xr:uid="{00000000-0005-0000-0000-0000465D0000}"/>
    <cellStyle name="Normal 286 3 2 3 3" xfId="24135" xr:uid="{00000000-0005-0000-0000-0000475D0000}"/>
    <cellStyle name="Normal 286 3 2 4" xfId="24136" xr:uid="{00000000-0005-0000-0000-0000485D0000}"/>
    <cellStyle name="Normal 286 3 3" xfId="24137" xr:uid="{00000000-0005-0000-0000-0000495D0000}"/>
    <cellStyle name="Normal 286 3 3 2" xfId="24138" xr:uid="{00000000-0005-0000-0000-00004A5D0000}"/>
    <cellStyle name="Normal 286 3 3 2 2" xfId="24139" xr:uid="{00000000-0005-0000-0000-00004B5D0000}"/>
    <cellStyle name="Normal 286 3 3 3" xfId="24140" xr:uid="{00000000-0005-0000-0000-00004C5D0000}"/>
    <cellStyle name="Normal 286 3 4" xfId="24141" xr:uid="{00000000-0005-0000-0000-00004D5D0000}"/>
    <cellStyle name="Normal 286 3 4 2" xfId="24142" xr:uid="{00000000-0005-0000-0000-00004E5D0000}"/>
    <cellStyle name="Normal 286 3 4 2 2" xfId="24143" xr:uid="{00000000-0005-0000-0000-00004F5D0000}"/>
    <cellStyle name="Normal 286 3 4 3" xfId="24144" xr:uid="{00000000-0005-0000-0000-0000505D0000}"/>
    <cellStyle name="Normal 286 3 5" xfId="24145" xr:uid="{00000000-0005-0000-0000-0000515D0000}"/>
    <cellStyle name="Normal 286 3 5 2" xfId="24146" xr:uid="{00000000-0005-0000-0000-0000525D0000}"/>
    <cellStyle name="Normal 286 3 5 2 2" xfId="24147" xr:uid="{00000000-0005-0000-0000-0000535D0000}"/>
    <cellStyle name="Normal 286 3 5 3" xfId="24148" xr:uid="{00000000-0005-0000-0000-0000545D0000}"/>
    <cellStyle name="Normal 286 3 6" xfId="24149" xr:uid="{00000000-0005-0000-0000-0000555D0000}"/>
    <cellStyle name="Normal 286 4" xfId="24150" xr:uid="{00000000-0005-0000-0000-0000565D0000}"/>
    <cellStyle name="Normal 286 4 2" xfId="24151" xr:uid="{00000000-0005-0000-0000-0000575D0000}"/>
    <cellStyle name="Normal 286 4 2 2" xfId="24152" xr:uid="{00000000-0005-0000-0000-0000585D0000}"/>
    <cellStyle name="Normal 286 4 3" xfId="24153" xr:uid="{00000000-0005-0000-0000-0000595D0000}"/>
    <cellStyle name="Normal 286 5" xfId="24154" xr:uid="{00000000-0005-0000-0000-00005A5D0000}"/>
    <cellStyle name="Normal 286 5 2" xfId="24155" xr:uid="{00000000-0005-0000-0000-00005B5D0000}"/>
    <cellStyle name="Normal 286 5 2 2" xfId="24156" xr:uid="{00000000-0005-0000-0000-00005C5D0000}"/>
    <cellStyle name="Normal 286 5 3" xfId="24157" xr:uid="{00000000-0005-0000-0000-00005D5D0000}"/>
    <cellStyle name="Normal 286 6" xfId="24158" xr:uid="{00000000-0005-0000-0000-00005E5D0000}"/>
    <cellStyle name="Normal 286 6 2" xfId="24159" xr:uid="{00000000-0005-0000-0000-00005F5D0000}"/>
    <cellStyle name="Normal 286 6 2 2" xfId="24160" xr:uid="{00000000-0005-0000-0000-0000605D0000}"/>
    <cellStyle name="Normal 286 6 3" xfId="24161" xr:uid="{00000000-0005-0000-0000-0000615D0000}"/>
    <cellStyle name="Normal 286 7" xfId="24162" xr:uid="{00000000-0005-0000-0000-0000625D0000}"/>
    <cellStyle name="Normal 287" xfId="24163" xr:uid="{00000000-0005-0000-0000-0000635D0000}"/>
    <cellStyle name="Normal 287 2" xfId="24164" xr:uid="{00000000-0005-0000-0000-0000645D0000}"/>
    <cellStyle name="Normal 287 2 2" xfId="24165" xr:uid="{00000000-0005-0000-0000-0000655D0000}"/>
    <cellStyle name="Normal 287 2 2 2" xfId="24166" xr:uid="{00000000-0005-0000-0000-0000665D0000}"/>
    <cellStyle name="Normal 287 2 3" xfId="24167" xr:uid="{00000000-0005-0000-0000-0000675D0000}"/>
    <cellStyle name="Normal 287 2 3 2" xfId="24168" xr:uid="{00000000-0005-0000-0000-0000685D0000}"/>
    <cellStyle name="Normal 287 2 3 2 2" xfId="24169" xr:uid="{00000000-0005-0000-0000-0000695D0000}"/>
    <cellStyle name="Normal 287 2 3 3" xfId="24170" xr:uid="{00000000-0005-0000-0000-00006A5D0000}"/>
    <cellStyle name="Normal 287 2 4" xfId="24171" xr:uid="{00000000-0005-0000-0000-00006B5D0000}"/>
    <cellStyle name="Normal 287 2 4 2" xfId="24172" xr:uid="{00000000-0005-0000-0000-00006C5D0000}"/>
    <cellStyle name="Normal 287 2 4 2 2" xfId="24173" xr:uid="{00000000-0005-0000-0000-00006D5D0000}"/>
    <cellStyle name="Normal 287 2 4 3" xfId="24174" xr:uid="{00000000-0005-0000-0000-00006E5D0000}"/>
    <cellStyle name="Normal 287 2 5" xfId="24175" xr:uid="{00000000-0005-0000-0000-00006F5D0000}"/>
    <cellStyle name="Normal 287 3" xfId="24176" xr:uid="{00000000-0005-0000-0000-0000705D0000}"/>
    <cellStyle name="Normal 287 3 2" xfId="24177" xr:uid="{00000000-0005-0000-0000-0000715D0000}"/>
    <cellStyle name="Normal 287 3 2 2" xfId="24178" xr:uid="{00000000-0005-0000-0000-0000725D0000}"/>
    <cellStyle name="Normal 287 3 2 2 2" xfId="24179" xr:uid="{00000000-0005-0000-0000-0000735D0000}"/>
    <cellStyle name="Normal 287 3 2 3" xfId="24180" xr:uid="{00000000-0005-0000-0000-0000745D0000}"/>
    <cellStyle name="Normal 287 3 2 3 2" xfId="24181" xr:uid="{00000000-0005-0000-0000-0000755D0000}"/>
    <cellStyle name="Normal 287 3 2 3 2 2" xfId="24182" xr:uid="{00000000-0005-0000-0000-0000765D0000}"/>
    <cellStyle name="Normal 287 3 2 3 3" xfId="24183" xr:uid="{00000000-0005-0000-0000-0000775D0000}"/>
    <cellStyle name="Normal 287 3 2 4" xfId="24184" xr:uid="{00000000-0005-0000-0000-0000785D0000}"/>
    <cellStyle name="Normal 287 3 3" xfId="24185" xr:uid="{00000000-0005-0000-0000-0000795D0000}"/>
    <cellStyle name="Normal 287 3 3 2" xfId="24186" xr:uid="{00000000-0005-0000-0000-00007A5D0000}"/>
    <cellStyle name="Normal 287 3 3 2 2" xfId="24187" xr:uid="{00000000-0005-0000-0000-00007B5D0000}"/>
    <cellStyle name="Normal 287 3 3 3" xfId="24188" xr:uid="{00000000-0005-0000-0000-00007C5D0000}"/>
    <cellStyle name="Normal 287 3 4" xfId="24189" xr:uid="{00000000-0005-0000-0000-00007D5D0000}"/>
    <cellStyle name="Normal 287 3 4 2" xfId="24190" xr:uid="{00000000-0005-0000-0000-00007E5D0000}"/>
    <cellStyle name="Normal 287 3 4 2 2" xfId="24191" xr:uid="{00000000-0005-0000-0000-00007F5D0000}"/>
    <cellStyle name="Normal 287 3 4 3" xfId="24192" xr:uid="{00000000-0005-0000-0000-0000805D0000}"/>
    <cellStyle name="Normal 287 3 5" xfId="24193" xr:uid="{00000000-0005-0000-0000-0000815D0000}"/>
    <cellStyle name="Normal 287 3 5 2" xfId="24194" xr:uid="{00000000-0005-0000-0000-0000825D0000}"/>
    <cellStyle name="Normal 287 3 5 2 2" xfId="24195" xr:uid="{00000000-0005-0000-0000-0000835D0000}"/>
    <cellStyle name="Normal 287 3 5 3" xfId="24196" xr:uid="{00000000-0005-0000-0000-0000845D0000}"/>
    <cellStyle name="Normal 287 3 6" xfId="24197" xr:uid="{00000000-0005-0000-0000-0000855D0000}"/>
    <cellStyle name="Normal 287 4" xfId="24198" xr:uid="{00000000-0005-0000-0000-0000865D0000}"/>
    <cellStyle name="Normal 287 4 2" xfId="24199" xr:uid="{00000000-0005-0000-0000-0000875D0000}"/>
    <cellStyle name="Normal 287 4 2 2" xfId="24200" xr:uid="{00000000-0005-0000-0000-0000885D0000}"/>
    <cellStyle name="Normal 287 4 3" xfId="24201" xr:uid="{00000000-0005-0000-0000-0000895D0000}"/>
    <cellStyle name="Normal 287 5" xfId="24202" xr:uid="{00000000-0005-0000-0000-00008A5D0000}"/>
    <cellStyle name="Normal 287 5 2" xfId="24203" xr:uid="{00000000-0005-0000-0000-00008B5D0000}"/>
    <cellStyle name="Normal 287 5 2 2" xfId="24204" xr:uid="{00000000-0005-0000-0000-00008C5D0000}"/>
    <cellStyle name="Normal 287 5 3" xfId="24205" xr:uid="{00000000-0005-0000-0000-00008D5D0000}"/>
    <cellStyle name="Normal 287 6" xfId="24206" xr:uid="{00000000-0005-0000-0000-00008E5D0000}"/>
    <cellStyle name="Normal 287 6 2" xfId="24207" xr:uid="{00000000-0005-0000-0000-00008F5D0000}"/>
    <cellStyle name="Normal 287 6 2 2" xfId="24208" xr:uid="{00000000-0005-0000-0000-0000905D0000}"/>
    <cellStyle name="Normal 287 6 3" xfId="24209" xr:uid="{00000000-0005-0000-0000-0000915D0000}"/>
    <cellStyle name="Normal 287 7" xfId="24210" xr:uid="{00000000-0005-0000-0000-0000925D0000}"/>
    <cellStyle name="Normal 288" xfId="24211" xr:uid="{00000000-0005-0000-0000-0000935D0000}"/>
    <cellStyle name="Normal 288 2" xfId="24212" xr:uid="{00000000-0005-0000-0000-0000945D0000}"/>
    <cellStyle name="Normal 288 2 2" xfId="24213" xr:uid="{00000000-0005-0000-0000-0000955D0000}"/>
    <cellStyle name="Normal 288 2 2 2" xfId="24214" xr:uid="{00000000-0005-0000-0000-0000965D0000}"/>
    <cellStyle name="Normal 288 2 3" xfId="24215" xr:uid="{00000000-0005-0000-0000-0000975D0000}"/>
    <cellStyle name="Normal 288 2 3 2" xfId="24216" xr:uid="{00000000-0005-0000-0000-0000985D0000}"/>
    <cellStyle name="Normal 288 2 3 2 2" xfId="24217" xr:uid="{00000000-0005-0000-0000-0000995D0000}"/>
    <cellStyle name="Normal 288 2 3 3" xfId="24218" xr:uid="{00000000-0005-0000-0000-00009A5D0000}"/>
    <cellStyle name="Normal 288 2 4" xfId="24219" xr:uid="{00000000-0005-0000-0000-00009B5D0000}"/>
    <cellStyle name="Normal 288 2 4 2" xfId="24220" xr:uid="{00000000-0005-0000-0000-00009C5D0000}"/>
    <cellStyle name="Normal 288 2 4 2 2" xfId="24221" xr:uid="{00000000-0005-0000-0000-00009D5D0000}"/>
    <cellStyle name="Normal 288 2 4 3" xfId="24222" xr:uid="{00000000-0005-0000-0000-00009E5D0000}"/>
    <cellStyle name="Normal 288 2 5" xfId="24223" xr:uid="{00000000-0005-0000-0000-00009F5D0000}"/>
    <cellStyle name="Normal 288 3" xfId="24224" xr:uid="{00000000-0005-0000-0000-0000A05D0000}"/>
    <cellStyle name="Normal 288 3 2" xfId="24225" xr:uid="{00000000-0005-0000-0000-0000A15D0000}"/>
    <cellStyle name="Normal 288 3 2 2" xfId="24226" xr:uid="{00000000-0005-0000-0000-0000A25D0000}"/>
    <cellStyle name="Normal 288 3 2 2 2" xfId="24227" xr:uid="{00000000-0005-0000-0000-0000A35D0000}"/>
    <cellStyle name="Normal 288 3 2 3" xfId="24228" xr:uid="{00000000-0005-0000-0000-0000A45D0000}"/>
    <cellStyle name="Normal 288 3 2 3 2" xfId="24229" xr:uid="{00000000-0005-0000-0000-0000A55D0000}"/>
    <cellStyle name="Normal 288 3 2 3 2 2" xfId="24230" xr:uid="{00000000-0005-0000-0000-0000A65D0000}"/>
    <cellStyle name="Normal 288 3 2 3 3" xfId="24231" xr:uid="{00000000-0005-0000-0000-0000A75D0000}"/>
    <cellStyle name="Normal 288 3 2 4" xfId="24232" xr:uid="{00000000-0005-0000-0000-0000A85D0000}"/>
    <cellStyle name="Normal 288 3 3" xfId="24233" xr:uid="{00000000-0005-0000-0000-0000A95D0000}"/>
    <cellStyle name="Normal 288 3 3 2" xfId="24234" xr:uid="{00000000-0005-0000-0000-0000AA5D0000}"/>
    <cellStyle name="Normal 288 3 3 2 2" xfId="24235" xr:uid="{00000000-0005-0000-0000-0000AB5D0000}"/>
    <cellStyle name="Normal 288 3 3 3" xfId="24236" xr:uid="{00000000-0005-0000-0000-0000AC5D0000}"/>
    <cellStyle name="Normal 288 3 4" xfId="24237" xr:uid="{00000000-0005-0000-0000-0000AD5D0000}"/>
    <cellStyle name="Normal 288 3 4 2" xfId="24238" xr:uid="{00000000-0005-0000-0000-0000AE5D0000}"/>
    <cellStyle name="Normal 288 3 4 2 2" xfId="24239" xr:uid="{00000000-0005-0000-0000-0000AF5D0000}"/>
    <cellStyle name="Normal 288 3 4 3" xfId="24240" xr:uid="{00000000-0005-0000-0000-0000B05D0000}"/>
    <cellStyle name="Normal 288 3 5" xfId="24241" xr:uid="{00000000-0005-0000-0000-0000B15D0000}"/>
    <cellStyle name="Normal 288 3 5 2" xfId="24242" xr:uid="{00000000-0005-0000-0000-0000B25D0000}"/>
    <cellStyle name="Normal 288 3 5 2 2" xfId="24243" xr:uid="{00000000-0005-0000-0000-0000B35D0000}"/>
    <cellStyle name="Normal 288 3 5 3" xfId="24244" xr:uid="{00000000-0005-0000-0000-0000B45D0000}"/>
    <cellStyle name="Normal 288 3 6" xfId="24245" xr:uid="{00000000-0005-0000-0000-0000B55D0000}"/>
    <cellStyle name="Normal 288 4" xfId="24246" xr:uid="{00000000-0005-0000-0000-0000B65D0000}"/>
    <cellStyle name="Normal 288 4 2" xfId="24247" xr:uid="{00000000-0005-0000-0000-0000B75D0000}"/>
    <cellStyle name="Normal 288 4 2 2" xfId="24248" xr:uid="{00000000-0005-0000-0000-0000B85D0000}"/>
    <cellStyle name="Normal 288 4 3" xfId="24249" xr:uid="{00000000-0005-0000-0000-0000B95D0000}"/>
    <cellStyle name="Normal 288 5" xfId="24250" xr:uid="{00000000-0005-0000-0000-0000BA5D0000}"/>
    <cellStyle name="Normal 288 5 2" xfId="24251" xr:uid="{00000000-0005-0000-0000-0000BB5D0000}"/>
    <cellStyle name="Normal 288 5 2 2" xfId="24252" xr:uid="{00000000-0005-0000-0000-0000BC5D0000}"/>
    <cellStyle name="Normal 288 5 3" xfId="24253" xr:uid="{00000000-0005-0000-0000-0000BD5D0000}"/>
    <cellStyle name="Normal 288 6" xfId="24254" xr:uid="{00000000-0005-0000-0000-0000BE5D0000}"/>
    <cellStyle name="Normal 288 6 2" xfId="24255" xr:uid="{00000000-0005-0000-0000-0000BF5D0000}"/>
    <cellStyle name="Normal 288 6 2 2" xfId="24256" xr:uid="{00000000-0005-0000-0000-0000C05D0000}"/>
    <cellStyle name="Normal 288 6 3" xfId="24257" xr:uid="{00000000-0005-0000-0000-0000C15D0000}"/>
    <cellStyle name="Normal 288 7" xfId="24258" xr:uid="{00000000-0005-0000-0000-0000C25D0000}"/>
    <cellStyle name="Normal 289" xfId="24259" xr:uid="{00000000-0005-0000-0000-0000C35D0000}"/>
    <cellStyle name="Normal 289 2" xfId="24260" xr:uid="{00000000-0005-0000-0000-0000C45D0000}"/>
    <cellStyle name="Normal 289 2 2" xfId="24261" xr:uid="{00000000-0005-0000-0000-0000C55D0000}"/>
    <cellStyle name="Normal 289 2 2 2" xfId="24262" xr:uid="{00000000-0005-0000-0000-0000C65D0000}"/>
    <cellStyle name="Normal 289 2 3" xfId="24263" xr:uid="{00000000-0005-0000-0000-0000C75D0000}"/>
    <cellStyle name="Normal 289 2 3 2" xfId="24264" xr:uid="{00000000-0005-0000-0000-0000C85D0000}"/>
    <cellStyle name="Normal 289 2 3 2 2" xfId="24265" xr:uid="{00000000-0005-0000-0000-0000C95D0000}"/>
    <cellStyle name="Normal 289 2 3 3" xfId="24266" xr:uid="{00000000-0005-0000-0000-0000CA5D0000}"/>
    <cellStyle name="Normal 289 2 4" xfId="24267" xr:uid="{00000000-0005-0000-0000-0000CB5D0000}"/>
    <cellStyle name="Normal 289 2 4 2" xfId="24268" xr:uid="{00000000-0005-0000-0000-0000CC5D0000}"/>
    <cellStyle name="Normal 289 2 4 2 2" xfId="24269" xr:uid="{00000000-0005-0000-0000-0000CD5D0000}"/>
    <cellStyle name="Normal 289 2 4 3" xfId="24270" xr:uid="{00000000-0005-0000-0000-0000CE5D0000}"/>
    <cellStyle name="Normal 289 2 5" xfId="24271" xr:uid="{00000000-0005-0000-0000-0000CF5D0000}"/>
    <cellStyle name="Normal 289 3" xfId="24272" xr:uid="{00000000-0005-0000-0000-0000D05D0000}"/>
    <cellStyle name="Normal 289 3 2" xfId="24273" xr:uid="{00000000-0005-0000-0000-0000D15D0000}"/>
    <cellStyle name="Normal 289 3 2 2" xfId="24274" xr:uid="{00000000-0005-0000-0000-0000D25D0000}"/>
    <cellStyle name="Normal 289 3 2 2 2" xfId="24275" xr:uid="{00000000-0005-0000-0000-0000D35D0000}"/>
    <cellStyle name="Normal 289 3 2 3" xfId="24276" xr:uid="{00000000-0005-0000-0000-0000D45D0000}"/>
    <cellStyle name="Normal 289 3 2 3 2" xfId="24277" xr:uid="{00000000-0005-0000-0000-0000D55D0000}"/>
    <cellStyle name="Normal 289 3 2 3 2 2" xfId="24278" xr:uid="{00000000-0005-0000-0000-0000D65D0000}"/>
    <cellStyle name="Normal 289 3 2 3 3" xfId="24279" xr:uid="{00000000-0005-0000-0000-0000D75D0000}"/>
    <cellStyle name="Normal 289 3 2 4" xfId="24280" xr:uid="{00000000-0005-0000-0000-0000D85D0000}"/>
    <cellStyle name="Normal 289 3 3" xfId="24281" xr:uid="{00000000-0005-0000-0000-0000D95D0000}"/>
    <cellStyle name="Normal 289 3 3 2" xfId="24282" xr:uid="{00000000-0005-0000-0000-0000DA5D0000}"/>
    <cellStyle name="Normal 289 3 3 2 2" xfId="24283" xr:uid="{00000000-0005-0000-0000-0000DB5D0000}"/>
    <cellStyle name="Normal 289 3 3 3" xfId="24284" xr:uid="{00000000-0005-0000-0000-0000DC5D0000}"/>
    <cellStyle name="Normal 289 3 4" xfId="24285" xr:uid="{00000000-0005-0000-0000-0000DD5D0000}"/>
    <cellStyle name="Normal 289 3 4 2" xfId="24286" xr:uid="{00000000-0005-0000-0000-0000DE5D0000}"/>
    <cellStyle name="Normal 289 3 4 2 2" xfId="24287" xr:uid="{00000000-0005-0000-0000-0000DF5D0000}"/>
    <cellStyle name="Normal 289 3 4 3" xfId="24288" xr:uid="{00000000-0005-0000-0000-0000E05D0000}"/>
    <cellStyle name="Normal 289 3 5" xfId="24289" xr:uid="{00000000-0005-0000-0000-0000E15D0000}"/>
    <cellStyle name="Normal 289 3 5 2" xfId="24290" xr:uid="{00000000-0005-0000-0000-0000E25D0000}"/>
    <cellStyle name="Normal 289 3 5 2 2" xfId="24291" xr:uid="{00000000-0005-0000-0000-0000E35D0000}"/>
    <cellStyle name="Normal 289 3 5 3" xfId="24292" xr:uid="{00000000-0005-0000-0000-0000E45D0000}"/>
    <cellStyle name="Normal 289 3 6" xfId="24293" xr:uid="{00000000-0005-0000-0000-0000E55D0000}"/>
    <cellStyle name="Normal 289 4" xfId="24294" xr:uid="{00000000-0005-0000-0000-0000E65D0000}"/>
    <cellStyle name="Normal 289 4 2" xfId="24295" xr:uid="{00000000-0005-0000-0000-0000E75D0000}"/>
    <cellStyle name="Normal 289 4 2 2" xfId="24296" xr:uid="{00000000-0005-0000-0000-0000E85D0000}"/>
    <cellStyle name="Normal 289 4 3" xfId="24297" xr:uid="{00000000-0005-0000-0000-0000E95D0000}"/>
    <cellStyle name="Normal 289 5" xfId="24298" xr:uid="{00000000-0005-0000-0000-0000EA5D0000}"/>
    <cellStyle name="Normal 289 5 2" xfId="24299" xr:uid="{00000000-0005-0000-0000-0000EB5D0000}"/>
    <cellStyle name="Normal 289 5 2 2" xfId="24300" xr:uid="{00000000-0005-0000-0000-0000EC5D0000}"/>
    <cellStyle name="Normal 289 5 3" xfId="24301" xr:uid="{00000000-0005-0000-0000-0000ED5D0000}"/>
    <cellStyle name="Normal 289 6" xfId="24302" xr:uid="{00000000-0005-0000-0000-0000EE5D0000}"/>
    <cellStyle name="Normal 289 6 2" xfId="24303" xr:uid="{00000000-0005-0000-0000-0000EF5D0000}"/>
    <cellStyle name="Normal 289 6 2 2" xfId="24304" xr:uid="{00000000-0005-0000-0000-0000F05D0000}"/>
    <cellStyle name="Normal 289 6 3" xfId="24305" xr:uid="{00000000-0005-0000-0000-0000F15D0000}"/>
    <cellStyle name="Normal 289 7" xfId="24306" xr:uid="{00000000-0005-0000-0000-0000F25D0000}"/>
    <cellStyle name="Normal 29" xfId="24307" xr:uid="{00000000-0005-0000-0000-0000F35D0000}"/>
    <cellStyle name="Normal 29 2" xfId="24308" xr:uid="{00000000-0005-0000-0000-0000F45D0000}"/>
    <cellStyle name="Normal 29 2 2" xfId="24309" xr:uid="{00000000-0005-0000-0000-0000F55D0000}"/>
    <cellStyle name="Normal 29 2 2 2" xfId="24310" xr:uid="{00000000-0005-0000-0000-0000F65D0000}"/>
    <cellStyle name="Normal 29 2 2 2 2" xfId="24311" xr:uid="{00000000-0005-0000-0000-0000F75D0000}"/>
    <cellStyle name="Normal 29 2 2 3" xfId="24312" xr:uid="{00000000-0005-0000-0000-0000F85D0000}"/>
    <cellStyle name="Normal 29 2 2 3 2" xfId="24313" xr:uid="{00000000-0005-0000-0000-0000F95D0000}"/>
    <cellStyle name="Normal 29 2 2 3 2 2" xfId="24314" xr:uid="{00000000-0005-0000-0000-0000FA5D0000}"/>
    <cellStyle name="Normal 29 2 2 3 3" xfId="24315" xr:uid="{00000000-0005-0000-0000-0000FB5D0000}"/>
    <cellStyle name="Normal 29 2 2 4" xfId="24316" xr:uid="{00000000-0005-0000-0000-0000FC5D0000}"/>
    <cellStyle name="Normal 29 2 2 4 2" xfId="24317" xr:uid="{00000000-0005-0000-0000-0000FD5D0000}"/>
    <cellStyle name="Normal 29 2 2 4 2 2" xfId="24318" xr:uid="{00000000-0005-0000-0000-0000FE5D0000}"/>
    <cellStyle name="Normal 29 2 2 4 3" xfId="24319" xr:uid="{00000000-0005-0000-0000-0000FF5D0000}"/>
    <cellStyle name="Normal 29 2 2 5" xfId="24320" xr:uid="{00000000-0005-0000-0000-0000005E0000}"/>
    <cellStyle name="Normal 29 2 3" xfId="24321" xr:uid="{00000000-0005-0000-0000-0000015E0000}"/>
    <cellStyle name="Normal 29 2 3 2" xfId="24322" xr:uid="{00000000-0005-0000-0000-0000025E0000}"/>
    <cellStyle name="Normal 29 2 3 2 2" xfId="24323" xr:uid="{00000000-0005-0000-0000-0000035E0000}"/>
    <cellStyle name="Normal 29 2 3 3" xfId="24324" xr:uid="{00000000-0005-0000-0000-0000045E0000}"/>
    <cellStyle name="Normal 29 2 4" xfId="24325" xr:uid="{00000000-0005-0000-0000-0000055E0000}"/>
    <cellStyle name="Normal 29 2 4 2" xfId="24326" xr:uid="{00000000-0005-0000-0000-0000065E0000}"/>
    <cellStyle name="Normal 29 2 4 2 2" xfId="24327" xr:uid="{00000000-0005-0000-0000-0000075E0000}"/>
    <cellStyle name="Normal 29 2 4 3" xfId="24328" xr:uid="{00000000-0005-0000-0000-0000085E0000}"/>
    <cellStyle name="Normal 29 2 5" xfId="24329" xr:uid="{00000000-0005-0000-0000-0000095E0000}"/>
    <cellStyle name="Normal 29 2 5 2" xfId="24330" xr:uid="{00000000-0005-0000-0000-00000A5E0000}"/>
    <cellStyle name="Normal 29 2 5 2 2" xfId="24331" xr:uid="{00000000-0005-0000-0000-00000B5E0000}"/>
    <cellStyle name="Normal 29 2 5 3" xfId="24332" xr:uid="{00000000-0005-0000-0000-00000C5E0000}"/>
    <cellStyle name="Normal 29 2 6" xfId="24333" xr:uid="{00000000-0005-0000-0000-00000D5E0000}"/>
    <cellStyle name="Normal 29 3" xfId="24334" xr:uid="{00000000-0005-0000-0000-00000E5E0000}"/>
    <cellStyle name="Normal 29 3 2" xfId="24335" xr:uid="{00000000-0005-0000-0000-00000F5E0000}"/>
    <cellStyle name="Normal 29 3 2 2" xfId="24336" xr:uid="{00000000-0005-0000-0000-0000105E0000}"/>
    <cellStyle name="Normal 29 3 3" xfId="24337" xr:uid="{00000000-0005-0000-0000-0000115E0000}"/>
    <cellStyle name="Normal 29 3 3 2" xfId="24338" xr:uid="{00000000-0005-0000-0000-0000125E0000}"/>
    <cellStyle name="Normal 29 3 3 2 2" xfId="24339" xr:uid="{00000000-0005-0000-0000-0000135E0000}"/>
    <cellStyle name="Normal 29 3 3 3" xfId="24340" xr:uid="{00000000-0005-0000-0000-0000145E0000}"/>
    <cellStyle name="Normal 29 3 4" xfId="24341" xr:uid="{00000000-0005-0000-0000-0000155E0000}"/>
    <cellStyle name="Normal 29 3 4 2" xfId="24342" xr:uid="{00000000-0005-0000-0000-0000165E0000}"/>
    <cellStyle name="Normal 29 3 4 2 2" xfId="24343" xr:uid="{00000000-0005-0000-0000-0000175E0000}"/>
    <cellStyle name="Normal 29 3 4 3" xfId="24344" xr:uid="{00000000-0005-0000-0000-0000185E0000}"/>
    <cellStyle name="Normal 29 3 5" xfId="24345" xr:uid="{00000000-0005-0000-0000-0000195E0000}"/>
    <cellStyle name="Normal 29 4" xfId="24346" xr:uid="{00000000-0005-0000-0000-00001A5E0000}"/>
    <cellStyle name="Normal 29 4 2" xfId="24347" xr:uid="{00000000-0005-0000-0000-00001B5E0000}"/>
    <cellStyle name="Normal 29 4 2 2" xfId="24348" xr:uid="{00000000-0005-0000-0000-00001C5E0000}"/>
    <cellStyle name="Normal 29 4 3" xfId="24349" xr:uid="{00000000-0005-0000-0000-00001D5E0000}"/>
    <cellStyle name="Normal 29 5" xfId="24350" xr:uid="{00000000-0005-0000-0000-00001E5E0000}"/>
    <cellStyle name="Normal 29 5 2" xfId="24351" xr:uid="{00000000-0005-0000-0000-00001F5E0000}"/>
    <cellStyle name="Normal 29 5 2 2" xfId="24352" xr:uid="{00000000-0005-0000-0000-0000205E0000}"/>
    <cellStyle name="Normal 29 5 3" xfId="24353" xr:uid="{00000000-0005-0000-0000-0000215E0000}"/>
    <cellStyle name="Normal 29 6" xfId="24354" xr:uid="{00000000-0005-0000-0000-0000225E0000}"/>
    <cellStyle name="Normal 29 6 2" xfId="24355" xr:uid="{00000000-0005-0000-0000-0000235E0000}"/>
    <cellStyle name="Normal 29 6 2 2" xfId="24356" xr:uid="{00000000-0005-0000-0000-0000245E0000}"/>
    <cellStyle name="Normal 29 6 3" xfId="24357" xr:uid="{00000000-0005-0000-0000-0000255E0000}"/>
    <cellStyle name="Normal 29 7" xfId="24358" xr:uid="{00000000-0005-0000-0000-0000265E0000}"/>
    <cellStyle name="Normal 290" xfId="24359" xr:uid="{00000000-0005-0000-0000-0000275E0000}"/>
    <cellStyle name="Normal 290 2" xfId="24360" xr:uid="{00000000-0005-0000-0000-0000285E0000}"/>
    <cellStyle name="Normal 290 2 2" xfId="24361" xr:uid="{00000000-0005-0000-0000-0000295E0000}"/>
    <cellStyle name="Normal 290 2 2 2" xfId="24362" xr:uid="{00000000-0005-0000-0000-00002A5E0000}"/>
    <cellStyle name="Normal 290 2 3" xfId="24363" xr:uid="{00000000-0005-0000-0000-00002B5E0000}"/>
    <cellStyle name="Normal 290 2 3 2" xfId="24364" xr:uid="{00000000-0005-0000-0000-00002C5E0000}"/>
    <cellStyle name="Normal 290 2 3 2 2" xfId="24365" xr:uid="{00000000-0005-0000-0000-00002D5E0000}"/>
    <cellStyle name="Normal 290 2 3 3" xfId="24366" xr:uid="{00000000-0005-0000-0000-00002E5E0000}"/>
    <cellStyle name="Normal 290 2 4" xfId="24367" xr:uid="{00000000-0005-0000-0000-00002F5E0000}"/>
    <cellStyle name="Normal 290 2 4 2" xfId="24368" xr:uid="{00000000-0005-0000-0000-0000305E0000}"/>
    <cellStyle name="Normal 290 2 4 2 2" xfId="24369" xr:uid="{00000000-0005-0000-0000-0000315E0000}"/>
    <cellStyle name="Normal 290 2 4 3" xfId="24370" xr:uid="{00000000-0005-0000-0000-0000325E0000}"/>
    <cellStyle name="Normal 290 2 5" xfId="24371" xr:uid="{00000000-0005-0000-0000-0000335E0000}"/>
    <cellStyle name="Normal 290 3" xfId="24372" xr:uid="{00000000-0005-0000-0000-0000345E0000}"/>
    <cellStyle name="Normal 290 3 2" xfId="24373" xr:uid="{00000000-0005-0000-0000-0000355E0000}"/>
    <cellStyle name="Normal 290 3 2 2" xfId="24374" xr:uid="{00000000-0005-0000-0000-0000365E0000}"/>
    <cellStyle name="Normal 290 3 2 2 2" xfId="24375" xr:uid="{00000000-0005-0000-0000-0000375E0000}"/>
    <cellStyle name="Normal 290 3 2 3" xfId="24376" xr:uid="{00000000-0005-0000-0000-0000385E0000}"/>
    <cellStyle name="Normal 290 3 2 3 2" xfId="24377" xr:uid="{00000000-0005-0000-0000-0000395E0000}"/>
    <cellStyle name="Normal 290 3 2 3 2 2" xfId="24378" xr:uid="{00000000-0005-0000-0000-00003A5E0000}"/>
    <cellStyle name="Normal 290 3 2 3 3" xfId="24379" xr:uid="{00000000-0005-0000-0000-00003B5E0000}"/>
    <cellStyle name="Normal 290 3 2 4" xfId="24380" xr:uid="{00000000-0005-0000-0000-00003C5E0000}"/>
    <cellStyle name="Normal 290 3 3" xfId="24381" xr:uid="{00000000-0005-0000-0000-00003D5E0000}"/>
    <cellStyle name="Normal 290 3 3 2" xfId="24382" xr:uid="{00000000-0005-0000-0000-00003E5E0000}"/>
    <cellStyle name="Normal 290 3 3 2 2" xfId="24383" xr:uid="{00000000-0005-0000-0000-00003F5E0000}"/>
    <cellStyle name="Normal 290 3 3 3" xfId="24384" xr:uid="{00000000-0005-0000-0000-0000405E0000}"/>
    <cellStyle name="Normal 290 3 4" xfId="24385" xr:uid="{00000000-0005-0000-0000-0000415E0000}"/>
    <cellStyle name="Normal 290 3 4 2" xfId="24386" xr:uid="{00000000-0005-0000-0000-0000425E0000}"/>
    <cellStyle name="Normal 290 3 4 2 2" xfId="24387" xr:uid="{00000000-0005-0000-0000-0000435E0000}"/>
    <cellStyle name="Normal 290 3 4 3" xfId="24388" xr:uid="{00000000-0005-0000-0000-0000445E0000}"/>
    <cellStyle name="Normal 290 3 5" xfId="24389" xr:uid="{00000000-0005-0000-0000-0000455E0000}"/>
    <cellStyle name="Normal 290 3 5 2" xfId="24390" xr:uid="{00000000-0005-0000-0000-0000465E0000}"/>
    <cellStyle name="Normal 290 3 5 2 2" xfId="24391" xr:uid="{00000000-0005-0000-0000-0000475E0000}"/>
    <cellStyle name="Normal 290 3 5 3" xfId="24392" xr:uid="{00000000-0005-0000-0000-0000485E0000}"/>
    <cellStyle name="Normal 290 3 6" xfId="24393" xr:uid="{00000000-0005-0000-0000-0000495E0000}"/>
    <cellStyle name="Normal 290 4" xfId="24394" xr:uid="{00000000-0005-0000-0000-00004A5E0000}"/>
    <cellStyle name="Normal 290 4 2" xfId="24395" xr:uid="{00000000-0005-0000-0000-00004B5E0000}"/>
    <cellStyle name="Normal 290 4 2 2" xfId="24396" xr:uid="{00000000-0005-0000-0000-00004C5E0000}"/>
    <cellStyle name="Normal 290 4 3" xfId="24397" xr:uid="{00000000-0005-0000-0000-00004D5E0000}"/>
    <cellStyle name="Normal 290 5" xfId="24398" xr:uid="{00000000-0005-0000-0000-00004E5E0000}"/>
    <cellStyle name="Normal 290 5 2" xfId="24399" xr:uid="{00000000-0005-0000-0000-00004F5E0000}"/>
    <cellStyle name="Normal 290 5 2 2" xfId="24400" xr:uid="{00000000-0005-0000-0000-0000505E0000}"/>
    <cellStyle name="Normal 290 5 3" xfId="24401" xr:uid="{00000000-0005-0000-0000-0000515E0000}"/>
    <cellStyle name="Normal 290 6" xfId="24402" xr:uid="{00000000-0005-0000-0000-0000525E0000}"/>
    <cellStyle name="Normal 290 6 2" xfId="24403" xr:uid="{00000000-0005-0000-0000-0000535E0000}"/>
    <cellStyle name="Normal 290 6 2 2" xfId="24404" xr:uid="{00000000-0005-0000-0000-0000545E0000}"/>
    <cellStyle name="Normal 290 6 3" xfId="24405" xr:uid="{00000000-0005-0000-0000-0000555E0000}"/>
    <cellStyle name="Normal 290 7" xfId="24406" xr:uid="{00000000-0005-0000-0000-0000565E0000}"/>
    <cellStyle name="Normal 291" xfId="24407" xr:uid="{00000000-0005-0000-0000-0000575E0000}"/>
    <cellStyle name="Normal 291 2" xfId="24408" xr:uid="{00000000-0005-0000-0000-0000585E0000}"/>
    <cellStyle name="Normal 291 2 2" xfId="24409" xr:uid="{00000000-0005-0000-0000-0000595E0000}"/>
    <cellStyle name="Normal 291 2 2 2" xfId="24410" xr:uid="{00000000-0005-0000-0000-00005A5E0000}"/>
    <cellStyle name="Normal 291 2 3" xfId="24411" xr:uid="{00000000-0005-0000-0000-00005B5E0000}"/>
    <cellStyle name="Normal 291 2 3 2" xfId="24412" xr:uid="{00000000-0005-0000-0000-00005C5E0000}"/>
    <cellStyle name="Normal 291 2 3 2 2" xfId="24413" xr:uid="{00000000-0005-0000-0000-00005D5E0000}"/>
    <cellStyle name="Normal 291 2 3 3" xfId="24414" xr:uid="{00000000-0005-0000-0000-00005E5E0000}"/>
    <cellStyle name="Normal 291 2 4" xfId="24415" xr:uid="{00000000-0005-0000-0000-00005F5E0000}"/>
    <cellStyle name="Normal 291 2 4 2" xfId="24416" xr:uid="{00000000-0005-0000-0000-0000605E0000}"/>
    <cellStyle name="Normal 291 2 4 2 2" xfId="24417" xr:uid="{00000000-0005-0000-0000-0000615E0000}"/>
    <cellStyle name="Normal 291 2 4 3" xfId="24418" xr:uid="{00000000-0005-0000-0000-0000625E0000}"/>
    <cellStyle name="Normal 291 2 5" xfId="24419" xr:uid="{00000000-0005-0000-0000-0000635E0000}"/>
    <cellStyle name="Normal 291 3" xfId="24420" xr:uid="{00000000-0005-0000-0000-0000645E0000}"/>
    <cellStyle name="Normal 291 3 2" xfId="24421" xr:uid="{00000000-0005-0000-0000-0000655E0000}"/>
    <cellStyle name="Normal 291 3 2 2" xfId="24422" xr:uid="{00000000-0005-0000-0000-0000665E0000}"/>
    <cellStyle name="Normal 291 3 2 2 2" xfId="24423" xr:uid="{00000000-0005-0000-0000-0000675E0000}"/>
    <cellStyle name="Normal 291 3 2 3" xfId="24424" xr:uid="{00000000-0005-0000-0000-0000685E0000}"/>
    <cellStyle name="Normal 291 3 2 3 2" xfId="24425" xr:uid="{00000000-0005-0000-0000-0000695E0000}"/>
    <cellStyle name="Normal 291 3 2 3 2 2" xfId="24426" xr:uid="{00000000-0005-0000-0000-00006A5E0000}"/>
    <cellStyle name="Normal 291 3 2 3 3" xfId="24427" xr:uid="{00000000-0005-0000-0000-00006B5E0000}"/>
    <cellStyle name="Normal 291 3 2 4" xfId="24428" xr:uid="{00000000-0005-0000-0000-00006C5E0000}"/>
    <cellStyle name="Normal 291 3 3" xfId="24429" xr:uid="{00000000-0005-0000-0000-00006D5E0000}"/>
    <cellStyle name="Normal 291 3 3 2" xfId="24430" xr:uid="{00000000-0005-0000-0000-00006E5E0000}"/>
    <cellStyle name="Normal 291 3 3 2 2" xfId="24431" xr:uid="{00000000-0005-0000-0000-00006F5E0000}"/>
    <cellStyle name="Normal 291 3 3 3" xfId="24432" xr:uid="{00000000-0005-0000-0000-0000705E0000}"/>
    <cellStyle name="Normal 291 3 4" xfId="24433" xr:uid="{00000000-0005-0000-0000-0000715E0000}"/>
    <cellStyle name="Normal 291 3 4 2" xfId="24434" xr:uid="{00000000-0005-0000-0000-0000725E0000}"/>
    <cellStyle name="Normal 291 3 4 2 2" xfId="24435" xr:uid="{00000000-0005-0000-0000-0000735E0000}"/>
    <cellStyle name="Normal 291 3 4 3" xfId="24436" xr:uid="{00000000-0005-0000-0000-0000745E0000}"/>
    <cellStyle name="Normal 291 3 5" xfId="24437" xr:uid="{00000000-0005-0000-0000-0000755E0000}"/>
    <cellStyle name="Normal 291 3 5 2" xfId="24438" xr:uid="{00000000-0005-0000-0000-0000765E0000}"/>
    <cellStyle name="Normal 291 3 5 2 2" xfId="24439" xr:uid="{00000000-0005-0000-0000-0000775E0000}"/>
    <cellStyle name="Normal 291 3 5 3" xfId="24440" xr:uid="{00000000-0005-0000-0000-0000785E0000}"/>
    <cellStyle name="Normal 291 3 6" xfId="24441" xr:uid="{00000000-0005-0000-0000-0000795E0000}"/>
    <cellStyle name="Normal 291 4" xfId="24442" xr:uid="{00000000-0005-0000-0000-00007A5E0000}"/>
    <cellStyle name="Normal 291 4 2" xfId="24443" xr:uid="{00000000-0005-0000-0000-00007B5E0000}"/>
    <cellStyle name="Normal 291 4 2 2" xfId="24444" xr:uid="{00000000-0005-0000-0000-00007C5E0000}"/>
    <cellStyle name="Normal 291 4 3" xfId="24445" xr:uid="{00000000-0005-0000-0000-00007D5E0000}"/>
    <cellStyle name="Normal 291 5" xfId="24446" xr:uid="{00000000-0005-0000-0000-00007E5E0000}"/>
    <cellStyle name="Normal 291 5 2" xfId="24447" xr:uid="{00000000-0005-0000-0000-00007F5E0000}"/>
    <cellStyle name="Normal 291 5 2 2" xfId="24448" xr:uid="{00000000-0005-0000-0000-0000805E0000}"/>
    <cellStyle name="Normal 291 5 3" xfId="24449" xr:uid="{00000000-0005-0000-0000-0000815E0000}"/>
    <cellStyle name="Normal 291 6" xfId="24450" xr:uid="{00000000-0005-0000-0000-0000825E0000}"/>
    <cellStyle name="Normal 291 6 2" xfId="24451" xr:uid="{00000000-0005-0000-0000-0000835E0000}"/>
    <cellStyle name="Normal 291 6 2 2" xfId="24452" xr:uid="{00000000-0005-0000-0000-0000845E0000}"/>
    <cellStyle name="Normal 291 6 3" xfId="24453" xr:uid="{00000000-0005-0000-0000-0000855E0000}"/>
    <cellStyle name="Normal 291 7" xfId="24454" xr:uid="{00000000-0005-0000-0000-0000865E0000}"/>
    <cellStyle name="Normal 292" xfId="24455" xr:uid="{00000000-0005-0000-0000-0000875E0000}"/>
    <cellStyle name="Normal 292 2" xfId="24456" xr:uid="{00000000-0005-0000-0000-0000885E0000}"/>
    <cellStyle name="Normal 292 2 2" xfId="24457" xr:uid="{00000000-0005-0000-0000-0000895E0000}"/>
    <cellStyle name="Normal 292 2 2 2" xfId="24458" xr:uid="{00000000-0005-0000-0000-00008A5E0000}"/>
    <cellStyle name="Normal 292 2 3" xfId="24459" xr:uid="{00000000-0005-0000-0000-00008B5E0000}"/>
    <cellStyle name="Normal 292 2 3 2" xfId="24460" xr:uid="{00000000-0005-0000-0000-00008C5E0000}"/>
    <cellStyle name="Normal 292 2 3 2 2" xfId="24461" xr:uid="{00000000-0005-0000-0000-00008D5E0000}"/>
    <cellStyle name="Normal 292 2 3 3" xfId="24462" xr:uid="{00000000-0005-0000-0000-00008E5E0000}"/>
    <cellStyle name="Normal 292 2 4" xfId="24463" xr:uid="{00000000-0005-0000-0000-00008F5E0000}"/>
    <cellStyle name="Normal 292 2 4 2" xfId="24464" xr:uid="{00000000-0005-0000-0000-0000905E0000}"/>
    <cellStyle name="Normal 292 2 4 2 2" xfId="24465" xr:uid="{00000000-0005-0000-0000-0000915E0000}"/>
    <cellStyle name="Normal 292 2 4 3" xfId="24466" xr:uid="{00000000-0005-0000-0000-0000925E0000}"/>
    <cellStyle name="Normal 292 2 5" xfId="24467" xr:uid="{00000000-0005-0000-0000-0000935E0000}"/>
    <cellStyle name="Normal 292 3" xfId="24468" xr:uid="{00000000-0005-0000-0000-0000945E0000}"/>
    <cellStyle name="Normal 292 3 2" xfId="24469" xr:uid="{00000000-0005-0000-0000-0000955E0000}"/>
    <cellStyle name="Normal 292 3 2 2" xfId="24470" xr:uid="{00000000-0005-0000-0000-0000965E0000}"/>
    <cellStyle name="Normal 292 3 2 2 2" xfId="24471" xr:uid="{00000000-0005-0000-0000-0000975E0000}"/>
    <cellStyle name="Normal 292 3 2 3" xfId="24472" xr:uid="{00000000-0005-0000-0000-0000985E0000}"/>
    <cellStyle name="Normal 292 3 2 3 2" xfId="24473" xr:uid="{00000000-0005-0000-0000-0000995E0000}"/>
    <cellStyle name="Normal 292 3 2 3 2 2" xfId="24474" xr:uid="{00000000-0005-0000-0000-00009A5E0000}"/>
    <cellStyle name="Normal 292 3 2 3 3" xfId="24475" xr:uid="{00000000-0005-0000-0000-00009B5E0000}"/>
    <cellStyle name="Normal 292 3 2 4" xfId="24476" xr:uid="{00000000-0005-0000-0000-00009C5E0000}"/>
    <cellStyle name="Normal 292 3 3" xfId="24477" xr:uid="{00000000-0005-0000-0000-00009D5E0000}"/>
    <cellStyle name="Normal 292 3 3 2" xfId="24478" xr:uid="{00000000-0005-0000-0000-00009E5E0000}"/>
    <cellStyle name="Normal 292 3 3 2 2" xfId="24479" xr:uid="{00000000-0005-0000-0000-00009F5E0000}"/>
    <cellStyle name="Normal 292 3 3 3" xfId="24480" xr:uid="{00000000-0005-0000-0000-0000A05E0000}"/>
    <cellStyle name="Normal 292 3 4" xfId="24481" xr:uid="{00000000-0005-0000-0000-0000A15E0000}"/>
    <cellStyle name="Normal 292 3 4 2" xfId="24482" xr:uid="{00000000-0005-0000-0000-0000A25E0000}"/>
    <cellStyle name="Normal 292 3 4 2 2" xfId="24483" xr:uid="{00000000-0005-0000-0000-0000A35E0000}"/>
    <cellStyle name="Normal 292 3 4 3" xfId="24484" xr:uid="{00000000-0005-0000-0000-0000A45E0000}"/>
    <cellStyle name="Normal 292 3 5" xfId="24485" xr:uid="{00000000-0005-0000-0000-0000A55E0000}"/>
    <cellStyle name="Normal 292 3 5 2" xfId="24486" xr:uid="{00000000-0005-0000-0000-0000A65E0000}"/>
    <cellStyle name="Normal 292 3 5 2 2" xfId="24487" xr:uid="{00000000-0005-0000-0000-0000A75E0000}"/>
    <cellStyle name="Normal 292 3 5 3" xfId="24488" xr:uid="{00000000-0005-0000-0000-0000A85E0000}"/>
    <cellStyle name="Normal 292 3 6" xfId="24489" xr:uid="{00000000-0005-0000-0000-0000A95E0000}"/>
    <cellStyle name="Normal 292 4" xfId="24490" xr:uid="{00000000-0005-0000-0000-0000AA5E0000}"/>
    <cellStyle name="Normal 292 4 2" xfId="24491" xr:uid="{00000000-0005-0000-0000-0000AB5E0000}"/>
    <cellStyle name="Normal 292 4 2 2" xfId="24492" xr:uid="{00000000-0005-0000-0000-0000AC5E0000}"/>
    <cellStyle name="Normal 292 4 3" xfId="24493" xr:uid="{00000000-0005-0000-0000-0000AD5E0000}"/>
    <cellStyle name="Normal 292 5" xfId="24494" xr:uid="{00000000-0005-0000-0000-0000AE5E0000}"/>
    <cellStyle name="Normal 292 5 2" xfId="24495" xr:uid="{00000000-0005-0000-0000-0000AF5E0000}"/>
    <cellStyle name="Normal 292 5 2 2" xfId="24496" xr:uid="{00000000-0005-0000-0000-0000B05E0000}"/>
    <cellStyle name="Normal 292 5 3" xfId="24497" xr:uid="{00000000-0005-0000-0000-0000B15E0000}"/>
    <cellStyle name="Normal 292 6" xfId="24498" xr:uid="{00000000-0005-0000-0000-0000B25E0000}"/>
    <cellStyle name="Normal 292 6 2" xfId="24499" xr:uid="{00000000-0005-0000-0000-0000B35E0000}"/>
    <cellStyle name="Normal 292 6 2 2" xfId="24500" xr:uid="{00000000-0005-0000-0000-0000B45E0000}"/>
    <cellStyle name="Normal 292 6 3" xfId="24501" xr:uid="{00000000-0005-0000-0000-0000B55E0000}"/>
    <cellStyle name="Normal 292 7" xfId="24502" xr:uid="{00000000-0005-0000-0000-0000B65E0000}"/>
    <cellStyle name="Normal 293" xfId="24503" xr:uid="{00000000-0005-0000-0000-0000B75E0000}"/>
    <cellStyle name="Normal 293 2" xfId="24504" xr:uid="{00000000-0005-0000-0000-0000B85E0000}"/>
    <cellStyle name="Normal 293 2 2" xfId="24505" xr:uid="{00000000-0005-0000-0000-0000B95E0000}"/>
    <cellStyle name="Normal 293 2 2 2" xfId="24506" xr:uid="{00000000-0005-0000-0000-0000BA5E0000}"/>
    <cellStyle name="Normal 293 2 3" xfId="24507" xr:uid="{00000000-0005-0000-0000-0000BB5E0000}"/>
    <cellStyle name="Normal 293 2 3 2" xfId="24508" xr:uid="{00000000-0005-0000-0000-0000BC5E0000}"/>
    <cellStyle name="Normal 293 2 3 2 2" xfId="24509" xr:uid="{00000000-0005-0000-0000-0000BD5E0000}"/>
    <cellStyle name="Normal 293 2 3 3" xfId="24510" xr:uid="{00000000-0005-0000-0000-0000BE5E0000}"/>
    <cellStyle name="Normal 293 2 4" xfId="24511" xr:uid="{00000000-0005-0000-0000-0000BF5E0000}"/>
    <cellStyle name="Normal 293 2 4 2" xfId="24512" xr:uid="{00000000-0005-0000-0000-0000C05E0000}"/>
    <cellStyle name="Normal 293 2 4 2 2" xfId="24513" xr:uid="{00000000-0005-0000-0000-0000C15E0000}"/>
    <cellStyle name="Normal 293 2 4 3" xfId="24514" xr:uid="{00000000-0005-0000-0000-0000C25E0000}"/>
    <cellStyle name="Normal 293 2 5" xfId="24515" xr:uid="{00000000-0005-0000-0000-0000C35E0000}"/>
    <cellStyle name="Normal 293 3" xfId="24516" xr:uid="{00000000-0005-0000-0000-0000C45E0000}"/>
    <cellStyle name="Normal 293 3 2" xfId="24517" xr:uid="{00000000-0005-0000-0000-0000C55E0000}"/>
    <cellStyle name="Normal 293 3 2 2" xfId="24518" xr:uid="{00000000-0005-0000-0000-0000C65E0000}"/>
    <cellStyle name="Normal 293 3 2 2 2" xfId="24519" xr:uid="{00000000-0005-0000-0000-0000C75E0000}"/>
    <cellStyle name="Normal 293 3 2 3" xfId="24520" xr:uid="{00000000-0005-0000-0000-0000C85E0000}"/>
    <cellStyle name="Normal 293 3 2 3 2" xfId="24521" xr:uid="{00000000-0005-0000-0000-0000C95E0000}"/>
    <cellStyle name="Normal 293 3 2 3 2 2" xfId="24522" xr:uid="{00000000-0005-0000-0000-0000CA5E0000}"/>
    <cellStyle name="Normal 293 3 2 3 3" xfId="24523" xr:uid="{00000000-0005-0000-0000-0000CB5E0000}"/>
    <cellStyle name="Normal 293 3 2 4" xfId="24524" xr:uid="{00000000-0005-0000-0000-0000CC5E0000}"/>
    <cellStyle name="Normal 293 3 3" xfId="24525" xr:uid="{00000000-0005-0000-0000-0000CD5E0000}"/>
    <cellStyle name="Normal 293 3 3 2" xfId="24526" xr:uid="{00000000-0005-0000-0000-0000CE5E0000}"/>
    <cellStyle name="Normal 293 3 3 2 2" xfId="24527" xr:uid="{00000000-0005-0000-0000-0000CF5E0000}"/>
    <cellStyle name="Normal 293 3 3 3" xfId="24528" xr:uid="{00000000-0005-0000-0000-0000D05E0000}"/>
    <cellStyle name="Normal 293 3 4" xfId="24529" xr:uid="{00000000-0005-0000-0000-0000D15E0000}"/>
    <cellStyle name="Normal 293 3 4 2" xfId="24530" xr:uid="{00000000-0005-0000-0000-0000D25E0000}"/>
    <cellStyle name="Normal 293 3 4 2 2" xfId="24531" xr:uid="{00000000-0005-0000-0000-0000D35E0000}"/>
    <cellStyle name="Normal 293 3 4 3" xfId="24532" xr:uid="{00000000-0005-0000-0000-0000D45E0000}"/>
    <cellStyle name="Normal 293 3 5" xfId="24533" xr:uid="{00000000-0005-0000-0000-0000D55E0000}"/>
    <cellStyle name="Normal 293 3 5 2" xfId="24534" xr:uid="{00000000-0005-0000-0000-0000D65E0000}"/>
    <cellStyle name="Normal 293 3 5 2 2" xfId="24535" xr:uid="{00000000-0005-0000-0000-0000D75E0000}"/>
    <cellStyle name="Normal 293 3 5 3" xfId="24536" xr:uid="{00000000-0005-0000-0000-0000D85E0000}"/>
    <cellStyle name="Normal 293 3 6" xfId="24537" xr:uid="{00000000-0005-0000-0000-0000D95E0000}"/>
    <cellStyle name="Normal 293 4" xfId="24538" xr:uid="{00000000-0005-0000-0000-0000DA5E0000}"/>
    <cellStyle name="Normal 293 4 2" xfId="24539" xr:uid="{00000000-0005-0000-0000-0000DB5E0000}"/>
    <cellStyle name="Normal 293 4 2 2" xfId="24540" xr:uid="{00000000-0005-0000-0000-0000DC5E0000}"/>
    <cellStyle name="Normal 293 4 3" xfId="24541" xr:uid="{00000000-0005-0000-0000-0000DD5E0000}"/>
    <cellStyle name="Normal 293 5" xfId="24542" xr:uid="{00000000-0005-0000-0000-0000DE5E0000}"/>
    <cellStyle name="Normal 293 5 2" xfId="24543" xr:uid="{00000000-0005-0000-0000-0000DF5E0000}"/>
    <cellStyle name="Normal 293 5 2 2" xfId="24544" xr:uid="{00000000-0005-0000-0000-0000E05E0000}"/>
    <cellStyle name="Normal 293 5 3" xfId="24545" xr:uid="{00000000-0005-0000-0000-0000E15E0000}"/>
    <cellStyle name="Normal 293 6" xfId="24546" xr:uid="{00000000-0005-0000-0000-0000E25E0000}"/>
    <cellStyle name="Normal 293 6 2" xfId="24547" xr:uid="{00000000-0005-0000-0000-0000E35E0000}"/>
    <cellStyle name="Normal 293 6 2 2" xfId="24548" xr:uid="{00000000-0005-0000-0000-0000E45E0000}"/>
    <cellStyle name="Normal 293 6 3" xfId="24549" xr:uid="{00000000-0005-0000-0000-0000E55E0000}"/>
    <cellStyle name="Normal 293 7" xfId="24550" xr:uid="{00000000-0005-0000-0000-0000E65E0000}"/>
    <cellStyle name="Normal 294" xfId="24551" xr:uid="{00000000-0005-0000-0000-0000E75E0000}"/>
    <cellStyle name="Normal 294 2" xfId="24552" xr:uid="{00000000-0005-0000-0000-0000E85E0000}"/>
    <cellStyle name="Normal 294 2 2" xfId="24553" xr:uid="{00000000-0005-0000-0000-0000E95E0000}"/>
    <cellStyle name="Normal 294 2 2 2" xfId="24554" xr:uid="{00000000-0005-0000-0000-0000EA5E0000}"/>
    <cellStyle name="Normal 294 2 3" xfId="24555" xr:uid="{00000000-0005-0000-0000-0000EB5E0000}"/>
    <cellStyle name="Normal 294 2 3 2" xfId="24556" xr:uid="{00000000-0005-0000-0000-0000EC5E0000}"/>
    <cellStyle name="Normal 294 2 3 2 2" xfId="24557" xr:uid="{00000000-0005-0000-0000-0000ED5E0000}"/>
    <cellStyle name="Normal 294 2 3 3" xfId="24558" xr:uid="{00000000-0005-0000-0000-0000EE5E0000}"/>
    <cellStyle name="Normal 294 2 4" xfId="24559" xr:uid="{00000000-0005-0000-0000-0000EF5E0000}"/>
    <cellStyle name="Normal 294 2 4 2" xfId="24560" xr:uid="{00000000-0005-0000-0000-0000F05E0000}"/>
    <cellStyle name="Normal 294 2 4 2 2" xfId="24561" xr:uid="{00000000-0005-0000-0000-0000F15E0000}"/>
    <cellStyle name="Normal 294 2 4 3" xfId="24562" xr:uid="{00000000-0005-0000-0000-0000F25E0000}"/>
    <cellStyle name="Normal 294 2 5" xfId="24563" xr:uid="{00000000-0005-0000-0000-0000F35E0000}"/>
    <cellStyle name="Normal 294 3" xfId="24564" xr:uid="{00000000-0005-0000-0000-0000F45E0000}"/>
    <cellStyle name="Normal 294 3 2" xfId="24565" xr:uid="{00000000-0005-0000-0000-0000F55E0000}"/>
    <cellStyle name="Normal 294 3 2 2" xfId="24566" xr:uid="{00000000-0005-0000-0000-0000F65E0000}"/>
    <cellStyle name="Normal 294 3 2 2 2" xfId="24567" xr:uid="{00000000-0005-0000-0000-0000F75E0000}"/>
    <cellStyle name="Normal 294 3 2 3" xfId="24568" xr:uid="{00000000-0005-0000-0000-0000F85E0000}"/>
    <cellStyle name="Normal 294 3 2 3 2" xfId="24569" xr:uid="{00000000-0005-0000-0000-0000F95E0000}"/>
    <cellStyle name="Normal 294 3 2 3 2 2" xfId="24570" xr:uid="{00000000-0005-0000-0000-0000FA5E0000}"/>
    <cellStyle name="Normal 294 3 2 3 3" xfId="24571" xr:uid="{00000000-0005-0000-0000-0000FB5E0000}"/>
    <cellStyle name="Normal 294 3 2 4" xfId="24572" xr:uid="{00000000-0005-0000-0000-0000FC5E0000}"/>
    <cellStyle name="Normal 294 3 3" xfId="24573" xr:uid="{00000000-0005-0000-0000-0000FD5E0000}"/>
    <cellStyle name="Normal 294 3 3 2" xfId="24574" xr:uid="{00000000-0005-0000-0000-0000FE5E0000}"/>
    <cellStyle name="Normal 294 3 3 2 2" xfId="24575" xr:uid="{00000000-0005-0000-0000-0000FF5E0000}"/>
    <cellStyle name="Normal 294 3 3 3" xfId="24576" xr:uid="{00000000-0005-0000-0000-0000005F0000}"/>
    <cellStyle name="Normal 294 3 4" xfId="24577" xr:uid="{00000000-0005-0000-0000-0000015F0000}"/>
    <cellStyle name="Normal 294 3 4 2" xfId="24578" xr:uid="{00000000-0005-0000-0000-0000025F0000}"/>
    <cellStyle name="Normal 294 3 4 2 2" xfId="24579" xr:uid="{00000000-0005-0000-0000-0000035F0000}"/>
    <cellStyle name="Normal 294 3 4 3" xfId="24580" xr:uid="{00000000-0005-0000-0000-0000045F0000}"/>
    <cellStyle name="Normal 294 3 5" xfId="24581" xr:uid="{00000000-0005-0000-0000-0000055F0000}"/>
    <cellStyle name="Normal 294 3 5 2" xfId="24582" xr:uid="{00000000-0005-0000-0000-0000065F0000}"/>
    <cellStyle name="Normal 294 3 5 2 2" xfId="24583" xr:uid="{00000000-0005-0000-0000-0000075F0000}"/>
    <cellStyle name="Normal 294 3 5 3" xfId="24584" xr:uid="{00000000-0005-0000-0000-0000085F0000}"/>
    <cellStyle name="Normal 294 3 6" xfId="24585" xr:uid="{00000000-0005-0000-0000-0000095F0000}"/>
    <cellStyle name="Normal 294 4" xfId="24586" xr:uid="{00000000-0005-0000-0000-00000A5F0000}"/>
    <cellStyle name="Normal 294 4 2" xfId="24587" xr:uid="{00000000-0005-0000-0000-00000B5F0000}"/>
    <cellStyle name="Normal 294 4 2 2" xfId="24588" xr:uid="{00000000-0005-0000-0000-00000C5F0000}"/>
    <cellStyle name="Normal 294 4 3" xfId="24589" xr:uid="{00000000-0005-0000-0000-00000D5F0000}"/>
    <cellStyle name="Normal 294 5" xfId="24590" xr:uid="{00000000-0005-0000-0000-00000E5F0000}"/>
    <cellStyle name="Normal 294 5 2" xfId="24591" xr:uid="{00000000-0005-0000-0000-00000F5F0000}"/>
    <cellStyle name="Normal 294 5 2 2" xfId="24592" xr:uid="{00000000-0005-0000-0000-0000105F0000}"/>
    <cellStyle name="Normal 294 5 3" xfId="24593" xr:uid="{00000000-0005-0000-0000-0000115F0000}"/>
    <cellStyle name="Normal 294 6" xfId="24594" xr:uid="{00000000-0005-0000-0000-0000125F0000}"/>
    <cellStyle name="Normal 294 6 2" xfId="24595" xr:uid="{00000000-0005-0000-0000-0000135F0000}"/>
    <cellStyle name="Normal 294 6 2 2" xfId="24596" xr:uid="{00000000-0005-0000-0000-0000145F0000}"/>
    <cellStyle name="Normal 294 6 3" xfId="24597" xr:uid="{00000000-0005-0000-0000-0000155F0000}"/>
    <cellStyle name="Normal 294 7" xfId="24598" xr:uid="{00000000-0005-0000-0000-0000165F0000}"/>
    <cellStyle name="Normal 295" xfId="24599" xr:uid="{00000000-0005-0000-0000-0000175F0000}"/>
    <cellStyle name="Normal 295 2" xfId="24600" xr:uid="{00000000-0005-0000-0000-0000185F0000}"/>
    <cellStyle name="Normal 295 2 2" xfId="24601" xr:uid="{00000000-0005-0000-0000-0000195F0000}"/>
    <cellStyle name="Normal 295 2 2 2" xfId="24602" xr:uid="{00000000-0005-0000-0000-00001A5F0000}"/>
    <cellStyle name="Normal 295 2 3" xfId="24603" xr:uid="{00000000-0005-0000-0000-00001B5F0000}"/>
    <cellStyle name="Normal 295 2 3 2" xfId="24604" xr:uid="{00000000-0005-0000-0000-00001C5F0000}"/>
    <cellStyle name="Normal 295 2 3 2 2" xfId="24605" xr:uid="{00000000-0005-0000-0000-00001D5F0000}"/>
    <cellStyle name="Normal 295 2 3 3" xfId="24606" xr:uid="{00000000-0005-0000-0000-00001E5F0000}"/>
    <cellStyle name="Normal 295 2 4" xfId="24607" xr:uid="{00000000-0005-0000-0000-00001F5F0000}"/>
    <cellStyle name="Normal 295 2 4 2" xfId="24608" xr:uid="{00000000-0005-0000-0000-0000205F0000}"/>
    <cellStyle name="Normal 295 2 4 2 2" xfId="24609" xr:uid="{00000000-0005-0000-0000-0000215F0000}"/>
    <cellStyle name="Normal 295 2 4 3" xfId="24610" xr:uid="{00000000-0005-0000-0000-0000225F0000}"/>
    <cellStyle name="Normal 295 2 5" xfId="24611" xr:uid="{00000000-0005-0000-0000-0000235F0000}"/>
    <cellStyle name="Normal 295 3" xfId="24612" xr:uid="{00000000-0005-0000-0000-0000245F0000}"/>
    <cellStyle name="Normal 295 3 2" xfId="24613" xr:uid="{00000000-0005-0000-0000-0000255F0000}"/>
    <cellStyle name="Normal 295 3 2 2" xfId="24614" xr:uid="{00000000-0005-0000-0000-0000265F0000}"/>
    <cellStyle name="Normal 295 3 2 2 2" xfId="24615" xr:uid="{00000000-0005-0000-0000-0000275F0000}"/>
    <cellStyle name="Normal 295 3 2 3" xfId="24616" xr:uid="{00000000-0005-0000-0000-0000285F0000}"/>
    <cellStyle name="Normal 295 3 2 3 2" xfId="24617" xr:uid="{00000000-0005-0000-0000-0000295F0000}"/>
    <cellStyle name="Normal 295 3 2 3 2 2" xfId="24618" xr:uid="{00000000-0005-0000-0000-00002A5F0000}"/>
    <cellStyle name="Normal 295 3 2 3 3" xfId="24619" xr:uid="{00000000-0005-0000-0000-00002B5F0000}"/>
    <cellStyle name="Normal 295 3 2 4" xfId="24620" xr:uid="{00000000-0005-0000-0000-00002C5F0000}"/>
    <cellStyle name="Normal 295 3 3" xfId="24621" xr:uid="{00000000-0005-0000-0000-00002D5F0000}"/>
    <cellStyle name="Normal 295 3 3 2" xfId="24622" xr:uid="{00000000-0005-0000-0000-00002E5F0000}"/>
    <cellStyle name="Normal 295 3 3 2 2" xfId="24623" xr:uid="{00000000-0005-0000-0000-00002F5F0000}"/>
    <cellStyle name="Normal 295 3 3 3" xfId="24624" xr:uid="{00000000-0005-0000-0000-0000305F0000}"/>
    <cellStyle name="Normal 295 3 4" xfId="24625" xr:uid="{00000000-0005-0000-0000-0000315F0000}"/>
    <cellStyle name="Normal 295 3 4 2" xfId="24626" xr:uid="{00000000-0005-0000-0000-0000325F0000}"/>
    <cellStyle name="Normal 295 3 4 2 2" xfId="24627" xr:uid="{00000000-0005-0000-0000-0000335F0000}"/>
    <cellStyle name="Normal 295 3 4 3" xfId="24628" xr:uid="{00000000-0005-0000-0000-0000345F0000}"/>
    <cellStyle name="Normal 295 3 5" xfId="24629" xr:uid="{00000000-0005-0000-0000-0000355F0000}"/>
    <cellStyle name="Normal 295 3 5 2" xfId="24630" xr:uid="{00000000-0005-0000-0000-0000365F0000}"/>
    <cellStyle name="Normal 295 3 5 2 2" xfId="24631" xr:uid="{00000000-0005-0000-0000-0000375F0000}"/>
    <cellStyle name="Normal 295 3 5 3" xfId="24632" xr:uid="{00000000-0005-0000-0000-0000385F0000}"/>
    <cellStyle name="Normal 295 3 6" xfId="24633" xr:uid="{00000000-0005-0000-0000-0000395F0000}"/>
    <cellStyle name="Normal 295 4" xfId="24634" xr:uid="{00000000-0005-0000-0000-00003A5F0000}"/>
    <cellStyle name="Normal 295 4 2" xfId="24635" xr:uid="{00000000-0005-0000-0000-00003B5F0000}"/>
    <cellStyle name="Normal 295 4 2 2" xfId="24636" xr:uid="{00000000-0005-0000-0000-00003C5F0000}"/>
    <cellStyle name="Normal 295 4 3" xfId="24637" xr:uid="{00000000-0005-0000-0000-00003D5F0000}"/>
    <cellStyle name="Normal 295 5" xfId="24638" xr:uid="{00000000-0005-0000-0000-00003E5F0000}"/>
    <cellStyle name="Normal 295 5 2" xfId="24639" xr:uid="{00000000-0005-0000-0000-00003F5F0000}"/>
    <cellStyle name="Normal 295 5 2 2" xfId="24640" xr:uid="{00000000-0005-0000-0000-0000405F0000}"/>
    <cellStyle name="Normal 295 5 3" xfId="24641" xr:uid="{00000000-0005-0000-0000-0000415F0000}"/>
    <cellStyle name="Normal 295 6" xfId="24642" xr:uid="{00000000-0005-0000-0000-0000425F0000}"/>
    <cellStyle name="Normal 295 6 2" xfId="24643" xr:uid="{00000000-0005-0000-0000-0000435F0000}"/>
    <cellStyle name="Normal 295 6 2 2" xfId="24644" xr:uid="{00000000-0005-0000-0000-0000445F0000}"/>
    <cellStyle name="Normal 295 6 3" xfId="24645" xr:uid="{00000000-0005-0000-0000-0000455F0000}"/>
    <cellStyle name="Normal 295 7" xfId="24646" xr:uid="{00000000-0005-0000-0000-0000465F0000}"/>
    <cellStyle name="Normal 296" xfId="24647" xr:uid="{00000000-0005-0000-0000-0000475F0000}"/>
    <cellStyle name="Normal 296 2" xfId="24648" xr:uid="{00000000-0005-0000-0000-0000485F0000}"/>
    <cellStyle name="Normal 296 2 2" xfId="24649" xr:uid="{00000000-0005-0000-0000-0000495F0000}"/>
    <cellStyle name="Normal 296 2 2 2" xfId="24650" xr:uid="{00000000-0005-0000-0000-00004A5F0000}"/>
    <cellStyle name="Normal 296 2 3" xfId="24651" xr:uid="{00000000-0005-0000-0000-00004B5F0000}"/>
    <cellStyle name="Normal 296 2 3 2" xfId="24652" xr:uid="{00000000-0005-0000-0000-00004C5F0000}"/>
    <cellStyle name="Normal 296 2 3 2 2" xfId="24653" xr:uid="{00000000-0005-0000-0000-00004D5F0000}"/>
    <cellStyle name="Normal 296 2 3 3" xfId="24654" xr:uid="{00000000-0005-0000-0000-00004E5F0000}"/>
    <cellStyle name="Normal 296 2 4" xfId="24655" xr:uid="{00000000-0005-0000-0000-00004F5F0000}"/>
    <cellStyle name="Normal 296 2 4 2" xfId="24656" xr:uid="{00000000-0005-0000-0000-0000505F0000}"/>
    <cellStyle name="Normal 296 2 4 2 2" xfId="24657" xr:uid="{00000000-0005-0000-0000-0000515F0000}"/>
    <cellStyle name="Normal 296 2 4 3" xfId="24658" xr:uid="{00000000-0005-0000-0000-0000525F0000}"/>
    <cellStyle name="Normal 296 2 5" xfId="24659" xr:uid="{00000000-0005-0000-0000-0000535F0000}"/>
    <cellStyle name="Normal 296 3" xfId="24660" xr:uid="{00000000-0005-0000-0000-0000545F0000}"/>
    <cellStyle name="Normal 296 3 2" xfId="24661" xr:uid="{00000000-0005-0000-0000-0000555F0000}"/>
    <cellStyle name="Normal 296 3 2 2" xfId="24662" xr:uid="{00000000-0005-0000-0000-0000565F0000}"/>
    <cellStyle name="Normal 296 3 2 2 2" xfId="24663" xr:uid="{00000000-0005-0000-0000-0000575F0000}"/>
    <cellStyle name="Normal 296 3 2 3" xfId="24664" xr:uid="{00000000-0005-0000-0000-0000585F0000}"/>
    <cellStyle name="Normal 296 3 2 3 2" xfId="24665" xr:uid="{00000000-0005-0000-0000-0000595F0000}"/>
    <cellStyle name="Normal 296 3 2 3 2 2" xfId="24666" xr:uid="{00000000-0005-0000-0000-00005A5F0000}"/>
    <cellStyle name="Normal 296 3 2 3 3" xfId="24667" xr:uid="{00000000-0005-0000-0000-00005B5F0000}"/>
    <cellStyle name="Normal 296 3 2 4" xfId="24668" xr:uid="{00000000-0005-0000-0000-00005C5F0000}"/>
    <cellStyle name="Normal 296 3 3" xfId="24669" xr:uid="{00000000-0005-0000-0000-00005D5F0000}"/>
    <cellStyle name="Normal 296 3 3 2" xfId="24670" xr:uid="{00000000-0005-0000-0000-00005E5F0000}"/>
    <cellStyle name="Normal 296 3 3 2 2" xfId="24671" xr:uid="{00000000-0005-0000-0000-00005F5F0000}"/>
    <cellStyle name="Normal 296 3 3 3" xfId="24672" xr:uid="{00000000-0005-0000-0000-0000605F0000}"/>
    <cellStyle name="Normal 296 3 4" xfId="24673" xr:uid="{00000000-0005-0000-0000-0000615F0000}"/>
    <cellStyle name="Normal 296 3 4 2" xfId="24674" xr:uid="{00000000-0005-0000-0000-0000625F0000}"/>
    <cellStyle name="Normal 296 3 4 2 2" xfId="24675" xr:uid="{00000000-0005-0000-0000-0000635F0000}"/>
    <cellStyle name="Normal 296 3 4 3" xfId="24676" xr:uid="{00000000-0005-0000-0000-0000645F0000}"/>
    <cellStyle name="Normal 296 3 5" xfId="24677" xr:uid="{00000000-0005-0000-0000-0000655F0000}"/>
    <cellStyle name="Normal 296 3 5 2" xfId="24678" xr:uid="{00000000-0005-0000-0000-0000665F0000}"/>
    <cellStyle name="Normal 296 3 5 2 2" xfId="24679" xr:uid="{00000000-0005-0000-0000-0000675F0000}"/>
    <cellStyle name="Normal 296 3 5 3" xfId="24680" xr:uid="{00000000-0005-0000-0000-0000685F0000}"/>
    <cellStyle name="Normal 296 3 6" xfId="24681" xr:uid="{00000000-0005-0000-0000-0000695F0000}"/>
    <cellStyle name="Normal 296 4" xfId="24682" xr:uid="{00000000-0005-0000-0000-00006A5F0000}"/>
    <cellStyle name="Normal 296 4 2" xfId="24683" xr:uid="{00000000-0005-0000-0000-00006B5F0000}"/>
    <cellStyle name="Normal 296 4 2 2" xfId="24684" xr:uid="{00000000-0005-0000-0000-00006C5F0000}"/>
    <cellStyle name="Normal 296 4 3" xfId="24685" xr:uid="{00000000-0005-0000-0000-00006D5F0000}"/>
    <cellStyle name="Normal 296 5" xfId="24686" xr:uid="{00000000-0005-0000-0000-00006E5F0000}"/>
    <cellStyle name="Normal 296 5 2" xfId="24687" xr:uid="{00000000-0005-0000-0000-00006F5F0000}"/>
    <cellStyle name="Normal 296 5 2 2" xfId="24688" xr:uid="{00000000-0005-0000-0000-0000705F0000}"/>
    <cellStyle name="Normal 296 5 3" xfId="24689" xr:uid="{00000000-0005-0000-0000-0000715F0000}"/>
    <cellStyle name="Normal 296 6" xfId="24690" xr:uid="{00000000-0005-0000-0000-0000725F0000}"/>
    <cellStyle name="Normal 296 6 2" xfId="24691" xr:uid="{00000000-0005-0000-0000-0000735F0000}"/>
    <cellStyle name="Normal 296 6 2 2" xfId="24692" xr:uid="{00000000-0005-0000-0000-0000745F0000}"/>
    <cellStyle name="Normal 296 6 3" xfId="24693" xr:uid="{00000000-0005-0000-0000-0000755F0000}"/>
    <cellStyle name="Normal 296 7" xfId="24694" xr:uid="{00000000-0005-0000-0000-0000765F0000}"/>
    <cellStyle name="Normal 297" xfId="24695" xr:uid="{00000000-0005-0000-0000-0000775F0000}"/>
    <cellStyle name="Normal 297 2" xfId="24696" xr:uid="{00000000-0005-0000-0000-0000785F0000}"/>
    <cellStyle name="Normal 297 2 2" xfId="24697" xr:uid="{00000000-0005-0000-0000-0000795F0000}"/>
    <cellStyle name="Normal 297 2 2 2" xfId="24698" xr:uid="{00000000-0005-0000-0000-00007A5F0000}"/>
    <cellStyle name="Normal 297 2 3" xfId="24699" xr:uid="{00000000-0005-0000-0000-00007B5F0000}"/>
    <cellStyle name="Normal 297 2 3 2" xfId="24700" xr:uid="{00000000-0005-0000-0000-00007C5F0000}"/>
    <cellStyle name="Normal 297 2 3 2 2" xfId="24701" xr:uid="{00000000-0005-0000-0000-00007D5F0000}"/>
    <cellStyle name="Normal 297 2 3 3" xfId="24702" xr:uid="{00000000-0005-0000-0000-00007E5F0000}"/>
    <cellStyle name="Normal 297 2 4" xfId="24703" xr:uid="{00000000-0005-0000-0000-00007F5F0000}"/>
    <cellStyle name="Normal 297 2 4 2" xfId="24704" xr:uid="{00000000-0005-0000-0000-0000805F0000}"/>
    <cellStyle name="Normal 297 2 4 2 2" xfId="24705" xr:uid="{00000000-0005-0000-0000-0000815F0000}"/>
    <cellStyle name="Normal 297 2 4 3" xfId="24706" xr:uid="{00000000-0005-0000-0000-0000825F0000}"/>
    <cellStyle name="Normal 297 2 5" xfId="24707" xr:uid="{00000000-0005-0000-0000-0000835F0000}"/>
    <cellStyle name="Normal 297 3" xfId="24708" xr:uid="{00000000-0005-0000-0000-0000845F0000}"/>
    <cellStyle name="Normal 297 3 2" xfId="24709" xr:uid="{00000000-0005-0000-0000-0000855F0000}"/>
    <cellStyle name="Normal 297 3 2 2" xfId="24710" xr:uid="{00000000-0005-0000-0000-0000865F0000}"/>
    <cellStyle name="Normal 297 3 2 2 2" xfId="24711" xr:uid="{00000000-0005-0000-0000-0000875F0000}"/>
    <cellStyle name="Normal 297 3 2 3" xfId="24712" xr:uid="{00000000-0005-0000-0000-0000885F0000}"/>
    <cellStyle name="Normal 297 3 2 3 2" xfId="24713" xr:uid="{00000000-0005-0000-0000-0000895F0000}"/>
    <cellStyle name="Normal 297 3 2 3 2 2" xfId="24714" xr:uid="{00000000-0005-0000-0000-00008A5F0000}"/>
    <cellStyle name="Normal 297 3 2 3 3" xfId="24715" xr:uid="{00000000-0005-0000-0000-00008B5F0000}"/>
    <cellStyle name="Normal 297 3 2 4" xfId="24716" xr:uid="{00000000-0005-0000-0000-00008C5F0000}"/>
    <cellStyle name="Normal 297 3 3" xfId="24717" xr:uid="{00000000-0005-0000-0000-00008D5F0000}"/>
    <cellStyle name="Normal 297 3 3 2" xfId="24718" xr:uid="{00000000-0005-0000-0000-00008E5F0000}"/>
    <cellStyle name="Normal 297 3 3 2 2" xfId="24719" xr:uid="{00000000-0005-0000-0000-00008F5F0000}"/>
    <cellStyle name="Normal 297 3 3 3" xfId="24720" xr:uid="{00000000-0005-0000-0000-0000905F0000}"/>
    <cellStyle name="Normal 297 3 4" xfId="24721" xr:uid="{00000000-0005-0000-0000-0000915F0000}"/>
    <cellStyle name="Normal 297 3 4 2" xfId="24722" xr:uid="{00000000-0005-0000-0000-0000925F0000}"/>
    <cellStyle name="Normal 297 3 4 2 2" xfId="24723" xr:uid="{00000000-0005-0000-0000-0000935F0000}"/>
    <cellStyle name="Normal 297 3 4 3" xfId="24724" xr:uid="{00000000-0005-0000-0000-0000945F0000}"/>
    <cellStyle name="Normal 297 3 5" xfId="24725" xr:uid="{00000000-0005-0000-0000-0000955F0000}"/>
    <cellStyle name="Normal 297 3 5 2" xfId="24726" xr:uid="{00000000-0005-0000-0000-0000965F0000}"/>
    <cellStyle name="Normal 297 3 5 2 2" xfId="24727" xr:uid="{00000000-0005-0000-0000-0000975F0000}"/>
    <cellStyle name="Normal 297 3 5 3" xfId="24728" xr:uid="{00000000-0005-0000-0000-0000985F0000}"/>
    <cellStyle name="Normal 297 3 6" xfId="24729" xr:uid="{00000000-0005-0000-0000-0000995F0000}"/>
    <cellStyle name="Normal 297 4" xfId="24730" xr:uid="{00000000-0005-0000-0000-00009A5F0000}"/>
    <cellStyle name="Normal 297 4 2" xfId="24731" xr:uid="{00000000-0005-0000-0000-00009B5F0000}"/>
    <cellStyle name="Normal 297 4 2 2" xfId="24732" xr:uid="{00000000-0005-0000-0000-00009C5F0000}"/>
    <cellStyle name="Normal 297 4 3" xfId="24733" xr:uid="{00000000-0005-0000-0000-00009D5F0000}"/>
    <cellStyle name="Normal 297 5" xfId="24734" xr:uid="{00000000-0005-0000-0000-00009E5F0000}"/>
    <cellStyle name="Normal 297 5 2" xfId="24735" xr:uid="{00000000-0005-0000-0000-00009F5F0000}"/>
    <cellStyle name="Normal 297 5 2 2" xfId="24736" xr:uid="{00000000-0005-0000-0000-0000A05F0000}"/>
    <cellStyle name="Normal 297 5 3" xfId="24737" xr:uid="{00000000-0005-0000-0000-0000A15F0000}"/>
    <cellStyle name="Normal 297 6" xfId="24738" xr:uid="{00000000-0005-0000-0000-0000A25F0000}"/>
    <cellStyle name="Normal 297 6 2" xfId="24739" xr:uid="{00000000-0005-0000-0000-0000A35F0000}"/>
    <cellStyle name="Normal 297 6 2 2" xfId="24740" xr:uid="{00000000-0005-0000-0000-0000A45F0000}"/>
    <cellStyle name="Normal 297 6 3" xfId="24741" xr:uid="{00000000-0005-0000-0000-0000A55F0000}"/>
    <cellStyle name="Normal 297 7" xfId="24742" xr:uid="{00000000-0005-0000-0000-0000A65F0000}"/>
    <cellStyle name="Normal 298" xfId="24743" xr:uid="{00000000-0005-0000-0000-0000A75F0000}"/>
    <cellStyle name="Normal 298 2" xfId="24744" xr:uid="{00000000-0005-0000-0000-0000A85F0000}"/>
    <cellStyle name="Normal 298 2 2" xfId="24745" xr:uid="{00000000-0005-0000-0000-0000A95F0000}"/>
    <cellStyle name="Normal 298 2 2 2" xfId="24746" xr:uid="{00000000-0005-0000-0000-0000AA5F0000}"/>
    <cellStyle name="Normal 298 2 3" xfId="24747" xr:uid="{00000000-0005-0000-0000-0000AB5F0000}"/>
    <cellStyle name="Normal 298 2 3 2" xfId="24748" xr:uid="{00000000-0005-0000-0000-0000AC5F0000}"/>
    <cellStyle name="Normal 298 2 3 2 2" xfId="24749" xr:uid="{00000000-0005-0000-0000-0000AD5F0000}"/>
    <cellStyle name="Normal 298 2 3 3" xfId="24750" xr:uid="{00000000-0005-0000-0000-0000AE5F0000}"/>
    <cellStyle name="Normal 298 2 4" xfId="24751" xr:uid="{00000000-0005-0000-0000-0000AF5F0000}"/>
    <cellStyle name="Normal 298 2 4 2" xfId="24752" xr:uid="{00000000-0005-0000-0000-0000B05F0000}"/>
    <cellStyle name="Normal 298 2 4 2 2" xfId="24753" xr:uid="{00000000-0005-0000-0000-0000B15F0000}"/>
    <cellStyle name="Normal 298 2 4 3" xfId="24754" xr:uid="{00000000-0005-0000-0000-0000B25F0000}"/>
    <cellStyle name="Normal 298 2 5" xfId="24755" xr:uid="{00000000-0005-0000-0000-0000B35F0000}"/>
    <cellStyle name="Normal 298 3" xfId="24756" xr:uid="{00000000-0005-0000-0000-0000B45F0000}"/>
    <cellStyle name="Normal 298 3 2" xfId="24757" xr:uid="{00000000-0005-0000-0000-0000B55F0000}"/>
    <cellStyle name="Normal 298 3 2 2" xfId="24758" xr:uid="{00000000-0005-0000-0000-0000B65F0000}"/>
    <cellStyle name="Normal 298 3 2 2 2" xfId="24759" xr:uid="{00000000-0005-0000-0000-0000B75F0000}"/>
    <cellStyle name="Normal 298 3 2 3" xfId="24760" xr:uid="{00000000-0005-0000-0000-0000B85F0000}"/>
    <cellStyle name="Normal 298 3 2 3 2" xfId="24761" xr:uid="{00000000-0005-0000-0000-0000B95F0000}"/>
    <cellStyle name="Normal 298 3 2 3 2 2" xfId="24762" xr:uid="{00000000-0005-0000-0000-0000BA5F0000}"/>
    <cellStyle name="Normal 298 3 2 3 3" xfId="24763" xr:uid="{00000000-0005-0000-0000-0000BB5F0000}"/>
    <cellStyle name="Normal 298 3 2 4" xfId="24764" xr:uid="{00000000-0005-0000-0000-0000BC5F0000}"/>
    <cellStyle name="Normal 298 3 3" xfId="24765" xr:uid="{00000000-0005-0000-0000-0000BD5F0000}"/>
    <cellStyle name="Normal 298 3 3 2" xfId="24766" xr:uid="{00000000-0005-0000-0000-0000BE5F0000}"/>
    <cellStyle name="Normal 298 3 3 2 2" xfId="24767" xr:uid="{00000000-0005-0000-0000-0000BF5F0000}"/>
    <cellStyle name="Normal 298 3 3 3" xfId="24768" xr:uid="{00000000-0005-0000-0000-0000C05F0000}"/>
    <cellStyle name="Normal 298 3 4" xfId="24769" xr:uid="{00000000-0005-0000-0000-0000C15F0000}"/>
    <cellStyle name="Normal 298 3 4 2" xfId="24770" xr:uid="{00000000-0005-0000-0000-0000C25F0000}"/>
    <cellStyle name="Normal 298 3 4 2 2" xfId="24771" xr:uid="{00000000-0005-0000-0000-0000C35F0000}"/>
    <cellStyle name="Normal 298 3 4 3" xfId="24772" xr:uid="{00000000-0005-0000-0000-0000C45F0000}"/>
    <cellStyle name="Normal 298 3 5" xfId="24773" xr:uid="{00000000-0005-0000-0000-0000C55F0000}"/>
    <cellStyle name="Normal 298 3 5 2" xfId="24774" xr:uid="{00000000-0005-0000-0000-0000C65F0000}"/>
    <cellStyle name="Normal 298 3 5 2 2" xfId="24775" xr:uid="{00000000-0005-0000-0000-0000C75F0000}"/>
    <cellStyle name="Normal 298 3 5 3" xfId="24776" xr:uid="{00000000-0005-0000-0000-0000C85F0000}"/>
    <cellStyle name="Normal 298 3 6" xfId="24777" xr:uid="{00000000-0005-0000-0000-0000C95F0000}"/>
    <cellStyle name="Normal 298 4" xfId="24778" xr:uid="{00000000-0005-0000-0000-0000CA5F0000}"/>
    <cellStyle name="Normal 298 4 2" xfId="24779" xr:uid="{00000000-0005-0000-0000-0000CB5F0000}"/>
    <cellStyle name="Normal 298 4 2 2" xfId="24780" xr:uid="{00000000-0005-0000-0000-0000CC5F0000}"/>
    <cellStyle name="Normal 298 4 3" xfId="24781" xr:uid="{00000000-0005-0000-0000-0000CD5F0000}"/>
    <cellStyle name="Normal 298 5" xfId="24782" xr:uid="{00000000-0005-0000-0000-0000CE5F0000}"/>
    <cellStyle name="Normal 298 5 2" xfId="24783" xr:uid="{00000000-0005-0000-0000-0000CF5F0000}"/>
    <cellStyle name="Normal 298 5 2 2" xfId="24784" xr:uid="{00000000-0005-0000-0000-0000D05F0000}"/>
    <cellStyle name="Normal 298 5 3" xfId="24785" xr:uid="{00000000-0005-0000-0000-0000D15F0000}"/>
    <cellStyle name="Normal 298 6" xfId="24786" xr:uid="{00000000-0005-0000-0000-0000D25F0000}"/>
    <cellStyle name="Normal 298 6 2" xfId="24787" xr:uid="{00000000-0005-0000-0000-0000D35F0000}"/>
    <cellStyle name="Normal 298 6 2 2" xfId="24788" xr:uid="{00000000-0005-0000-0000-0000D45F0000}"/>
    <cellStyle name="Normal 298 6 3" xfId="24789" xr:uid="{00000000-0005-0000-0000-0000D55F0000}"/>
    <cellStyle name="Normal 298 7" xfId="24790" xr:uid="{00000000-0005-0000-0000-0000D65F0000}"/>
    <cellStyle name="Normal 299" xfId="24791" xr:uid="{00000000-0005-0000-0000-0000D75F0000}"/>
    <cellStyle name="Normal 299 2" xfId="24792" xr:uid="{00000000-0005-0000-0000-0000D85F0000}"/>
    <cellStyle name="Normal 299 2 2" xfId="24793" xr:uid="{00000000-0005-0000-0000-0000D95F0000}"/>
    <cellStyle name="Normal 299 2 2 2" xfId="24794" xr:uid="{00000000-0005-0000-0000-0000DA5F0000}"/>
    <cellStyle name="Normal 299 2 3" xfId="24795" xr:uid="{00000000-0005-0000-0000-0000DB5F0000}"/>
    <cellStyle name="Normal 299 2 3 2" xfId="24796" xr:uid="{00000000-0005-0000-0000-0000DC5F0000}"/>
    <cellStyle name="Normal 299 2 3 2 2" xfId="24797" xr:uid="{00000000-0005-0000-0000-0000DD5F0000}"/>
    <cellStyle name="Normal 299 2 3 3" xfId="24798" xr:uid="{00000000-0005-0000-0000-0000DE5F0000}"/>
    <cellStyle name="Normal 299 2 4" xfId="24799" xr:uid="{00000000-0005-0000-0000-0000DF5F0000}"/>
    <cellStyle name="Normal 299 2 4 2" xfId="24800" xr:uid="{00000000-0005-0000-0000-0000E05F0000}"/>
    <cellStyle name="Normal 299 2 4 2 2" xfId="24801" xr:uid="{00000000-0005-0000-0000-0000E15F0000}"/>
    <cellStyle name="Normal 299 2 4 3" xfId="24802" xr:uid="{00000000-0005-0000-0000-0000E25F0000}"/>
    <cellStyle name="Normal 299 2 5" xfId="24803" xr:uid="{00000000-0005-0000-0000-0000E35F0000}"/>
    <cellStyle name="Normal 299 3" xfId="24804" xr:uid="{00000000-0005-0000-0000-0000E45F0000}"/>
    <cellStyle name="Normal 299 3 2" xfId="24805" xr:uid="{00000000-0005-0000-0000-0000E55F0000}"/>
    <cellStyle name="Normal 299 3 2 2" xfId="24806" xr:uid="{00000000-0005-0000-0000-0000E65F0000}"/>
    <cellStyle name="Normal 299 3 2 2 2" xfId="24807" xr:uid="{00000000-0005-0000-0000-0000E75F0000}"/>
    <cellStyle name="Normal 299 3 2 3" xfId="24808" xr:uid="{00000000-0005-0000-0000-0000E85F0000}"/>
    <cellStyle name="Normal 299 3 2 3 2" xfId="24809" xr:uid="{00000000-0005-0000-0000-0000E95F0000}"/>
    <cellStyle name="Normal 299 3 2 3 2 2" xfId="24810" xr:uid="{00000000-0005-0000-0000-0000EA5F0000}"/>
    <cellStyle name="Normal 299 3 2 3 3" xfId="24811" xr:uid="{00000000-0005-0000-0000-0000EB5F0000}"/>
    <cellStyle name="Normal 299 3 2 4" xfId="24812" xr:uid="{00000000-0005-0000-0000-0000EC5F0000}"/>
    <cellStyle name="Normal 299 3 3" xfId="24813" xr:uid="{00000000-0005-0000-0000-0000ED5F0000}"/>
    <cellStyle name="Normal 299 3 3 2" xfId="24814" xr:uid="{00000000-0005-0000-0000-0000EE5F0000}"/>
    <cellStyle name="Normal 299 3 3 2 2" xfId="24815" xr:uid="{00000000-0005-0000-0000-0000EF5F0000}"/>
    <cellStyle name="Normal 299 3 3 3" xfId="24816" xr:uid="{00000000-0005-0000-0000-0000F05F0000}"/>
    <cellStyle name="Normal 299 3 4" xfId="24817" xr:uid="{00000000-0005-0000-0000-0000F15F0000}"/>
    <cellStyle name="Normal 299 3 4 2" xfId="24818" xr:uid="{00000000-0005-0000-0000-0000F25F0000}"/>
    <cellStyle name="Normal 299 3 4 2 2" xfId="24819" xr:uid="{00000000-0005-0000-0000-0000F35F0000}"/>
    <cellStyle name="Normal 299 3 4 3" xfId="24820" xr:uid="{00000000-0005-0000-0000-0000F45F0000}"/>
    <cellStyle name="Normal 299 3 5" xfId="24821" xr:uid="{00000000-0005-0000-0000-0000F55F0000}"/>
    <cellStyle name="Normal 299 3 5 2" xfId="24822" xr:uid="{00000000-0005-0000-0000-0000F65F0000}"/>
    <cellStyle name="Normal 299 3 5 2 2" xfId="24823" xr:uid="{00000000-0005-0000-0000-0000F75F0000}"/>
    <cellStyle name="Normal 299 3 5 3" xfId="24824" xr:uid="{00000000-0005-0000-0000-0000F85F0000}"/>
    <cellStyle name="Normal 299 3 6" xfId="24825" xr:uid="{00000000-0005-0000-0000-0000F95F0000}"/>
    <cellStyle name="Normal 299 4" xfId="24826" xr:uid="{00000000-0005-0000-0000-0000FA5F0000}"/>
    <cellStyle name="Normal 299 4 2" xfId="24827" xr:uid="{00000000-0005-0000-0000-0000FB5F0000}"/>
    <cellStyle name="Normal 299 4 2 2" xfId="24828" xr:uid="{00000000-0005-0000-0000-0000FC5F0000}"/>
    <cellStyle name="Normal 299 4 3" xfId="24829" xr:uid="{00000000-0005-0000-0000-0000FD5F0000}"/>
    <cellStyle name="Normal 299 5" xfId="24830" xr:uid="{00000000-0005-0000-0000-0000FE5F0000}"/>
    <cellStyle name="Normal 299 5 2" xfId="24831" xr:uid="{00000000-0005-0000-0000-0000FF5F0000}"/>
    <cellStyle name="Normal 299 5 2 2" xfId="24832" xr:uid="{00000000-0005-0000-0000-000000600000}"/>
    <cellStyle name="Normal 299 5 3" xfId="24833" xr:uid="{00000000-0005-0000-0000-000001600000}"/>
    <cellStyle name="Normal 299 6" xfId="24834" xr:uid="{00000000-0005-0000-0000-000002600000}"/>
    <cellStyle name="Normal 299 6 2" xfId="24835" xr:uid="{00000000-0005-0000-0000-000003600000}"/>
    <cellStyle name="Normal 299 6 2 2" xfId="24836" xr:uid="{00000000-0005-0000-0000-000004600000}"/>
    <cellStyle name="Normal 299 6 3" xfId="24837" xr:uid="{00000000-0005-0000-0000-000005600000}"/>
    <cellStyle name="Normal 299 7" xfId="24838" xr:uid="{00000000-0005-0000-0000-000006600000}"/>
    <cellStyle name="Normal 3" xfId="80" xr:uid="{00000000-0005-0000-0000-000007600000}"/>
    <cellStyle name="Normal 3 10" xfId="24839" xr:uid="{00000000-0005-0000-0000-000008600000}"/>
    <cellStyle name="Normal 3 11" xfId="24840" xr:uid="{00000000-0005-0000-0000-000009600000}"/>
    <cellStyle name="Normal 3 12" xfId="24841" xr:uid="{00000000-0005-0000-0000-00000A600000}"/>
    <cellStyle name="Normal 3 2" xfId="32" xr:uid="{00000000-0005-0000-0000-00000B600000}"/>
    <cellStyle name="Normal 3 2 2" xfId="103" xr:uid="{00000000-0005-0000-0000-00000C600000}"/>
    <cellStyle name="Normal 3 2 2 2" xfId="24844" xr:uid="{00000000-0005-0000-0000-00000D600000}"/>
    <cellStyle name="Normal 3 2 2 2 2" xfId="24845" xr:uid="{00000000-0005-0000-0000-00000E600000}"/>
    <cellStyle name="Normal 3 2 2 2 2 2" xfId="24846" xr:uid="{00000000-0005-0000-0000-00000F600000}"/>
    <cellStyle name="Normal 3 2 2 2 3" xfId="24847" xr:uid="{00000000-0005-0000-0000-000010600000}"/>
    <cellStyle name="Normal 3 2 2 2 3 2" xfId="24848" xr:uid="{00000000-0005-0000-0000-000011600000}"/>
    <cellStyle name="Normal 3 2 2 2 3 2 2" xfId="24849" xr:uid="{00000000-0005-0000-0000-000012600000}"/>
    <cellStyle name="Normal 3 2 2 2 3 3" xfId="24850" xr:uid="{00000000-0005-0000-0000-000013600000}"/>
    <cellStyle name="Normal 3 2 2 2 4" xfId="24851" xr:uid="{00000000-0005-0000-0000-000014600000}"/>
    <cellStyle name="Normal 3 2 2 2 4 2" xfId="24852" xr:uid="{00000000-0005-0000-0000-000015600000}"/>
    <cellStyle name="Normal 3 2 2 2 4 2 2" xfId="24853" xr:uid="{00000000-0005-0000-0000-000016600000}"/>
    <cellStyle name="Normal 3 2 2 2 4 3" xfId="24854" xr:uid="{00000000-0005-0000-0000-000017600000}"/>
    <cellStyle name="Normal 3 2 2 2 5" xfId="24855" xr:uid="{00000000-0005-0000-0000-000018600000}"/>
    <cellStyle name="Normal 3 2 2 3" xfId="24856" xr:uid="{00000000-0005-0000-0000-000019600000}"/>
    <cellStyle name="Normal 3 2 2 3 2" xfId="24857" xr:uid="{00000000-0005-0000-0000-00001A600000}"/>
    <cellStyle name="Normal 3 2 2 3 2 2" xfId="24858" xr:uid="{00000000-0005-0000-0000-00001B600000}"/>
    <cellStyle name="Normal 3 2 2 3 2 2 2" xfId="24859" xr:uid="{00000000-0005-0000-0000-00001C600000}"/>
    <cellStyle name="Normal 3 2 2 3 2 3" xfId="24860" xr:uid="{00000000-0005-0000-0000-00001D600000}"/>
    <cellStyle name="Normal 3 2 2 3 2 3 2" xfId="24861" xr:uid="{00000000-0005-0000-0000-00001E600000}"/>
    <cellStyle name="Normal 3 2 2 3 2 3 2 2" xfId="24862" xr:uid="{00000000-0005-0000-0000-00001F600000}"/>
    <cellStyle name="Normal 3 2 2 3 2 3 3" xfId="24863" xr:uid="{00000000-0005-0000-0000-000020600000}"/>
    <cellStyle name="Normal 3 2 2 3 2 4" xfId="24864" xr:uid="{00000000-0005-0000-0000-000021600000}"/>
    <cellStyle name="Normal 3 2 2 3 3" xfId="24865" xr:uid="{00000000-0005-0000-0000-000022600000}"/>
    <cellStyle name="Normal 3 2 2 3 3 2" xfId="24866" xr:uid="{00000000-0005-0000-0000-000023600000}"/>
    <cellStyle name="Normal 3 2 2 3 3 2 2" xfId="24867" xr:uid="{00000000-0005-0000-0000-000024600000}"/>
    <cellStyle name="Normal 3 2 2 3 3 3" xfId="24868" xr:uid="{00000000-0005-0000-0000-000025600000}"/>
    <cellStyle name="Normal 3 2 2 3 4" xfId="24869" xr:uid="{00000000-0005-0000-0000-000026600000}"/>
    <cellStyle name="Normal 3 2 2 3 4 2" xfId="24870" xr:uid="{00000000-0005-0000-0000-000027600000}"/>
    <cellStyle name="Normal 3 2 2 3 4 2 2" xfId="24871" xr:uid="{00000000-0005-0000-0000-000028600000}"/>
    <cellStyle name="Normal 3 2 2 3 4 3" xfId="24872" xr:uid="{00000000-0005-0000-0000-000029600000}"/>
    <cellStyle name="Normal 3 2 2 3 5" xfId="24873" xr:uid="{00000000-0005-0000-0000-00002A600000}"/>
    <cellStyle name="Normal 3 2 2 3 5 2" xfId="24874" xr:uid="{00000000-0005-0000-0000-00002B600000}"/>
    <cellStyle name="Normal 3 2 2 3 5 2 2" xfId="24875" xr:uid="{00000000-0005-0000-0000-00002C600000}"/>
    <cellStyle name="Normal 3 2 2 3 5 3" xfId="24876" xr:uid="{00000000-0005-0000-0000-00002D600000}"/>
    <cellStyle name="Normal 3 2 2 3 6" xfId="24877" xr:uid="{00000000-0005-0000-0000-00002E600000}"/>
    <cellStyle name="Normal 3 2 2 4" xfId="24878" xr:uid="{00000000-0005-0000-0000-00002F600000}"/>
    <cellStyle name="Normal 3 2 2 5" xfId="24843" xr:uid="{00000000-0005-0000-0000-000030600000}"/>
    <cellStyle name="Normal 3 2 3" xfId="24879" xr:uid="{00000000-0005-0000-0000-000031600000}"/>
    <cellStyle name="Normal 3 2 3 2" xfId="24880" xr:uid="{00000000-0005-0000-0000-000032600000}"/>
    <cellStyle name="Normal 3 2 3 2 2" xfId="24881" xr:uid="{00000000-0005-0000-0000-000033600000}"/>
    <cellStyle name="Normal 3 2 3 3" xfId="24882" xr:uid="{00000000-0005-0000-0000-000034600000}"/>
    <cellStyle name="Normal 3 2 3 3 2" xfId="24883" xr:uid="{00000000-0005-0000-0000-000035600000}"/>
    <cellStyle name="Normal 3 2 3 3 2 2" xfId="24884" xr:uid="{00000000-0005-0000-0000-000036600000}"/>
    <cellStyle name="Normal 3 2 3 3 3" xfId="24885" xr:uid="{00000000-0005-0000-0000-000037600000}"/>
    <cellStyle name="Normal 3 2 3 4" xfId="24886" xr:uid="{00000000-0005-0000-0000-000038600000}"/>
    <cellStyle name="Normal 3 2 3 4 2" xfId="24887" xr:uid="{00000000-0005-0000-0000-000039600000}"/>
    <cellStyle name="Normal 3 2 3 4 2 2" xfId="24888" xr:uid="{00000000-0005-0000-0000-00003A600000}"/>
    <cellStyle name="Normal 3 2 3 4 3" xfId="24889" xr:uid="{00000000-0005-0000-0000-00003B600000}"/>
    <cellStyle name="Normal 3 2 3 5" xfId="24890" xr:uid="{00000000-0005-0000-0000-00003C600000}"/>
    <cellStyle name="Normal 3 2 4" xfId="24891" xr:uid="{00000000-0005-0000-0000-00003D600000}"/>
    <cellStyle name="Normal 3 2 4 2" xfId="24892" xr:uid="{00000000-0005-0000-0000-00003E600000}"/>
    <cellStyle name="Normal 3 2 4 2 2" xfId="24893" xr:uid="{00000000-0005-0000-0000-00003F600000}"/>
    <cellStyle name="Normal 3 2 4 2 2 2" xfId="24894" xr:uid="{00000000-0005-0000-0000-000040600000}"/>
    <cellStyle name="Normal 3 2 4 2 3" xfId="24895" xr:uid="{00000000-0005-0000-0000-000041600000}"/>
    <cellStyle name="Normal 3 2 4 2 3 2" xfId="24896" xr:uid="{00000000-0005-0000-0000-000042600000}"/>
    <cellStyle name="Normal 3 2 4 2 3 2 2" xfId="24897" xr:uid="{00000000-0005-0000-0000-000043600000}"/>
    <cellStyle name="Normal 3 2 4 2 3 3" xfId="24898" xr:uid="{00000000-0005-0000-0000-000044600000}"/>
    <cellStyle name="Normal 3 2 4 2 4" xfId="24899" xr:uid="{00000000-0005-0000-0000-000045600000}"/>
    <cellStyle name="Normal 3 2 4 3" xfId="24900" xr:uid="{00000000-0005-0000-0000-000046600000}"/>
    <cellStyle name="Normal 3 2 4 3 2" xfId="24901" xr:uid="{00000000-0005-0000-0000-000047600000}"/>
    <cellStyle name="Normal 3 2 4 3 2 2" xfId="24902" xr:uid="{00000000-0005-0000-0000-000048600000}"/>
    <cellStyle name="Normal 3 2 4 3 3" xfId="24903" xr:uid="{00000000-0005-0000-0000-000049600000}"/>
    <cellStyle name="Normal 3 2 4 4" xfId="24904" xr:uid="{00000000-0005-0000-0000-00004A600000}"/>
    <cellStyle name="Normal 3 2 4 4 2" xfId="24905" xr:uid="{00000000-0005-0000-0000-00004B600000}"/>
    <cellStyle name="Normal 3 2 4 4 2 2" xfId="24906" xr:uid="{00000000-0005-0000-0000-00004C600000}"/>
    <cellStyle name="Normal 3 2 4 4 3" xfId="24907" xr:uid="{00000000-0005-0000-0000-00004D600000}"/>
    <cellStyle name="Normal 3 2 4 5" xfId="24908" xr:uid="{00000000-0005-0000-0000-00004E600000}"/>
    <cellStyle name="Normal 3 2 4 5 2" xfId="24909" xr:uid="{00000000-0005-0000-0000-00004F600000}"/>
    <cellStyle name="Normal 3 2 4 5 2 2" xfId="24910" xr:uid="{00000000-0005-0000-0000-000050600000}"/>
    <cellStyle name="Normal 3 2 4 5 3" xfId="24911" xr:uid="{00000000-0005-0000-0000-000051600000}"/>
    <cellStyle name="Normal 3 2 4 6" xfId="24912" xr:uid="{00000000-0005-0000-0000-000052600000}"/>
    <cellStyle name="Normal 3 2 5" xfId="24913" xr:uid="{00000000-0005-0000-0000-000053600000}"/>
    <cellStyle name="Normal 3 2 5 2" xfId="24914" xr:uid="{00000000-0005-0000-0000-000054600000}"/>
    <cellStyle name="Normal 3 2 5 2 2" xfId="24915" xr:uid="{00000000-0005-0000-0000-000055600000}"/>
    <cellStyle name="Normal 3 2 5 3" xfId="24916" xr:uid="{00000000-0005-0000-0000-000056600000}"/>
    <cellStyle name="Normal 3 2 6" xfId="24917" xr:uid="{00000000-0005-0000-0000-000057600000}"/>
    <cellStyle name="Normal 3 2 7" xfId="24842" xr:uid="{00000000-0005-0000-0000-000058600000}"/>
    <cellStyle name="Normal 3 3" xfId="24918" xr:uid="{00000000-0005-0000-0000-000059600000}"/>
    <cellStyle name="Normal 3 3 2" xfId="24919" xr:uid="{00000000-0005-0000-0000-00005A600000}"/>
    <cellStyle name="Normal 3 3 2 2" xfId="24920" xr:uid="{00000000-0005-0000-0000-00005B600000}"/>
    <cellStyle name="Normal 3 3 2 2 2" xfId="24921" xr:uid="{00000000-0005-0000-0000-00005C600000}"/>
    <cellStyle name="Normal 3 3 2 2 2 2" xfId="24922" xr:uid="{00000000-0005-0000-0000-00005D600000}"/>
    <cellStyle name="Normal 3 3 2 2 3" xfId="24923" xr:uid="{00000000-0005-0000-0000-00005E600000}"/>
    <cellStyle name="Normal 3 3 2 2 3 2" xfId="24924" xr:uid="{00000000-0005-0000-0000-00005F600000}"/>
    <cellStyle name="Normal 3 3 2 2 3 2 2" xfId="24925" xr:uid="{00000000-0005-0000-0000-000060600000}"/>
    <cellStyle name="Normal 3 3 2 2 3 3" xfId="24926" xr:uid="{00000000-0005-0000-0000-000061600000}"/>
    <cellStyle name="Normal 3 3 2 2 4" xfId="24927" xr:uid="{00000000-0005-0000-0000-000062600000}"/>
    <cellStyle name="Normal 3 3 2 2 4 2" xfId="24928" xr:uid="{00000000-0005-0000-0000-000063600000}"/>
    <cellStyle name="Normal 3 3 2 2 4 2 2" xfId="24929" xr:uid="{00000000-0005-0000-0000-000064600000}"/>
    <cellStyle name="Normal 3 3 2 2 4 3" xfId="24930" xr:uid="{00000000-0005-0000-0000-000065600000}"/>
    <cellStyle name="Normal 3 3 2 2 5" xfId="24931" xr:uid="{00000000-0005-0000-0000-000066600000}"/>
    <cellStyle name="Normal 3 3 2 3" xfId="24932" xr:uid="{00000000-0005-0000-0000-000067600000}"/>
    <cellStyle name="Normal 3 3 2 3 2" xfId="24933" xr:uid="{00000000-0005-0000-0000-000068600000}"/>
    <cellStyle name="Normal 3 3 2 3 2 2" xfId="24934" xr:uid="{00000000-0005-0000-0000-000069600000}"/>
    <cellStyle name="Normal 3 3 2 3 3" xfId="24935" xr:uid="{00000000-0005-0000-0000-00006A600000}"/>
    <cellStyle name="Normal 3 3 2 4" xfId="24936" xr:uid="{00000000-0005-0000-0000-00006B600000}"/>
    <cellStyle name="Normal 3 3 2 4 2" xfId="24937" xr:uid="{00000000-0005-0000-0000-00006C600000}"/>
    <cellStyle name="Normal 3 3 2 4 2 2" xfId="24938" xr:uid="{00000000-0005-0000-0000-00006D600000}"/>
    <cellStyle name="Normal 3 3 2 4 3" xfId="24939" xr:uid="{00000000-0005-0000-0000-00006E600000}"/>
    <cellStyle name="Normal 3 3 2 5" xfId="24940" xr:uid="{00000000-0005-0000-0000-00006F600000}"/>
    <cellStyle name="Normal 3 3 2 5 2" xfId="24941" xr:uid="{00000000-0005-0000-0000-000070600000}"/>
    <cellStyle name="Normal 3 3 2 5 2 2" xfId="24942" xr:uid="{00000000-0005-0000-0000-000071600000}"/>
    <cellStyle name="Normal 3 3 2 5 3" xfId="24943" xr:uid="{00000000-0005-0000-0000-000072600000}"/>
    <cellStyle name="Normal 3 3 2 6" xfId="24944" xr:uid="{00000000-0005-0000-0000-000073600000}"/>
    <cellStyle name="Normal 3 3 3" xfId="24945" xr:uid="{00000000-0005-0000-0000-000074600000}"/>
    <cellStyle name="Normal 3 3 3 2" xfId="24946" xr:uid="{00000000-0005-0000-0000-000075600000}"/>
    <cellStyle name="Normal 3 3 3 2 2" xfId="24947" xr:uid="{00000000-0005-0000-0000-000076600000}"/>
    <cellStyle name="Normal 3 3 3 3" xfId="24948" xr:uid="{00000000-0005-0000-0000-000077600000}"/>
    <cellStyle name="Normal 3 3 3 3 2" xfId="24949" xr:uid="{00000000-0005-0000-0000-000078600000}"/>
    <cellStyle name="Normal 3 3 3 3 2 2" xfId="24950" xr:uid="{00000000-0005-0000-0000-000079600000}"/>
    <cellStyle name="Normal 3 3 3 3 3" xfId="24951" xr:uid="{00000000-0005-0000-0000-00007A600000}"/>
    <cellStyle name="Normal 3 3 3 4" xfId="24952" xr:uid="{00000000-0005-0000-0000-00007B600000}"/>
    <cellStyle name="Normal 3 3 3 4 2" xfId="24953" xr:uid="{00000000-0005-0000-0000-00007C600000}"/>
    <cellStyle name="Normal 3 3 3 4 2 2" xfId="24954" xr:uid="{00000000-0005-0000-0000-00007D600000}"/>
    <cellStyle name="Normal 3 3 3 4 3" xfId="24955" xr:uid="{00000000-0005-0000-0000-00007E600000}"/>
    <cellStyle name="Normal 3 3 3 5" xfId="24956" xr:uid="{00000000-0005-0000-0000-00007F600000}"/>
    <cellStyle name="Normal 3 3 4" xfId="24957" xr:uid="{00000000-0005-0000-0000-000080600000}"/>
    <cellStyle name="Normal 3 3 4 2" xfId="24958" xr:uid="{00000000-0005-0000-0000-000081600000}"/>
    <cellStyle name="Normal 3 3 4 2 2" xfId="24959" xr:uid="{00000000-0005-0000-0000-000082600000}"/>
    <cellStyle name="Normal 3 3 4 2 2 2" xfId="24960" xr:uid="{00000000-0005-0000-0000-000083600000}"/>
    <cellStyle name="Normal 3 3 4 2 3" xfId="24961" xr:uid="{00000000-0005-0000-0000-000084600000}"/>
    <cellStyle name="Normal 3 3 4 2 3 2" xfId="24962" xr:uid="{00000000-0005-0000-0000-000085600000}"/>
    <cellStyle name="Normal 3 3 4 2 3 2 2" xfId="24963" xr:uid="{00000000-0005-0000-0000-000086600000}"/>
    <cellStyle name="Normal 3 3 4 2 3 3" xfId="24964" xr:uid="{00000000-0005-0000-0000-000087600000}"/>
    <cellStyle name="Normal 3 3 4 2 4" xfId="24965" xr:uid="{00000000-0005-0000-0000-000088600000}"/>
    <cellStyle name="Normal 3 3 4 3" xfId="24966" xr:uid="{00000000-0005-0000-0000-000089600000}"/>
    <cellStyle name="Normal 3 3 4 3 2" xfId="24967" xr:uid="{00000000-0005-0000-0000-00008A600000}"/>
    <cellStyle name="Normal 3 3 4 3 2 2" xfId="24968" xr:uid="{00000000-0005-0000-0000-00008B600000}"/>
    <cellStyle name="Normal 3 3 4 3 3" xfId="24969" xr:uid="{00000000-0005-0000-0000-00008C600000}"/>
    <cellStyle name="Normal 3 3 4 4" xfId="24970" xr:uid="{00000000-0005-0000-0000-00008D600000}"/>
    <cellStyle name="Normal 3 3 4 4 2" xfId="24971" xr:uid="{00000000-0005-0000-0000-00008E600000}"/>
    <cellStyle name="Normal 3 3 4 4 2 2" xfId="24972" xr:uid="{00000000-0005-0000-0000-00008F600000}"/>
    <cellStyle name="Normal 3 3 4 4 3" xfId="24973" xr:uid="{00000000-0005-0000-0000-000090600000}"/>
    <cellStyle name="Normal 3 3 4 5" xfId="24974" xr:uid="{00000000-0005-0000-0000-000091600000}"/>
    <cellStyle name="Normal 3 3 4 5 2" xfId="24975" xr:uid="{00000000-0005-0000-0000-000092600000}"/>
    <cellStyle name="Normal 3 3 4 5 2 2" xfId="24976" xr:uid="{00000000-0005-0000-0000-000093600000}"/>
    <cellStyle name="Normal 3 3 4 5 3" xfId="24977" xr:uid="{00000000-0005-0000-0000-000094600000}"/>
    <cellStyle name="Normal 3 3 4 6" xfId="24978" xr:uid="{00000000-0005-0000-0000-000095600000}"/>
    <cellStyle name="Normal 3 3 5" xfId="24979" xr:uid="{00000000-0005-0000-0000-000096600000}"/>
    <cellStyle name="Normal 3 3 5 2" xfId="24980" xr:uid="{00000000-0005-0000-0000-000097600000}"/>
    <cellStyle name="Normal 3 3 5 2 2" xfId="24981" xr:uid="{00000000-0005-0000-0000-000098600000}"/>
    <cellStyle name="Normal 3 3 5 3" xfId="24982" xr:uid="{00000000-0005-0000-0000-000099600000}"/>
    <cellStyle name="Normal 3 3 6" xfId="24983" xr:uid="{00000000-0005-0000-0000-00009A600000}"/>
    <cellStyle name="Normal 3 3 6 2" xfId="24984" xr:uid="{00000000-0005-0000-0000-00009B600000}"/>
    <cellStyle name="Normal 3 3 6 2 2" xfId="24985" xr:uid="{00000000-0005-0000-0000-00009C600000}"/>
    <cellStyle name="Normal 3 3 6 3" xfId="24986" xr:uid="{00000000-0005-0000-0000-00009D600000}"/>
    <cellStyle name="Normal 3 3 7" xfId="24987" xr:uid="{00000000-0005-0000-0000-00009E600000}"/>
    <cellStyle name="Normal 3 3 7 2" xfId="24988" xr:uid="{00000000-0005-0000-0000-00009F600000}"/>
    <cellStyle name="Normal 3 3 7 2 2" xfId="24989" xr:uid="{00000000-0005-0000-0000-0000A0600000}"/>
    <cellStyle name="Normal 3 3 7 3" xfId="24990" xr:uid="{00000000-0005-0000-0000-0000A1600000}"/>
    <cellStyle name="Normal 3 3 8" xfId="24991" xr:uid="{00000000-0005-0000-0000-0000A2600000}"/>
    <cellStyle name="Normal 3 4" xfId="24992" xr:uid="{00000000-0005-0000-0000-0000A3600000}"/>
    <cellStyle name="Normal 3 4 2" xfId="24993" xr:uid="{00000000-0005-0000-0000-0000A4600000}"/>
    <cellStyle name="Normal 3 4 2 2" xfId="24994" xr:uid="{00000000-0005-0000-0000-0000A5600000}"/>
    <cellStyle name="Normal 3 4 2 2 2" xfId="24995" xr:uid="{00000000-0005-0000-0000-0000A6600000}"/>
    <cellStyle name="Normal 3 4 2 3" xfId="24996" xr:uid="{00000000-0005-0000-0000-0000A7600000}"/>
    <cellStyle name="Normal 3 4 2 3 2" xfId="24997" xr:uid="{00000000-0005-0000-0000-0000A8600000}"/>
    <cellStyle name="Normal 3 4 2 3 2 2" xfId="24998" xr:uid="{00000000-0005-0000-0000-0000A9600000}"/>
    <cellStyle name="Normal 3 4 2 3 3" xfId="24999" xr:uid="{00000000-0005-0000-0000-0000AA600000}"/>
    <cellStyle name="Normal 3 4 2 4" xfId="25000" xr:uid="{00000000-0005-0000-0000-0000AB600000}"/>
    <cellStyle name="Normal 3 4 2 4 2" xfId="25001" xr:uid="{00000000-0005-0000-0000-0000AC600000}"/>
    <cellStyle name="Normal 3 4 2 4 2 2" xfId="25002" xr:uid="{00000000-0005-0000-0000-0000AD600000}"/>
    <cellStyle name="Normal 3 4 2 4 3" xfId="25003" xr:uid="{00000000-0005-0000-0000-0000AE600000}"/>
    <cellStyle name="Normal 3 4 2 5" xfId="25004" xr:uid="{00000000-0005-0000-0000-0000AF600000}"/>
    <cellStyle name="Normal 3 4 3" xfId="25005" xr:uid="{00000000-0005-0000-0000-0000B0600000}"/>
    <cellStyle name="Normal 3 4 3 2" xfId="25006" xr:uid="{00000000-0005-0000-0000-0000B1600000}"/>
    <cellStyle name="Normal 3 4 3 2 2" xfId="25007" xr:uid="{00000000-0005-0000-0000-0000B2600000}"/>
    <cellStyle name="Normal 3 4 3 3" xfId="25008" xr:uid="{00000000-0005-0000-0000-0000B3600000}"/>
    <cellStyle name="Normal 3 4 4" xfId="25009" xr:uid="{00000000-0005-0000-0000-0000B4600000}"/>
    <cellStyle name="Normal 3 4 4 2" xfId="25010" xr:uid="{00000000-0005-0000-0000-0000B5600000}"/>
    <cellStyle name="Normal 3 4 4 2 2" xfId="25011" xr:uid="{00000000-0005-0000-0000-0000B6600000}"/>
    <cellStyle name="Normal 3 4 4 3" xfId="25012" xr:uid="{00000000-0005-0000-0000-0000B7600000}"/>
    <cellStyle name="Normal 3 4 5" xfId="25013" xr:uid="{00000000-0005-0000-0000-0000B8600000}"/>
    <cellStyle name="Normal 3 4 5 2" xfId="25014" xr:uid="{00000000-0005-0000-0000-0000B9600000}"/>
    <cellStyle name="Normal 3 4 5 2 2" xfId="25015" xr:uid="{00000000-0005-0000-0000-0000BA600000}"/>
    <cellStyle name="Normal 3 4 5 3" xfId="25016" xr:uid="{00000000-0005-0000-0000-0000BB600000}"/>
    <cellStyle name="Normal 3 4 6" xfId="25017" xr:uid="{00000000-0005-0000-0000-0000BC600000}"/>
    <cellStyle name="Normal 3 5" xfId="25018" xr:uid="{00000000-0005-0000-0000-0000BD600000}"/>
    <cellStyle name="Normal 3 5 2" xfId="25019" xr:uid="{00000000-0005-0000-0000-0000BE600000}"/>
    <cellStyle name="Normal 3 5 2 2" xfId="25020" xr:uid="{00000000-0005-0000-0000-0000BF600000}"/>
    <cellStyle name="Normal 3 5 2 2 2" xfId="25021" xr:uid="{00000000-0005-0000-0000-0000C0600000}"/>
    <cellStyle name="Normal 3 5 2 3" xfId="25022" xr:uid="{00000000-0005-0000-0000-0000C1600000}"/>
    <cellStyle name="Normal 3 5 2 3 2" xfId="25023" xr:uid="{00000000-0005-0000-0000-0000C2600000}"/>
    <cellStyle name="Normal 3 5 2 3 2 2" xfId="25024" xr:uid="{00000000-0005-0000-0000-0000C3600000}"/>
    <cellStyle name="Normal 3 5 2 3 3" xfId="25025" xr:uid="{00000000-0005-0000-0000-0000C4600000}"/>
    <cellStyle name="Normal 3 5 2 4" xfId="25026" xr:uid="{00000000-0005-0000-0000-0000C5600000}"/>
    <cellStyle name="Normal 3 5 2 4 2" xfId="25027" xr:uid="{00000000-0005-0000-0000-0000C6600000}"/>
    <cellStyle name="Normal 3 5 2 4 2 2" xfId="25028" xr:uid="{00000000-0005-0000-0000-0000C7600000}"/>
    <cellStyle name="Normal 3 5 2 4 3" xfId="25029" xr:uid="{00000000-0005-0000-0000-0000C8600000}"/>
    <cellStyle name="Normal 3 5 2 5" xfId="25030" xr:uid="{00000000-0005-0000-0000-0000C9600000}"/>
    <cellStyle name="Normal 3 5 3" xfId="25031" xr:uid="{00000000-0005-0000-0000-0000CA600000}"/>
    <cellStyle name="Normal 3 5 3 2" xfId="25032" xr:uid="{00000000-0005-0000-0000-0000CB600000}"/>
    <cellStyle name="Normal 3 5 3 2 2" xfId="25033" xr:uid="{00000000-0005-0000-0000-0000CC600000}"/>
    <cellStyle name="Normal 3 5 3 3" xfId="25034" xr:uid="{00000000-0005-0000-0000-0000CD600000}"/>
    <cellStyle name="Normal 3 5 4" xfId="25035" xr:uid="{00000000-0005-0000-0000-0000CE600000}"/>
    <cellStyle name="Normal 3 5 4 2" xfId="25036" xr:uid="{00000000-0005-0000-0000-0000CF600000}"/>
    <cellStyle name="Normal 3 5 4 2 2" xfId="25037" xr:uid="{00000000-0005-0000-0000-0000D0600000}"/>
    <cellStyle name="Normal 3 5 4 3" xfId="25038" xr:uid="{00000000-0005-0000-0000-0000D1600000}"/>
    <cellStyle name="Normal 3 5 5" xfId="25039" xr:uid="{00000000-0005-0000-0000-0000D2600000}"/>
    <cellStyle name="Normal 3 5 5 2" xfId="25040" xr:uid="{00000000-0005-0000-0000-0000D3600000}"/>
    <cellStyle name="Normal 3 5 5 2 2" xfId="25041" xr:uid="{00000000-0005-0000-0000-0000D4600000}"/>
    <cellStyle name="Normal 3 5 5 3" xfId="25042" xr:uid="{00000000-0005-0000-0000-0000D5600000}"/>
    <cellStyle name="Normal 3 5 6" xfId="25043" xr:uid="{00000000-0005-0000-0000-0000D6600000}"/>
    <cellStyle name="Normal 3 6" xfId="25044" xr:uid="{00000000-0005-0000-0000-0000D7600000}"/>
    <cellStyle name="Normal 3 6 2" xfId="25045" xr:uid="{00000000-0005-0000-0000-0000D8600000}"/>
    <cellStyle name="Normal 3 6 2 2" xfId="25046" xr:uid="{00000000-0005-0000-0000-0000D9600000}"/>
    <cellStyle name="Normal 3 6 2 2 2" xfId="25047" xr:uid="{00000000-0005-0000-0000-0000DA600000}"/>
    <cellStyle name="Normal 3 6 2 2 2 2" xfId="25048" xr:uid="{00000000-0005-0000-0000-0000DB600000}"/>
    <cellStyle name="Normal 3 6 2 2 3" xfId="25049" xr:uid="{00000000-0005-0000-0000-0000DC600000}"/>
    <cellStyle name="Normal 3 6 2 2 3 2" xfId="25050" xr:uid="{00000000-0005-0000-0000-0000DD600000}"/>
    <cellStyle name="Normal 3 6 2 2 3 2 2" xfId="25051" xr:uid="{00000000-0005-0000-0000-0000DE600000}"/>
    <cellStyle name="Normal 3 6 2 2 3 3" xfId="25052" xr:uid="{00000000-0005-0000-0000-0000DF600000}"/>
    <cellStyle name="Normal 3 6 2 2 4" xfId="25053" xr:uid="{00000000-0005-0000-0000-0000E0600000}"/>
    <cellStyle name="Normal 3 6 2 3" xfId="25054" xr:uid="{00000000-0005-0000-0000-0000E1600000}"/>
    <cellStyle name="Normal 3 6 2 3 2" xfId="25055" xr:uid="{00000000-0005-0000-0000-0000E2600000}"/>
    <cellStyle name="Normal 3 6 2 3 2 2" xfId="25056" xr:uid="{00000000-0005-0000-0000-0000E3600000}"/>
    <cellStyle name="Normal 3 6 2 3 3" xfId="25057" xr:uid="{00000000-0005-0000-0000-0000E4600000}"/>
    <cellStyle name="Normal 3 6 2 4" xfId="25058" xr:uid="{00000000-0005-0000-0000-0000E5600000}"/>
    <cellStyle name="Normal 3 6 2 4 2" xfId="25059" xr:uid="{00000000-0005-0000-0000-0000E6600000}"/>
    <cellStyle name="Normal 3 6 2 4 2 2" xfId="25060" xr:uid="{00000000-0005-0000-0000-0000E7600000}"/>
    <cellStyle name="Normal 3 6 2 4 3" xfId="25061" xr:uid="{00000000-0005-0000-0000-0000E8600000}"/>
    <cellStyle name="Normal 3 6 2 5" xfId="25062" xr:uid="{00000000-0005-0000-0000-0000E9600000}"/>
    <cellStyle name="Normal 3 6 3" xfId="25063" xr:uid="{00000000-0005-0000-0000-0000EA600000}"/>
    <cellStyle name="Normal 3 6 3 2" xfId="25064" xr:uid="{00000000-0005-0000-0000-0000EB600000}"/>
    <cellStyle name="Normal 3 6 4" xfId="25065" xr:uid="{00000000-0005-0000-0000-0000EC600000}"/>
    <cellStyle name="Normal 3 6 4 2" xfId="25066" xr:uid="{00000000-0005-0000-0000-0000ED600000}"/>
    <cellStyle name="Normal 3 6 4 2 2" xfId="25067" xr:uid="{00000000-0005-0000-0000-0000EE600000}"/>
    <cellStyle name="Normal 3 6 4 3" xfId="25068" xr:uid="{00000000-0005-0000-0000-0000EF600000}"/>
    <cellStyle name="Normal 3 6 5" xfId="25069" xr:uid="{00000000-0005-0000-0000-0000F0600000}"/>
    <cellStyle name="Normal 3 6 5 2" xfId="25070" xr:uid="{00000000-0005-0000-0000-0000F1600000}"/>
    <cellStyle name="Normal 3 6 5 2 2" xfId="25071" xr:uid="{00000000-0005-0000-0000-0000F2600000}"/>
    <cellStyle name="Normal 3 6 5 3" xfId="25072" xr:uid="{00000000-0005-0000-0000-0000F3600000}"/>
    <cellStyle name="Normal 3 6 6" xfId="25073" xr:uid="{00000000-0005-0000-0000-0000F4600000}"/>
    <cellStyle name="Normal 3 7" xfId="25074" xr:uid="{00000000-0005-0000-0000-0000F5600000}"/>
    <cellStyle name="Normal 3 7 2" xfId="25075" xr:uid="{00000000-0005-0000-0000-0000F6600000}"/>
    <cellStyle name="Normal 3 7 2 2" xfId="25076" xr:uid="{00000000-0005-0000-0000-0000F7600000}"/>
    <cellStyle name="Normal 3 7 2 2 2" xfId="25077" xr:uid="{00000000-0005-0000-0000-0000F8600000}"/>
    <cellStyle name="Normal 3 7 2 3" xfId="25078" xr:uid="{00000000-0005-0000-0000-0000F9600000}"/>
    <cellStyle name="Normal 3 7 2 3 2" xfId="25079" xr:uid="{00000000-0005-0000-0000-0000FA600000}"/>
    <cellStyle name="Normal 3 7 2 3 2 2" xfId="25080" xr:uid="{00000000-0005-0000-0000-0000FB600000}"/>
    <cellStyle name="Normal 3 7 2 3 3" xfId="25081" xr:uid="{00000000-0005-0000-0000-0000FC600000}"/>
    <cellStyle name="Normal 3 7 2 4" xfId="25082" xr:uid="{00000000-0005-0000-0000-0000FD600000}"/>
    <cellStyle name="Normal 3 7 3" xfId="25083" xr:uid="{00000000-0005-0000-0000-0000FE600000}"/>
    <cellStyle name="Normal 3 7 3 2" xfId="25084" xr:uid="{00000000-0005-0000-0000-0000FF600000}"/>
    <cellStyle name="Normal 3 7 3 2 2" xfId="25085" xr:uid="{00000000-0005-0000-0000-000000610000}"/>
    <cellStyle name="Normal 3 7 3 3" xfId="25086" xr:uid="{00000000-0005-0000-0000-000001610000}"/>
    <cellStyle name="Normal 3 7 4" xfId="25087" xr:uid="{00000000-0005-0000-0000-000002610000}"/>
    <cellStyle name="Normal 3 7 4 2" xfId="25088" xr:uid="{00000000-0005-0000-0000-000003610000}"/>
    <cellStyle name="Normal 3 7 4 2 2" xfId="25089" xr:uid="{00000000-0005-0000-0000-000004610000}"/>
    <cellStyle name="Normal 3 7 4 3" xfId="25090" xr:uid="{00000000-0005-0000-0000-000005610000}"/>
    <cellStyle name="Normal 3 7 5" xfId="25091" xr:uid="{00000000-0005-0000-0000-000006610000}"/>
    <cellStyle name="Normal 3 8" xfId="25092" xr:uid="{00000000-0005-0000-0000-000007610000}"/>
    <cellStyle name="Normal 3 8 2" xfId="25093" xr:uid="{00000000-0005-0000-0000-000008610000}"/>
    <cellStyle name="Normal 3 8 2 2" xfId="25094" xr:uid="{00000000-0005-0000-0000-000009610000}"/>
    <cellStyle name="Normal 3 8 3" xfId="25095" xr:uid="{00000000-0005-0000-0000-00000A610000}"/>
    <cellStyle name="Normal 3 9" xfId="25096" xr:uid="{00000000-0005-0000-0000-00000B610000}"/>
    <cellStyle name="Normal 3 9 2" xfId="25097" xr:uid="{00000000-0005-0000-0000-00000C610000}"/>
    <cellStyle name="Normal 30" xfId="25098" xr:uid="{00000000-0005-0000-0000-00000D610000}"/>
    <cellStyle name="Normal 30 2" xfId="25099" xr:uid="{00000000-0005-0000-0000-00000E610000}"/>
    <cellStyle name="Normal 30 2 2" xfId="25100" xr:uid="{00000000-0005-0000-0000-00000F610000}"/>
    <cellStyle name="Normal 30 2 2 2" xfId="25101" xr:uid="{00000000-0005-0000-0000-000010610000}"/>
    <cellStyle name="Normal 30 2 2 2 2" xfId="25102" xr:uid="{00000000-0005-0000-0000-000011610000}"/>
    <cellStyle name="Normal 30 2 2 3" xfId="25103" xr:uid="{00000000-0005-0000-0000-000012610000}"/>
    <cellStyle name="Normal 30 2 2 3 2" xfId="25104" xr:uid="{00000000-0005-0000-0000-000013610000}"/>
    <cellStyle name="Normal 30 2 2 3 2 2" xfId="25105" xr:uid="{00000000-0005-0000-0000-000014610000}"/>
    <cellStyle name="Normal 30 2 2 3 3" xfId="25106" xr:uid="{00000000-0005-0000-0000-000015610000}"/>
    <cellStyle name="Normal 30 2 2 4" xfId="25107" xr:uid="{00000000-0005-0000-0000-000016610000}"/>
    <cellStyle name="Normal 30 2 2 4 2" xfId="25108" xr:uid="{00000000-0005-0000-0000-000017610000}"/>
    <cellStyle name="Normal 30 2 2 4 2 2" xfId="25109" xr:uid="{00000000-0005-0000-0000-000018610000}"/>
    <cellStyle name="Normal 30 2 2 4 3" xfId="25110" xr:uid="{00000000-0005-0000-0000-000019610000}"/>
    <cellStyle name="Normal 30 2 2 5" xfId="25111" xr:uid="{00000000-0005-0000-0000-00001A610000}"/>
    <cellStyle name="Normal 30 2 3" xfId="25112" xr:uid="{00000000-0005-0000-0000-00001B610000}"/>
    <cellStyle name="Normal 30 2 3 2" xfId="25113" xr:uid="{00000000-0005-0000-0000-00001C610000}"/>
    <cellStyle name="Normal 30 2 3 2 2" xfId="25114" xr:uid="{00000000-0005-0000-0000-00001D610000}"/>
    <cellStyle name="Normal 30 2 3 3" xfId="25115" xr:uid="{00000000-0005-0000-0000-00001E610000}"/>
    <cellStyle name="Normal 30 2 4" xfId="25116" xr:uid="{00000000-0005-0000-0000-00001F610000}"/>
    <cellStyle name="Normal 30 2 4 2" xfId="25117" xr:uid="{00000000-0005-0000-0000-000020610000}"/>
    <cellStyle name="Normal 30 2 4 2 2" xfId="25118" xr:uid="{00000000-0005-0000-0000-000021610000}"/>
    <cellStyle name="Normal 30 2 4 3" xfId="25119" xr:uid="{00000000-0005-0000-0000-000022610000}"/>
    <cellStyle name="Normal 30 2 5" xfId="25120" xr:uid="{00000000-0005-0000-0000-000023610000}"/>
    <cellStyle name="Normal 30 2 5 2" xfId="25121" xr:uid="{00000000-0005-0000-0000-000024610000}"/>
    <cellStyle name="Normal 30 2 5 2 2" xfId="25122" xr:uid="{00000000-0005-0000-0000-000025610000}"/>
    <cellStyle name="Normal 30 2 5 3" xfId="25123" xr:uid="{00000000-0005-0000-0000-000026610000}"/>
    <cellStyle name="Normal 30 2 6" xfId="25124" xr:uid="{00000000-0005-0000-0000-000027610000}"/>
    <cellStyle name="Normal 30 3" xfId="25125" xr:uid="{00000000-0005-0000-0000-000028610000}"/>
    <cellStyle name="Normal 30 3 2" xfId="25126" xr:uid="{00000000-0005-0000-0000-000029610000}"/>
    <cellStyle name="Normal 30 3 2 2" xfId="25127" xr:uid="{00000000-0005-0000-0000-00002A610000}"/>
    <cellStyle name="Normal 30 3 3" xfId="25128" xr:uid="{00000000-0005-0000-0000-00002B610000}"/>
    <cellStyle name="Normal 30 3 3 2" xfId="25129" xr:uid="{00000000-0005-0000-0000-00002C610000}"/>
    <cellStyle name="Normal 30 3 3 2 2" xfId="25130" xr:uid="{00000000-0005-0000-0000-00002D610000}"/>
    <cellStyle name="Normal 30 3 3 3" xfId="25131" xr:uid="{00000000-0005-0000-0000-00002E610000}"/>
    <cellStyle name="Normal 30 3 4" xfId="25132" xr:uid="{00000000-0005-0000-0000-00002F610000}"/>
    <cellStyle name="Normal 30 3 4 2" xfId="25133" xr:uid="{00000000-0005-0000-0000-000030610000}"/>
    <cellStyle name="Normal 30 3 4 2 2" xfId="25134" xr:uid="{00000000-0005-0000-0000-000031610000}"/>
    <cellStyle name="Normal 30 3 4 3" xfId="25135" xr:uid="{00000000-0005-0000-0000-000032610000}"/>
    <cellStyle name="Normal 30 3 5" xfId="25136" xr:uid="{00000000-0005-0000-0000-000033610000}"/>
    <cellStyle name="Normal 30 4" xfId="25137" xr:uid="{00000000-0005-0000-0000-000034610000}"/>
    <cellStyle name="Normal 30 4 2" xfId="25138" xr:uid="{00000000-0005-0000-0000-000035610000}"/>
    <cellStyle name="Normal 30 4 2 2" xfId="25139" xr:uid="{00000000-0005-0000-0000-000036610000}"/>
    <cellStyle name="Normal 30 4 3" xfId="25140" xr:uid="{00000000-0005-0000-0000-000037610000}"/>
    <cellStyle name="Normal 30 5" xfId="25141" xr:uid="{00000000-0005-0000-0000-000038610000}"/>
    <cellStyle name="Normal 30 5 2" xfId="25142" xr:uid="{00000000-0005-0000-0000-000039610000}"/>
    <cellStyle name="Normal 30 5 2 2" xfId="25143" xr:uid="{00000000-0005-0000-0000-00003A610000}"/>
    <cellStyle name="Normal 30 5 3" xfId="25144" xr:uid="{00000000-0005-0000-0000-00003B610000}"/>
    <cellStyle name="Normal 30 6" xfId="25145" xr:uid="{00000000-0005-0000-0000-00003C610000}"/>
    <cellStyle name="Normal 30 6 2" xfId="25146" xr:uid="{00000000-0005-0000-0000-00003D610000}"/>
    <cellStyle name="Normal 30 6 2 2" xfId="25147" xr:uid="{00000000-0005-0000-0000-00003E610000}"/>
    <cellStyle name="Normal 30 6 3" xfId="25148" xr:uid="{00000000-0005-0000-0000-00003F610000}"/>
    <cellStyle name="Normal 30 7" xfId="25149" xr:uid="{00000000-0005-0000-0000-000040610000}"/>
    <cellStyle name="Normal 300" xfId="25150" xr:uid="{00000000-0005-0000-0000-000041610000}"/>
    <cellStyle name="Normal 300 2" xfId="25151" xr:uid="{00000000-0005-0000-0000-000042610000}"/>
    <cellStyle name="Normal 300 2 2" xfId="25152" xr:uid="{00000000-0005-0000-0000-000043610000}"/>
    <cellStyle name="Normal 300 2 2 2" xfId="25153" xr:uid="{00000000-0005-0000-0000-000044610000}"/>
    <cellStyle name="Normal 300 2 3" xfId="25154" xr:uid="{00000000-0005-0000-0000-000045610000}"/>
    <cellStyle name="Normal 300 2 3 2" xfId="25155" xr:uid="{00000000-0005-0000-0000-000046610000}"/>
    <cellStyle name="Normal 300 2 3 2 2" xfId="25156" xr:uid="{00000000-0005-0000-0000-000047610000}"/>
    <cellStyle name="Normal 300 2 3 3" xfId="25157" xr:uid="{00000000-0005-0000-0000-000048610000}"/>
    <cellStyle name="Normal 300 2 4" xfId="25158" xr:uid="{00000000-0005-0000-0000-000049610000}"/>
    <cellStyle name="Normal 300 2 4 2" xfId="25159" xr:uid="{00000000-0005-0000-0000-00004A610000}"/>
    <cellStyle name="Normal 300 2 4 2 2" xfId="25160" xr:uid="{00000000-0005-0000-0000-00004B610000}"/>
    <cellStyle name="Normal 300 2 4 3" xfId="25161" xr:uid="{00000000-0005-0000-0000-00004C610000}"/>
    <cellStyle name="Normal 300 2 5" xfId="25162" xr:uid="{00000000-0005-0000-0000-00004D610000}"/>
    <cellStyle name="Normal 300 3" xfId="25163" xr:uid="{00000000-0005-0000-0000-00004E610000}"/>
    <cellStyle name="Normal 300 3 2" xfId="25164" xr:uid="{00000000-0005-0000-0000-00004F610000}"/>
    <cellStyle name="Normal 300 3 2 2" xfId="25165" xr:uid="{00000000-0005-0000-0000-000050610000}"/>
    <cellStyle name="Normal 300 3 2 2 2" xfId="25166" xr:uid="{00000000-0005-0000-0000-000051610000}"/>
    <cellStyle name="Normal 300 3 2 3" xfId="25167" xr:uid="{00000000-0005-0000-0000-000052610000}"/>
    <cellStyle name="Normal 300 3 2 3 2" xfId="25168" xr:uid="{00000000-0005-0000-0000-000053610000}"/>
    <cellStyle name="Normal 300 3 2 3 2 2" xfId="25169" xr:uid="{00000000-0005-0000-0000-000054610000}"/>
    <cellStyle name="Normal 300 3 2 3 3" xfId="25170" xr:uid="{00000000-0005-0000-0000-000055610000}"/>
    <cellStyle name="Normal 300 3 2 4" xfId="25171" xr:uid="{00000000-0005-0000-0000-000056610000}"/>
    <cellStyle name="Normal 300 3 3" xfId="25172" xr:uid="{00000000-0005-0000-0000-000057610000}"/>
    <cellStyle name="Normal 300 3 3 2" xfId="25173" xr:uid="{00000000-0005-0000-0000-000058610000}"/>
    <cellStyle name="Normal 300 3 3 2 2" xfId="25174" xr:uid="{00000000-0005-0000-0000-000059610000}"/>
    <cellStyle name="Normal 300 3 3 3" xfId="25175" xr:uid="{00000000-0005-0000-0000-00005A610000}"/>
    <cellStyle name="Normal 300 3 4" xfId="25176" xr:uid="{00000000-0005-0000-0000-00005B610000}"/>
    <cellStyle name="Normal 300 3 4 2" xfId="25177" xr:uid="{00000000-0005-0000-0000-00005C610000}"/>
    <cellStyle name="Normal 300 3 4 2 2" xfId="25178" xr:uid="{00000000-0005-0000-0000-00005D610000}"/>
    <cellStyle name="Normal 300 3 4 3" xfId="25179" xr:uid="{00000000-0005-0000-0000-00005E610000}"/>
    <cellStyle name="Normal 300 3 5" xfId="25180" xr:uid="{00000000-0005-0000-0000-00005F610000}"/>
    <cellStyle name="Normal 300 3 5 2" xfId="25181" xr:uid="{00000000-0005-0000-0000-000060610000}"/>
    <cellStyle name="Normal 300 3 5 2 2" xfId="25182" xr:uid="{00000000-0005-0000-0000-000061610000}"/>
    <cellStyle name="Normal 300 3 5 3" xfId="25183" xr:uid="{00000000-0005-0000-0000-000062610000}"/>
    <cellStyle name="Normal 300 3 6" xfId="25184" xr:uid="{00000000-0005-0000-0000-000063610000}"/>
    <cellStyle name="Normal 300 4" xfId="25185" xr:uid="{00000000-0005-0000-0000-000064610000}"/>
    <cellStyle name="Normal 300 4 2" xfId="25186" xr:uid="{00000000-0005-0000-0000-000065610000}"/>
    <cellStyle name="Normal 300 4 2 2" xfId="25187" xr:uid="{00000000-0005-0000-0000-000066610000}"/>
    <cellStyle name="Normal 300 4 3" xfId="25188" xr:uid="{00000000-0005-0000-0000-000067610000}"/>
    <cellStyle name="Normal 300 5" xfId="25189" xr:uid="{00000000-0005-0000-0000-000068610000}"/>
    <cellStyle name="Normal 300 5 2" xfId="25190" xr:uid="{00000000-0005-0000-0000-000069610000}"/>
    <cellStyle name="Normal 300 5 2 2" xfId="25191" xr:uid="{00000000-0005-0000-0000-00006A610000}"/>
    <cellStyle name="Normal 300 5 3" xfId="25192" xr:uid="{00000000-0005-0000-0000-00006B610000}"/>
    <cellStyle name="Normal 300 6" xfId="25193" xr:uid="{00000000-0005-0000-0000-00006C610000}"/>
    <cellStyle name="Normal 300 6 2" xfId="25194" xr:uid="{00000000-0005-0000-0000-00006D610000}"/>
    <cellStyle name="Normal 300 6 2 2" xfId="25195" xr:uid="{00000000-0005-0000-0000-00006E610000}"/>
    <cellStyle name="Normal 300 6 3" xfId="25196" xr:uid="{00000000-0005-0000-0000-00006F610000}"/>
    <cellStyle name="Normal 300 7" xfId="25197" xr:uid="{00000000-0005-0000-0000-000070610000}"/>
    <cellStyle name="Normal 301" xfId="25198" xr:uid="{00000000-0005-0000-0000-000071610000}"/>
    <cellStyle name="Normal 301 2" xfId="25199" xr:uid="{00000000-0005-0000-0000-000072610000}"/>
    <cellStyle name="Normal 301 2 2" xfId="25200" xr:uid="{00000000-0005-0000-0000-000073610000}"/>
    <cellStyle name="Normal 301 2 2 2" xfId="25201" xr:uid="{00000000-0005-0000-0000-000074610000}"/>
    <cellStyle name="Normal 301 2 3" xfId="25202" xr:uid="{00000000-0005-0000-0000-000075610000}"/>
    <cellStyle name="Normal 301 2 3 2" xfId="25203" xr:uid="{00000000-0005-0000-0000-000076610000}"/>
    <cellStyle name="Normal 301 2 3 2 2" xfId="25204" xr:uid="{00000000-0005-0000-0000-000077610000}"/>
    <cellStyle name="Normal 301 2 3 3" xfId="25205" xr:uid="{00000000-0005-0000-0000-000078610000}"/>
    <cellStyle name="Normal 301 2 4" xfId="25206" xr:uid="{00000000-0005-0000-0000-000079610000}"/>
    <cellStyle name="Normal 301 2 4 2" xfId="25207" xr:uid="{00000000-0005-0000-0000-00007A610000}"/>
    <cellStyle name="Normal 301 2 4 2 2" xfId="25208" xr:uid="{00000000-0005-0000-0000-00007B610000}"/>
    <cellStyle name="Normal 301 2 4 3" xfId="25209" xr:uid="{00000000-0005-0000-0000-00007C610000}"/>
    <cellStyle name="Normal 301 2 5" xfId="25210" xr:uid="{00000000-0005-0000-0000-00007D610000}"/>
    <cellStyle name="Normal 301 3" xfId="25211" xr:uid="{00000000-0005-0000-0000-00007E610000}"/>
    <cellStyle name="Normal 301 3 2" xfId="25212" xr:uid="{00000000-0005-0000-0000-00007F610000}"/>
    <cellStyle name="Normal 301 3 2 2" xfId="25213" xr:uid="{00000000-0005-0000-0000-000080610000}"/>
    <cellStyle name="Normal 301 3 2 2 2" xfId="25214" xr:uid="{00000000-0005-0000-0000-000081610000}"/>
    <cellStyle name="Normal 301 3 2 3" xfId="25215" xr:uid="{00000000-0005-0000-0000-000082610000}"/>
    <cellStyle name="Normal 301 3 2 3 2" xfId="25216" xr:uid="{00000000-0005-0000-0000-000083610000}"/>
    <cellStyle name="Normal 301 3 2 3 2 2" xfId="25217" xr:uid="{00000000-0005-0000-0000-000084610000}"/>
    <cellStyle name="Normal 301 3 2 3 3" xfId="25218" xr:uid="{00000000-0005-0000-0000-000085610000}"/>
    <cellStyle name="Normal 301 3 2 4" xfId="25219" xr:uid="{00000000-0005-0000-0000-000086610000}"/>
    <cellStyle name="Normal 301 3 3" xfId="25220" xr:uid="{00000000-0005-0000-0000-000087610000}"/>
    <cellStyle name="Normal 301 3 3 2" xfId="25221" xr:uid="{00000000-0005-0000-0000-000088610000}"/>
    <cellStyle name="Normal 301 3 3 2 2" xfId="25222" xr:uid="{00000000-0005-0000-0000-000089610000}"/>
    <cellStyle name="Normal 301 3 3 3" xfId="25223" xr:uid="{00000000-0005-0000-0000-00008A610000}"/>
    <cellStyle name="Normal 301 3 4" xfId="25224" xr:uid="{00000000-0005-0000-0000-00008B610000}"/>
    <cellStyle name="Normal 301 3 4 2" xfId="25225" xr:uid="{00000000-0005-0000-0000-00008C610000}"/>
    <cellStyle name="Normal 301 3 4 2 2" xfId="25226" xr:uid="{00000000-0005-0000-0000-00008D610000}"/>
    <cellStyle name="Normal 301 3 4 3" xfId="25227" xr:uid="{00000000-0005-0000-0000-00008E610000}"/>
    <cellStyle name="Normal 301 3 5" xfId="25228" xr:uid="{00000000-0005-0000-0000-00008F610000}"/>
    <cellStyle name="Normal 301 3 5 2" xfId="25229" xr:uid="{00000000-0005-0000-0000-000090610000}"/>
    <cellStyle name="Normal 301 3 5 2 2" xfId="25230" xr:uid="{00000000-0005-0000-0000-000091610000}"/>
    <cellStyle name="Normal 301 3 5 3" xfId="25231" xr:uid="{00000000-0005-0000-0000-000092610000}"/>
    <cellStyle name="Normal 301 3 6" xfId="25232" xr:uid="{00000000-0005-0000-0000-000093610000}"/>
    <cellStyle name="Normal 301 4" xfId="25233" xr:uid="{00000000-0005-0000-0000-000094610000}"/>
    <cellStyle name="Normal 301 4 2" xfId="25234" xr:uid="{00000000-0005-0000-0000-000095610000}"/>
    <cellStyle name="Normal 301 4 2 2" xfId="25235" xr:uid="{00000000-0005-0000-0000-000096610000}"/>
    <cellStyle name="Normal 301 4 3" xfId="25236" xr:uid="{00000000-0005-0000-0000-000097610000}"/>
    <cellStyle name="Normal 301 5" xfId="25237" xr:uid="{00000000-0005-0000-0000-000098610000}"/>
    <cellStyle name="Normal 301 5 2" xfId="25238" xr:uid="{00000000-0005-0000-0000-000099610000}"/>
    <cellStyle name="Normal 301 5 2 2" xfId="25239" xr:uid="{00000000-0005-0000-0000-00009A610000}"/>
    <cellStyle name="Normal 301 5 3" xfId="25240" xr:uid="{00000000-0005-0000-0000-00009B610000}"/>
    <cellStyle name="Normal 301 6" xfId="25241" xr:uid="{00000000-0005-0000-0000-00009C610000}"/>
    <cellStyle name="Normal 301 6 2" xfId="25242" xr:uid="{00000000-0005-0000-0000-00009D610000}"/>
    <cellStyle name="Normal 301 6 2 2" xfId="25243" xr:uid="{00000000-0005-0000-0000-00009E610000}"/>
    <cellStyle name="Normal 301 6 3" xfId="25244" xr:uid="{00000000-0005-0000-0000-00009F610000}"/>
    <cellStyle name="Normal 301 7" xfId="25245" xr:uid="{00000000-0005-0000-0000-0000A0610000}"/>
    <cellStyle name="Normal 302" xfId="25246" xr:uid="{00000000-0005-0000-0000-0000A1610000}"/>
    <cellStyle name="Normal 302 2" xfId="25247" xr:uid="{00000000-0005-0000-0000-0000A2610000}"/>
    <cellStyle name="Normal 302 2 2" xfId="25248" xr:uid="{00000000-0005-0000-0000-0000A3610000}"/>
    <cellStyle name="Normal 302 2 2 2" xfId="25249" xr:uid="{00000000-0005-0000-0000-0000A4610000}"/>
    <cellStyle name="Normal 302 2 3" xfId="25250" xr:uid="{00000000-0005-0000-0000-0000A5610000}"/>
    <cellStyle name="Normal 302 2 3 2" xfId="25251" xr:uid="{00000000-0005-0000-0000-0000A6610000}"/>
    <cellStyle name="Normal 302 2 3 2 2" xfId="25252" xr:uid="{00000000-0005-0000-0000-0000A7610000}"/>
    <cellStyle name="Normal 302 2 3 3" xfId="25253" xr:uid="{00000000-0005-0000-0000-0000A8610000}"/>
    <cellStyle name="Normal 302 2 4" xfId="25254" xr:uid="{00000000-0005-0000-0000-0000A9610000}"/>
    <cellStyle name="Normal 302 2 4 2" xfId="25255" xr:uid="{00000000-0005-0000-0000-0000AA610000}"/>
    <cellStyle name="Normal 302 2 4 2 2" xfId="25256" xr:uid="{00000000-0005-0000-0000-0000AB610000}"/>
    <cellStyle name="Normal 302 2 4 3" xfId="25257" xr:uid="{00000000-0005-0000-0000-0000AC610000}"/>
    <cellStyle name="Normal 302 2 5" xfId="25258" xr:uid="{00000000-0005-0000-0000-0000AD610000}"/>
    <cellStyle name="Normal 302 3" xfId="25259" xr:uid="{00000000-0005-0000-0000-0000AE610000}"/>
    <cellStyle name="Normal 302 3 2" xfId="25260" xr:uid="{00000000-0005-0000-0000-0000AF610000}"/>
    <cellStyle name="Normal 302 3 2 2" xfId="25261" xr:uid="{00000000-0005-0000-0000-0000B0610000}"/>
    <cellStyle name="Normal 302 3 2 2 2" xfId="25262" xr:uid="{00000000-0005-0000-0000-0000B1610000}"/>
    <cellStyle name="Normal 302 3 2 3" xfId="25263" xr:uid="{00000000-0005-0000-0000-0000B2610000}"/>
    <cellStyle name="Normal 302 3 2 3 2" xfId="25264" xr:uid="{00000000-0005-0000-0000-0000B3610000}"/>
    <cellStyle name="Normal 302 3 2 3 2 2" xfId="25265" xr:uid="{00000000-0005-0000-0000-0000B4610000}"/>
    <cellStyle name="Normal 302 3 2 3 3" xfId="25266" xr:uid="{00000000-0005-0000-0000-0000B5610000}"/>
    <cellStyle name="Normal 302 3 2 4" xfId="25267" xr:uid="{00000000-0005-0000-0000-0000B6610000}"/>
    <cellStyle name="Normal 302 3 3" xfId="25268" xr:uid="{00000000-0005-0000-0000-0000B7610000}"/>
    <cellStyle name="Normal 302 3 3 2" xfId="25269" xr:uid="{00000000-0005-0000-0000-0000B8610000}"/>
    <cellStyle name="Normal 302 3 3 2 2" xfId="25270" xr:uid="{00000000-0005-0000-0000-0000B9610000}"/>
    <cellStyle name="Normal 302 3 3 3" xfId="25271" xr:uid="{00000000-0005-0000-0000-0000BA610000}"/>
    <cellStyle name="Normal 302 3 4" xfId="25272" xr:uid="{00000000-0005-0000-0000-0000BB610000}"/>
    <cellStyle name="Normal 302 3 4 2" xfId="25273" xr:uid="{00000000-0005-0000-0000-0000BC610000}"/>
    <cellStyle name="Normal 302 3 4 2 2" xfId="25274" xr:uid="{00000000-0005-0000-0000-0000BD610000}"/>
    <cellStyle name="Normal 302 3 4 3" xfId="25275" xr:uid="{00000000-0005-0000-0000-0000BE610000}"/>
    <cellStyle name="Normal 302 3 5" xfId="25276" xr:uid="{00000000-0005-0000-0000-0000BF610000}"/>
    <cellStyle name="Normal 302 3 5 2" xfId="25277" xr:uid="{00000000-0005-0000-0000-0000C0610000}"/>
    <cellStyle name="Normal 302 3 5 2 2" xfId="25278" xr:uid="{00000000-0005-0000-0000-0000C1610000}"/>
    <cellStyle name="Normal 302 3 5 3" xfId="25279" xr:uid="{00000000-0005-0000-0000-0000C2610000}"/>
    <cellStyle name="Normal 302 3 6" xfId="25280" xr:uid="{00000000-0005-0000-0000-0000C3610000}"/>
    <cellStyle name="Normal 302 4" xfId="25281" xr:uid="{00000000-0005-0000-0000-0000C4610000}"/>
    <cellStyle name="Normal 302 4 2" xfId="25282" xr:uid="{00000000-0005-0000-0000-0000C5610000}"/>
    <cellStyle name="Normal 302 4 2 2" xfId="25283" xr:uid="{00000000-0005-0000-0000-0000C6610000}"/>
    <cellStyle name="Normal 302 4 3" xfId="25284" xr:uid="{00000000-0005-0000-0000-0000C7610000}"/>
    <cellStyle name="Normal 302 5" xfId="25285" xr:uid="{00000000-0005-0000-0000-0000C8610000}"/>
    <cellStyle name="Normal 302 5 2" xfId="25286" xr:uid="{00000000-0005-0000-0000-0000C9610000}"/>
    <cellStyle name="Normal 302 5 2 2" xfId="25287" xr:uid="{00000000-0005-0000-0000-0000CA610000}"/>
    <cellStyle name="Normal 302 5 3" xfId="25288" xr:uid="{00000000-0005-0000-0000-0000CB610000}"/>
    <cellStyle name="Normal 302 6" xfId="25289" xr:uid="{00000000-0005-0000-0000-0000CC610000}"/>
    <cellStyle name="Normal 302 6 2" xfId="25290" xr:uid="{00000000-0005-0000-0000-0000CD610000}"/>
    <cellStyle name="Normal 302 6 2 2" xfId="25291" xr:uid="{00000000-0005-0000-0000-0000CE610000}"/>
    <cellStyle name="Normal 302 6 3" xfId="25292" xr:uid="{00000000-0005-0000-0000-0000CF610000}"/>
    <cellStyle name="Normal 302 7" xfId="25293" xr:uid="{00000000-0005-0000-0000-0000D0610000}"/>
    <cellStyle name="Normal 303" xfId="25294" xr:uid="{00000000-0005-0000-0000-0000D1610000}"/>
    <cellStyle name="Normal 303 2" xfId="25295" xr:uid="{00000000-0005-0000-0000-0000D2610000}"/>
    <cellStyle name="Normal 303 2 2" xfId="25296" xr:uid="{00000000-0005-0000-0000-0000D3610000}"/>
    <cellStyle name="Normal 303 2 2 2" xfId="25297" xr:uid="{00000000-0005-0000-0000-0000D4610000}"/>
    <cellStyle name="Normal 303 2 3" xfId="25298" xr:uid="{00000000-0005-0000-0000-0000D5610000}"/>
    <cellStyle name="Normal 303 2 3 2" xfId="25299" xr:uid="{00000000-0005-0000-0000-0000D6610000}"/>
    <cellStyle name="Normal 303 2 3 2 2" xfId="25300" xr:uid="{00000000-0005-0000-0000-0000D7610000}"/>
    <cellStyle name="Normal 303 2 3 3" xfId="25301" xr:uid="{00000000-0005-0000-0000-0000D8610000}"/>
    <cellStyle name="Normal 303 2 4" xfId="25302" xr:uid="{00000000-0005-0000-0000-0000D9610000}"/>
    <cellStyle name="Normal 303 2 4 2" xfId="25303" xr:uid="{00000000-0005-0000-0000-0000DA610000}"/>
    <cellStyle name="Normal 303 2 4 2 2" xfId="25304" xr:uid="{00000000-0005-0000-0000-0000DB610000}"/>
    <cellStyle name="Normal 303 2 4 3" xfId="25305" xr:uid="{00000000-0005-0000-0000-0000DC610000}"/>
    <cellStyle name="Normal 303 2 5" xfId="25306" xr:uid="{00000000-0005-0000-0000-0000DD610000}"/>
    <cellStyle name="Normal 303 3" xfId="25307" xr:uid="{00000000-0005-0000-0000-0000DE610000}"/>
    <cellStyle name="Normal 303 3 2" xfId="25308" xr:uid="{00000000-0005-0000-0000-0000DF610000}"/>
    <cellStyle name="Normal 303 3 2 2" xfId="25309" xr:uid="{00000000-0005-0000-0000-0000E0610000}"/>
    <cellStyle name="Normal 303 3 2 2 2" xfId="25310" xr:uid="{00000000-0005-0000-0000-0000E1610000}"/>
    <cellStyle name="Normal 303 3 2 3" xfId="25311" xr:uid="{00000000-0005-0000-0000-0000E2610000}"/>
    <cellStyle name="Normal 303 3 2 3 2" xfId="25312" xr:uid="{00000000-0005-0000-0000-0000E3610000}"/>
    <cellStyle name="Normal 303 3 2 3 2 2" xfId="25313" xr:uid="{00000000-0005-0000-0000-0000E4610000}"/>
    <cellStyle name="Normal 303 3 2 3 3" xfId="25314" xr:uid="{00000000-0005-0000-0000-0000E5610000}"/>
    <cellStyle name="Normal 303 3 2 4" xfId="25315" xr:uid="{00000000-0005-0000-0000-0000E6610000}"/>
    <cellStyle name="Normal 303 3 3" xfId="25316" xr:uid="{00000000-0005-0000-0000-0000E7610000}"/>
    <cellStyle name="Normal 303 3 3 2" xfId="25317" xr:uid="{00000000-0005-0000-0000-0000E8610000}"/>
    <cellStyle name="Normal 303 3 3 2 2" xfId="25318" xr:uid="{00000000-0005-0000-0000-0000E9610000}"/>
    <cellStyle name="Normal 303 3 3 3" xfId="25319" xr:uid="{00000000-0005-0000-0000-0000EA610000}"/>
    <cellStyle name="Normal 303 3 4" xfId="25320" xr:uid="{00000000-0005-0000-0000-0000EB610000}"/>
    <cellStyle name="Normal 303 3 4 2" xfId="25321" xr:uid="{00000000-0005-0000-0000-0000EC610000}"/>
    <cellStyle name="Normal 303 3 4 2 2" xfId="25322" xr:uid="{00000000-0005-0000-0000-0000ED610000}"/>
    <cellStyle name="Normal 303 3 4 3" xfId="25323" xr:uid="{00000000-0005-0000-0000-0000EE610000}"/>
    <cellStyle name="Normal 303 3 5" xfId="25324" xr:uid="{00000000-0005-0000-0000-0000EF610000}"/>
    <cellStyle name="Normal 303 3 5 2" xfId="25325" xr:uid="{00000000-0005-0000-0000-0000F0610000}"/>
    <cellStyle name="Normal 303 3 5 2 2" xfId="25326" xr:uid="{00000000-0005-0000-0000-0000F1610000}"/>
    <cellStyle name="Normal 303 3 5 3" xfId="25327" xr:uid="{00000000-0005-0000-0000-0000F2610000}"/>
    <cellStyle name="Normal 303 3 6" xfId="25328" xr:uid="{00000000-0005-0000-0000-0000F3610000}"/>
    <cellStyle name="Normal 303 4" xfId="25329" xr:uid="{00000000-0005-0000-0000-0000F4610000}"/>
    <cellStyle name="Normal 303 4 2" xfId="25330" xr:uid="{00000000-0005-0000-0000-0000F5610000}"/>
    <cellStyle name="Normal 303 4 2 2" xfId="25331" xr:uid="{00000000-0005-0000-0000-0000F6610000}"/>
    <cellStyle name="Normal 303 4 3" xfId="25332" xr:uid="{00000000-0005-0000-0000-0000F7610000}"/>
    <cellStyle name="Normal 303 5" xfId="25333" xr:uid="{00000000-0005-0000-0000-0000F8610000}"/>
    <cellStyle name="Normal 303 5 2" xfId="25334" xr:uid="{00000000-0005-0000-0000-0000F9610000}"/>
    <cellStyle name="Normal 303 5 2 2" xfId="25335" xr:uid="{00000000-0005-0000-0000-0000FA610000}"/>
    <cellStyle name="Normal 303 5 3" xfId="25336" xr:uid="{00000000-0005-0000-0000-0000FB610000}"/>
    <cellStyle name="Normal 303 6" xfId="25337" xr:uid="{00000000-0005-0000-0000-0000FC610000}"/>
    <cellStyle name="Normal 303 6 2" xfId="25338" xr:uid="{00000000-0005-0000-0000-0000FD610000}"/>
    <cellStyle name="Normal 303 6 2 2" xfId="25339" xr:uid="{00000000-0005-0000-0000-0000FE610000}"/>
    <cellStyle name="Normal 303 6 3" xfId="25340" xr:uid="{00000000-0005-0000-0000-0000FF610000}"/>
    <cellStyle name="Normal 303 7" xfId="25341" xr:uid="{00000000-0005-0000-0000-000000620000}"/>
    <cellStyle name="Normal 304" xfId="25342" xr:uid="{00000000-0005-0000-0000-000001620000}"/>
    <cellStyle name="Normal 304 2" xfId="25343" xr:uid="{00000000-0005-0000-0000-000002620000}"/>
    <cellStyle name="Normal 304 2 2" xfId="25344" xr:uid="{00000000-0005-0000-0000-000003620000}"/>
    <cellStyle name="Normal 304 2 2 2" xfId="25345" xr:uid="{00000000-0005-0000-0000-000004620000}"/>
    <cellStyle name="Normal 304 2 3" xfId="25346" xr:uid="{00000000-0005-0000-0000-000005620000}"/>
    <cellStyle name="Normal 304 2 3 2" xfId="25347" xr:uid="{00000000-0005-0000-0000-000006620000}"/>
    <cellStyle name="Normal 304 2 3 2 2" xfId="25348" xr:uid="{00000000-0005-0000-0000-000007620000}"/>
    <cellStyle name="Normal 304 2 3 3" xfId="25349" xr:uid="{00000000-0005-0000-0000-000008620000}"/>
    <cellStyle name="Normal 304 2 4" xfId="25350" xr:uid="{00000000-0005-0000-0000-000009620000}"/>
    <cellStyle name="Normal 304 2 4 2" xfId="25351" xr:uid="{00000000-0005-0000-0000-00000A620000}"/>
    <cellStyle name="Normal 304 2 4 2 2" xfId="25352" xr:uid="{00000000-0005-0000-0000-00000B620000}"/>
    <cellStyle name="Normal 304 2 4 3" xfId="25353" xr:uid="{00000000-0005-0000-0000-00000C620000}"/>
    <cellStyle name="Normal 304 2 5" xfId="25354" xr:uid="{00000000-0005-0000-0000-00000D620000}"/>
    <cellStyle name="Normal 304 3" xfId="25355" xr:uid="{00000000-0005-0000-0000-00000E620000}"/>
    <cellStyle name="Normal 304 3 2" xfId="25356" xr:uid="{00000000-0005-0000-0000-00000F620000}"/>
    <cellStyle name="Normal 304 3 2 2" xfId="25357" xr:uid="{00000000-0005-0000-0000-000010620000}"/>
    <cellStyle name="Normal 304 3 2 2 2" xfId="25358" xr:uid="{00000000-0005-0000-0000-000011620000}"/>
    <cellStyle name="Normal 304 3 2 3" xfId="25359" xr:uid="{00000000-0005-0000-0000-000012620000}"/>
    <cellStyle name="Normal 304 3 2 3 2" xfId="25360" xr:uid="{00000000-0005-0000-0000-000013620000}"/>
    <cellStyle name="Normal 304 3 2 3 2 2" xfId="25361" xr:uid="{00000000-0005-0000-0000-000014620000}"/>
    <cellStyle name="Normal 304 3 2 3 3" xfId="25362" xr:uid="{00000000-0005-0000-0000-000015620000}"/>
    <cellStyle name="Normal 304 3 2 4" xfId="25363" xr:uid="{00000000-0005-0000-0000-000016620000}"/>
    <cellStyle name="Normal 304 3 3" xfId="25364" xr:uid="{00000000-0005-0000-0000-000017620000}"/>
    <cellStyle name="Normal 304 3 3 2" xfId="25365" xr:uid="{00000000-0005-0000-0000-000018620000}"/>
    <cellStyle name="Normal 304 3 3 2 2" xfId="25366" xr:uid="{00000000-0005-0000-0000-000019620000}"/>
    <cellStyle name="Normal 304 3 3 3" xfId="25367" xr:uid="{00000000-0005-0000-0000-00001A620000}"/>
    <cellStyle name="Normal 304 3 4" xfId="25368" xr:uid="{00000000-0005-0000-0000-00001B620000}"/>
    <cellStyle name="Normal 304 3 4 2" xfId="25369" xr:uid="{00000000-0005-0000-0000-00001C620000}"/>
    <cellStyle name="Normal 304 3 4 2 2" xfId="25370" xr:uid="{00000000-0005-0000-0000-00001D620000}"/>
    <cellStyle name="Normal 304 3 4 3" xfId="25371" xr:uid="{00000000-0005-0000-0000-00001E620000}"/>
    <cellStyle name="Normal 304 3 5" xfId="25372" xr:uid="{00000000-0005-0000-0000-00001F620000}"/>
    <cellStyle name="Normal 304 3 5 2" xfId="25373" xr:uid="{00000000-0005-0000-0000-000020620000}"/>
    <cellStyle name="Normal 304 3 5 2 2" xfId="25374" xr:uid="{00000000-0005-0000-0000-000021620000}"/>
    <cellStyle name="Normal 304 3 5 3" xfId="25375" xr:uid="{00000000-0005-0000-0000-000022620000}"/>
    <cellStyle name="Normal 304 3 6" xfId="25376" xr:uid="{00000000-0005-0000-0000-000023620000}"/>
    <cellStyle name="Normal 304 4" xfId="25377" xr:uid="{00000000-0005-0000-0000-000024620000}"/>
    <cellStyle name="Normal 304 4 2" xfId="25378" xr:uid="{00000000-0005-0000-0000-000025620000}"/>
    <cellStyle name="Normal 304 4 2 2" xfId="25379" xr:uid="{00000000-0005-0000-0000-000026620000}"/>
    <cellStyle name="Normal 304 4 3" xfId="25380" xr:uid="{00000000-0005-0000-0000-000027620000}"/>
    <cellStyle name="Normal 304 5" xfId="25381" xr:uid="{00000000-0005-0000-0000-000028620000}"/>
    <cellStyle name="Normal 304 5 2" xfId="25382" xr:uid="{00000000-0005-0000-0000-000029620000}"/>
    <cellStyle name="Normal 304 5 2 2" xfId="25383" xr:uid="{00000000-0005-0000-0000-00002A620000}"/>
    <cellStyle name="Normal 304 5 3" xfId="25384" xr:uid="{00000000-0005-0000-0000-00002B620000}"/>
    <cellStyle name="Normal 304 6" xfId="25385" xr:uid="{00000000-0005-0000-0000-00002C620000}"/>
    <cellStyle name="Normal 304 6 2" xfId="25386" xr:uid="{00000000-0005-0000-0000-00002D620000}"/>
    <cellStyle name="Normal 304 6 2 2" xfId="25387" xr:uid="{00000000-0005-0000-0000-00002E620000}"/>
    <cellStyle name="Normal 304 6 3" xfId="25388" xr:uid="{00000000-0005-0000-0000-00002F620000}"/>
    <cellStyle name="Normal 304 7" xfId="25389" xr:uid="{00000000-0005-0000-0000-000030620000}"/>
    <cellStyle name="Normal 305" xfId="25390" xr:uid="{00000000-0005-0000-0000-000031620000}"/>
    <cellStyle name="Normal 305 2" xfId="25391" xr:uid="{00000000-0005-0000-0000-000032620000}"/>
    <cellStyle name="Normal 305 2 2" xfId="25392" xr:uid="{00000000-0005-0000-0000-000033620000}"/>
    <cellStyle name="Normal 305 2 2 2" xfId="25393" xr:uid="{00000000-0005-0000-0000-000034620000}"/>
    <cellStyle name="Normal 305 2 3" xfId="25394" xr:uid="{00000000-0005-0000-0000-000035620000}"/>
    <cellStyle name="Normal 305 2 3 2" xfId="25395" xr:uid="{00000000-0005-0000-0000-000036620000}"/>
    <cellStyle name="Normal 305 2 3 2 2" xfId="25396" xr:uid="{00000000-0005-0000-0000-000037620000}"/>
    <cellStyle name="Normal 305 2 3 3" xfId="25397" xr:uid="{00000000-0005-0000-0000-000038620000}"/>
    <cellStyle name="Normal 305 2 4" xfId="25398" xr:uid="{00000000-0005-0000-0000-000039620000}"/>
    <cellStyle name="Normal 305 2 4 2" xfId="25399" xr:uid="{00000000-0005-0000-0000-00003A620000}"/>
    <cellStyle name="Normal 305 2 4 2 2" xfId="25400" xr:uid="{00000000-0005-0000-0000-00003B620000}"/>
    <cellStyle name="Normal 305 2 4 3" xfId="25401" xr:uid="{00000000-0005-0000-0000-00003C620000}"/>
    <cellStyle name="Normal 305 2 5" xfId="25402" xr:uid="{00000000-0005-0000-0000-00003D620000}"/>
    <cellStyle name="Normal 305 3" xfId="25403" xr:uid="{00000000-0005-0000-0000-00003E620000}"/>
    <cellStyle name="Normal 305 3 2" xfId="25404" xr:uid="{00000000-0005-0000-0000-00003F620000}"/>
    <cellStyle name="Normal 305 3 2 2" xfId="25405" xr:uid="{00000000-0005-0000-0000-000040620000}"/>
    <cellStyle name="Normal 305 3 2 2 2" xfId="25406" xr:uid="{00000000-0005-0000-0000-000041620000}"/>
    <cellStyle name="Normal 305 3 2 3" xfId="25407" xr:uid="{00000000-0005-0000-0000-000042620000}"/>
    <cellStyle name="Normal 305 3 2 3 2" xfId="25408" xr:uid="{00000000-0005-0000-0000-000043620000}"/>
    <cellStyle name="Normal 305 3 2 3 2 2" xfId="25409" xr:uid="{00000000-0005-0000-0000-000044620000}"/>
    <cellStyle name="Normal 305 3 2 3 3" xfId="25410" xr:uid="{00000000-0005-0000-0000-000045620000}"/>
    <cellStyle name="Normal 305 3 2 4" xfId="25411" xr:uid="{00000000-0005-0000-0000-000046620000}"/>
    <cellStyle name="Normal 305 3 3" xfId="25412" xr:uid="{00000000-0005-0000-0000-000047620000}"/>
    <cellStyle name="Normal 305 3 3 2" xfId="25413" xr:uid="{00000000-0005-0000-0000-000048620000}"/>
    <cellStyle name="Normal 305 3 3 2 2" xfId="25414" xr:uid="{00000000-0005-0000-0000-000049620000}"/>
    <cellStyle name="Normal 305 3 3 3" xfId="25415" xr:uid="{00000000-0005-0000-0000-00004A620000}"/>
    <cellStyle name="Normal 305 3 4" xfId="25416" xr:uid="{00000000-0005-0000-0000-00004B620000}"/>
    <cellStyle name="Normal 305 3 4 2" xfId="25417" xr:uid="{00000000-0005-0000-0000-00004C620000}"/>
    <cellStyle name="Normal 305 3 4 2 2" xfId="25418" xr:uid="{00000000-0005-0000-0000-00004D620000}"/>
    <cellStyle name="Normal 305 3 4 3" xfId="25419" xr:uid="{00000000-0005-0000-0000-00004E620000}"/>
    <cellStyle name="Normal 305 3 5" xfId="25420" xr:uid="{00000000-0005-0000-0000-00004F620000}"/>
    <cellStyle name="Normal 305 3 5 2" xfId="25421" xr:uid="{00000000-0005-0000-0000-000050620000}"/>
    <cellStyle name="Normal 305 3 5 2 2" xfId="25422" xr:uid="{00000000-0005-0000-0000-000051620000}"/>
    <cellStyle name="Normal 305 3 5 3" xfId="25423" xr:uid="{00000000-0005-0000-0000-000052620000}"/>
    <cellStyle name="Normal 305 3 6" xfId="25424" xr:uid="{00000000-0005-0000-0000-000053620000}"/>
    <cellStyle name="Normal 305 4" xfId="25425" xr:uid="{00000000-0005-0000-0000-000054620000}"/>
    <cellStyle name="Normal 305 4 2" xfId="25426" xr:uid="{00000000-0005-0000-0000-000055620000}"/>
    <cellStyle name="Normal 305 4 2 2" xfId="25427" xr:uid="{00000000-0005-0000-0000-000056620000}"/>
    <cellStyle name="Normal 305 4 3" xfId="25428" xr:uid="{00000000-0005-0000-0000-000057620000}"/>
    <cellStyle name="Normal 305 5" xfId="25429" xr:uid="{00000000-0005-0000-0000-000058620000}"/>
    <cellStyle name="Normal 305 5 2" xfId="25430" xr:uid="{00000000-0005-0000-0000-000059620000}"/>
    <cellStyle name="Normal 305 5 2 2" xfId="25431" xr:uid="{00000000-0005-0000-0000-00005A620000}"/>
    <cellStyle name="Normal 305 5 3" xfId="25432" xr:uid="{00000000-0005-0000-0000-00005B620000}"/>
    <cellStyle name="Normal 305 6" xfId="25433" xr:uid="{00000000-0005-0000-0000-00005C620000}"/>
    <cellStyle name="Normal 305 6 2" xfId="25434" xr:uid="{00000000-0005-0000-0000-00005D620000}"/>
    <cellStyle name="Normal 305 6 2 2" xfId="25435" xr:uid="{00000000-0005-0000-0000-00005E620000}"/>
    <cellStyle name="Normal 305 6 3" xfId="25436" xr:uid="{00000000-0005-0000-0000-00005F620000}"/>
    <cellStyle name="Normal 305 7" xfId="25437" xr:uid="{00000000-0005-0000-0000-000060620000}"/>
    <cellStyle name="Normal 306" xfId="25438" xr:uid="{00000000-0005-0000-0000-000061620000}"/>
    <cellStyle name="Normal 306 2" xfId="25439" xr:uid="{00000000-0005-0000-0000-000062620000}"/>
    <cellStyle name="Normal 306 2 2" xfId="25440" xr:uid="{00000000-0005-0000-0000-000063620000}"/>
    <cellStyle name="Normal 306 2 2 2" xfId="25441" xr:uid="{00000000-0005-0000-0000-000064620000}"/>
    <cellStyle name="Normal 306 2 3" xfId="25442" xr:uid="{00000000-0005-0000-0000-000065620000}"/>
    <cellStyle name="Normal 306 2 3 2" xfId="25443" xr:uid="{00000000-0005-0000-0000-000066620000}"/>
    <cellStyle name="Normal 306 2 3 2 2" xfId="25444" xr:uid="{00000000-0005-0000-0000-000067620000}"/>
    <cellStyle name="Normal 306 2 3 3" xfId="25445" xr:uid="{00000000-0005-0000-0000-000068620000}"/>
    <cellStyle name="Normal 306 2 4" xfId="25446" xr:uid="{00000000-0005-0000-0000-000069620000}"/>
    <cellStyle name="Normal 306 2 4 2" xfId="25447" xr:uid="{00000000-0005-0000-0000-00006A620000}"/>
    <cellStyle name="Normal 306 2 4 2 2" xfId="25448" xr:uid="{00000000-0005-0000-0000-00006B620000}"/>
    <cellStyle name="Normal 306 2 4 3" xfId="25449" xr:uid="{00000000-0005-0000-0000-00006C620000}"/>
    <cellStyle name="Normal 306 2 5" xfId="25450" xr:uid="{00000000-0005-0000-0000-00006D620000}"/>
    <cellStyle name="Normal 306 3" xfId="25451" xr:uid="{00000000-0005-0000-0000-00006E620000}"/>
    <cellStyle name="Normal 306 3 2" xfId="25452" xr:uid="{00000000-0005-0000-0000-00006F620000}"/>
    <cellStyle name="Normal 306 3 2 2" xfId="25453" xr:uid="{00000000-0005-0000-0000-000070620000}"/>
    <cellStyle name="Normal 306 3 2 2 2" xfId="25454" xr:uid="{00000000-0005-0000-0000-000071620000}"/>
    <cellStyle name="Normal 306 3 2 3" xfId="25455" xr:uid="{00000000-0005-0000-0000-000072620000}"/>
    <cellStyle name="Normal 306 3 2 3 2" xfId="25456" xr:uid="{00000000-0005-0000-0000-000073620000}"/>
    <cellStyle name="Normal 306 3 2 3 2 2" xfId="25457" xr:uid="{00000000-0005-0000-0000-000074620000}"/>
    <cellStyle name="Normal 306 3 2 3 3" xfId="25458" xr:uid="{00000000-0005-0000-0000-000075620000}"/>
    <cellStyle name="Normal 306 3 2 4" xfId="25459" xr:uid="{00000000-0005-0000-0000-000076620000}"/>
    <cellStyle name="Normal 306 3 3" xfId="25460" xr:uid="{00000000-0005-0000-0000-000077620000}"/>
    <cellStyle name="Normal 306 3 3 2" xfId="25461" xr:uid="{00000000-0005-0000-0000-000078620000}"/>
    <cellStyle name="Normal 306 3 3 2 2" xfId="25462" xr:uid="{00000000-0005-0000-0000-000079620000}"/>
    <cellStyle name="Normal 306 3 3 3" xfId="25463" xr:uid="{00000000-0005-0000-0000-00007A620000}"/>
    <cellStyle name="Normal 306 3 4" xfId="25464" xr:uid="{00000000-0005-0000-0000-00007B620000}"/>
    <cellStyle name="Normal 306 3 4 2" xfId="25465" xr:uid="{00000000-0005-0000-0000-00007C620000}"/>
    <cellStyle name="Normal 306 3 4 2 2" xfId="25466" xr:uid="{00000000-0005-0000-0000-00007D620000}"/>
    <cellStyle name="Normal 306 3 4 3" xfId="25467" xr:uid="{00000000-0005-0000-0000-00007E620000}"/>
    <cellStyle name="Normal 306 3 5" xfId="25468" xr:uid="{00000000-0005-0000-0000-00007F620000}"/>
    <cellStyle name="Normal 306 3 5 2" xfId="25469" xr:uid="{00000000-0005-0000-0000-000080620000}"/>
    <cellStyle name="Normal 306 3 5 2 2" xfId="25470" xr:uid="{00000000-0005-0000-0000-000081620000}"/>
    <cellStyle name="Normal 306 3 5 3" xfId="25471" xr:uid="{00000000-0005-0000-0000-000082620000}"/>
    <cellStyle name="Normal 306 3 6" xfId="25472" xr:uid="{00000000-0005-0000-0000-000083620000}"/>
    <cellStyle name="Normal 306 4" xfId="25473" xr:uid="{00000000-0005-0000-0000-000084620000}"/>
    <cellStyle name="Normal 306 4 2" xfId="25474" xr:uid="{00000000-0005-0000-0000-000085620000}"/>
    <cellStyle name="Normal 306 4 2 2" xfId="25475" xr:uid="{00000000-0005-0000-0000-000086620000}"/>
    <cellStyle name="Normal 306 4 3" xfId="25476" xr:uid="{00000000-0005-0000-0000-000087620000}"/>
    <cellStyle name="Normal 306 5" xfId="25477" xr:uid="{00000000-0005-0000-0000-000088620000}"/>
    <cellStyle name="Normal 306 5 2" xfId="25478" xr:uid="{00000000-0005-0000-0000-000089620000}"/>
    <cellStyle name="Normal 306 5 2 2" xfId="25479" xr:uid="{00000000-0005-0000-0000-00008A620000}"/>
    <cellStyle name="Normal 306 5 3" xfId="25480" xr:uid="{00000000-0005-0000-0000-00008B620000}"/>
    <cellStyle name="Normal 306 6" xfId="25481" xr:uid="{00000000-0005-0000-0000-00008C620000}"/>
    <cellStyle name="Normal 306 6 2" xfId="25482" xr:uid="{00000000-0005-0000-0000-00008D620000}"/>
    <cellStyle name="Normal 306 6 2 2" xfId="25483" xr:uid="{00000000-0005-0000-0000-00008E620000}"/>
    <cellStyle name="Normal 306 6 3" xfId="25484" xr:uid="{00000000-0005-0000-0000-00008F620000}"/>
    <cellStyle name="Normal 306 7" xfId="25485" xr:uid="{00000000-0005-0000-0000-000090620000}"/>
    <cellStyle name="Normal 307" xfId="25486" xr:uid="{00000000-0005-0000-0000-000091620000}"/>
    <cellStyle name="Normal 307 2" xfId="25487" xr:uid="{00000000-0005-0000-0000-000092620000}"/>
    <cellStyle name="Normal 307 2 2" xfId="25488" xr:uid="{00000000-0005-0000-0000-000093620000}"/>
    <cellStyle name="Normal 307 2 2 2" xfId="25489" xr:uid="{00000000-0005-0000-0000-000094620000}"/>
    <cellStyle name="Normal 307 2 3" xfId="25490" xr:uid="{00000000-0005-0000-0000-000095620000}"/>
    <cellStyle name="Normal 307 2 3 2" xfId="25491" xr:uid="{00000000-0005-0000-0000-000096620000}"/>
    <cellStyle name="Normal 307 2 3 2 2" xfId="25492" xr:uid="{00000000-0005-0000-0000-000097620000}"/>
    <cellStyle name="Normal 307 2 3 3" xfId="25493" xr:uid="{00000000-0005-0000-0000-000098620000}"/>
    <cellStyle name="Normal 307 2 4" xfId="25494" xr:uid="{00000000-0005-0000-0000-000099620000}"/>
    <cellStyle name="Normal 307 2 4 2" xfId="25495" xr:uid="{00000000-0005-0000-0000-00009A620000}"/>
    <cellStyle name="Normal 307 2 4 2 2" xfId="25496" xr:uid="{00000000-0005-0000-0000-00009B620000}"/>
    <cellStyle name="Normal 307 2 4 3" xfId="25497" xr:uid="{00000000-0005-0000-0000-00009C620000}"/>
    <cellStyle name="Normal 307 2 5" xfId="25498" xr:uid="{00000000-0005-0000-0000-00009D620000}"/>
    <cellStyle name="Normal 307 3" xfId="25499" xr:uid="{00000000-0005-0000-0000-00009E620000}"/>
    <cellStyle name="Normal 307 3 2" xfId="25500" xr:uid="{00000000-0005-0000-0000-00009F620000}"/>
    <cellStyle name="Normal 307 3 2 2" xfId="25501" xr:uid="{00000000-0005-0000-0000-0000A0620000}"/>
    <cellStyle name="Normal 307 3 2 2 2" xfId="25502" xr:uid="{00000000-0005-0000-0000-0000A1620000}"/>
    <cellStyle name="Normal 307 3 2 3" xfId="25503" xr:uid="{00000000-0005-0000-0000-0000A2620000}"/>
    <cellStyle name="Normal 307 3 2 3 2" xfId="25504" xr:uid="{00000000-0005-0000-0000-0000A3620000}"/>
    <cellStyle name="Normal 307 3 2 3 2 2" xfId="25505" xr:uid="{00000000-0005-0000-0000-0000A4620000}"/>
    <cellStyle name="Normal 307 3 2 3 3" xfId="25506" xr:uid="{00000000-0005-0000-0000-0000A5620000}"/>
    <cellStyle name="Normal 307 3 2 4" xfId="25507" xr:uid="{00000000-0005-0000-0000-0000A6620000}"/>
    <cellStyle name="Normal 307 3 3" xfId="25508" xr:uid="{00000000-0005-0000-0000-0000A7620000}"/>
    <cellStyle name="Normal 307 3 3 2" xfId="25509" xr:uid="{00000000-0005-0000-0000-0000A8620000}"/>
    <cellStyle name="Normal 307 3 3 2 2" xfId="25510" xr:uid="{00000000-0005-0000-0000-0000A9620000}"/>
    <cellStyle name="Normal 307 3 3 3" xfId="25511" xr:uid="{00000000-0005-0000-0000-0000AA620000}"/>
    <cellStyle name="Normal 307 3 4" xfId="25512" xr:uid="{00000000-0005-0000-0000-0000AB620000}"/>
    <cellStyle name="Normal 307 3 4 2" xfId="25513" xr:uid="{00000000-0005-0000-0000-0000AC620000}"/>
    <cellStyle name="Normal 307 3 4 2 2" xfId="25514" xr:uid="{00000000-0005-0000-0000-0000AD620000}"/>
    <cellStyle name="Normal 307 3 4 3" xfId="25515" xr:uid="{00000000-0005-0000-0000-0000AE620000}"/>
    <cellStyle name="Normal 307 3 5" xfId="25516" xr:uid="{00000000-0005-0000-0000-0000AF620000}"/>
    <cellStyle name="Normal 307 3 5 2" xfId="25517" xr:uid="{00000000-0005-0000-0000-0000B0620000}"/>
    <cellStyle name="Normal 307 3 5 2 2" xfId="25518" xr:uid="{00000000-0005-0000-0000-0000B1620000}"/>
    <cellStyle name="Normal 307 3 5 3" xfId="25519" xr:uid="{00000000-0005-0000-0000-0000B2620000}"/>
    <cellStyle name="Normal 307 3 6" xfId="25520" xr:uid="{00000000-0005-0000-0000-0000B3620000}"/>
    <cellStyle name="Normal 307 4" xfId="25521" xr:uid="{00000000-0005-0000-0000-0000B4620000}"/>
    <cellStyle name="Normal 307 4 2" xfId="25522" xr:uid="{00000000-0005-0000-0000-0000B5620000}"/>
    <cellStyle name="Normal 307 4 2 2" xfId="25523" xr:uid="{00000000-0005-0000-0000-0000B6620000}"/>
    <cellStyle name="Normal 307 4 3" xfId="25524" xr:uid="{00000000-0005-0000-0000-0000B7620000}"/>
    <cellStyle name="Normal 307 5" xfId="25525" xr:uid="{00000000-0005-0000-0000-0000B8620000}"/>
    <cellStyle name="Normal 307 5 2" xfId="25526" xr:uid="{00000000-0005-0000-0000-0000B9620000}"/>
    <cellStyle name="Normal 307 5 2 2" xfId="25527" xr:uid="{00000000-0005-0000-0000-0000BA620000}"/>
    <cellStyle name="Normal 307 5 3" xfId="25528" xr:uid="{00000000-0005-0000-0000-0000BB620000}"/>
    <cellStyle name="Normal 307 6" xfId="25529" xr:uid="{00000000-0005-0000-0000-0000BC620000}"/>
    <cellStyle name="Normal 307 6 2" xfId="25530" xr:uid="{00000000-0005-0000-0000-0000BD620000}"/>
    <cellStyle name="Normal 307 6 2 2" xfId="25531" xr:uid="{00000000-0005-0000-0000-0000BE620000}"/>
    <cellStyle name="Normal 307 6 3" xfId="25532" xr:uid="{00000000-0005-0000-0000-0000BF620000}"/>
    <cellStyle name="Normal 307 7" xfId="25533" xr:uid="{00000000-0005-0000-0000-0000C0620000}"/>
    <cellStyle name="Normal 308" xfId="25534" xr:uid="{00000000-0005-0000-0000-0000C1620000}"/>
    <cellStyle name="Normal 308 2" xfId="25535" xr:uid="{00000000-0005-0000-0000-0000C2620000}"/>
    <cellStyle name="Normal 308 2 2" xfId="25536" xr:uid="{00000000-0005-0000-0000-0000C3620000}"/>
    <cellStyle name="Normal 308 2 2 2" xfId="25537" xr:uid="{00000000-0005-0000-0000-0000C4620000}"/>
    <cellStyle name="Normal 308 2 3" xfId="25538" xr:uid="{00000000-0005-0000-0000-0000C5620000}"/>
    <cellStyle name="Normal 308 2 3 2" xfId="25539" xr:uid="{00000000-0005-0000-0000-0000C6620000}"/>
    <cellStyle name="Normal 308 2 3 2 2" xfId="25540" xr:uid="{00000000-0005-0000-0000-0000C7620000}"/>
    <cellStyle name="Normal 308 2 3 3" xfId="25541" xr:uid="{00000000-0005-0000-0000-0000C8620000}"/>
    <cellStyle name="Normal 308 2 4" xfId="25542" xr:uid="{00000000-0005-0000-0000-0000C9620000}"/>
    <cellStyle name="Normal 308 2 4 2" xfId="25543" xr:uid="{00000000-0005-0000-0000-0000CA620000}"/>
    <cellStyle name="Normal 308 2 4 2 2" xfId="25544" xr:uid="{00000000-0005-0000-0000-0000CB620000}"/>
    <cellStyle name="Normal 308 2 4 3" xfId="25545" xr:uid="{00000000-0005-0000-0000-0000CC620000}"/>
    <cellStyle name="Normal 308 2 5" xfId="25546" xr:uid="{00000000-0005-0000-0000-0000CD620000}"/>
    <cellStyle name="Normal 308 3" xfId="25547" xr:uid="{00000000-0005-0000-0000-0000CE620000}"/>
    <cellStyle name="Normal 308 3 2" xfId="25548" xr:uid="{00000000-0005-0000-0000-0000CF620000}"/>
    <cellStyle name="Normal 308 3 2 2" xfId="25549" xr:uid="{00000000-0005-0000-0000-0000D0620000}"/>
    <cellStyle name="Normal 308 3 2 2 2" xfId="25550" xr:uid="{00000000-0005-0000-0000-0000D1620000}"/>
    <cellStyle name="Normal 308 3 2 3" xfId="25551" xr:uid="{00000000-0005-0000-0000-0000D2620000}"/>
    <cellStyle name="Normal 308 3 2 3 2" xfId="25552" xr:uid="{00000000-0005-0000-0000-0000D3620000}"/>
    <cellStyle name="Normal 308 3 2 3 2 2" xfId="25553" xr:uid="{00000000-0005-0000-0000-0000D4620000}"/>
    <cellStyle name="Normal 308 3 2 3 3" xfId="25554" xr:uid="{00000000-0005-0000-0000-0000D5620000}"/>
    <cellStyle name="Normal 308 3 2 4" xfId="25555" xr:uid="{00000000-0005-0000-0000-0000D6620000}"/>
    <cellStyle name="Normal 308 3 3" xfId="25556" xr:uid="{00000000-0005-0000-0000-0000D7620000}"/>
    <cellStyle name="Normal 308 3 3 2" xfId="25557" xr:uid="{00000000-0005-0000-0000-0000D8620000}"/>
    <cellStyle name="Normal 308 3 3 2 2" xfId="25558" xr:uid="{00000000-0005-0000-0000-0000D9620000}"/>
    <cellStyle name="Normal 308 3 3 3" xfId="25559" xr:uid="{00000000-0005-0000-0000-0000DA620000}"/>
    <cellStyle name="Normal 308 3 4" xfId="25560" xr:uid="{00000000-0005-0000-0000-0000DB620000}"/>
    <cellStyle name="Normal 308 3 4 2" xfId="25561" xr:uid="{00000000-0005-0000-0000-0000DC620000}"/>
    <cellStyle name="Normal 308 3 4 2 2" xfId="25562" xr:uid="{00000000-0005-0000-0000-0000DD620000}"/>
    <cellStyle name="Normal 308 3 4 3" xfId="25563" xr:uid="{00000000-0005-0000-0000-0000DE620000}"/>
    <cellStyle name="Normal 308 3 5" xfId="25564" xr:uid="{00000000-0005-0000-0000-0000DF620000}"/>
    <cellStyle name="Normal 308 3 5 2" xfId="25565" xr:uid="{00000000-0005-0000-0000-0000E0620000}"/>
    <cellStyle name="Normal 308 3 5 2 2" xfId="25566" xr:uid="{00000000-0005-0000-0000-0000E1620000}"/>
    <cellStyle name="Normal 308 3 5 3" xfId="25567" xr:uid="{00000000-0005-0000-0000-0000E2620000}"/>
    <cellStyle name="Normal 308 3 6" xfId="25568" xr:uid="{00000000-0005-0000-0000-0000E3620000}"/>
    <cellStyle name="Normal 308 4" xfId="25569" xr:uid="{00000000-0005-0000-0000-0000E4620000}"/>
    <cellStyle name="Normal 308 4 2" xfId="25570" xr:uid="{00000000-0005-0000-0000-0000E5620000}"/>
    <cellStyle name="Normal 308 4 2 2" xfId="25571" xr:uid="{00000000-0005-0000-0000-0000E6620000}"/>
    <cellStyle name="Normal 308 4 3" xfId="25572" xr:uid="{00000000-0005-0000-0000-0000E7620000}"/>
    <cellStyle name="Normal 308 5" xfId="25573" xr:uid="{00000000-0005-0000-0000-0000E8620000}"/>
    <cellStyle name="Normal 308 5 2" xfId="25574" xr:uid="{00000000-0005-0000-0000-0000E9620000}"/>
    <cellStyle name="Normal 308 5 2 2" xfId="25575" xr:uid="{00000000-0005-0000-0000-0000EA620000}"/>
    <cellStyle name="Normal 308 5 3" xfId="25576" xr:uid="{00000000-0005-0000-0000-0000EB620000}"/>
    <cellStyle name="Normal 308 6" xfId="25577" xr:uid="{00000000-0005-0000-0000-0000EC620000}"/>
    <cellStyle name="Normal 308 6 2" xfId="25578" xr:uid="{00000000-0005-0000-0000-0000ED620000}"/>
    <cellStyle name="Normal 308 6 2 2" xfId="25579" xr:uid="{00000000-0005-0000-0000-0000EE620000}"/>
    <cellStyle name="Normal 308 6 3" xfId="25580" xr:uid="{00000000-0005-0000-0000-0000EF620000}"/>
    <cellStyle name="Normal 308 7" xfId="25581" xr:uid="{00000000-0005-0000-0000-0000F0620000}"/>
    <cellStyle name="Normal 309" xfId="25582" xr:uid="{00000000-0005-0000-0000-0000F1620000}"/>
    <cellStyle name="Normal 309 2" xfId="25583" xr:uid="{00000000-0005-0000-0000-0000F2620000}"/>
    <cellStyle name="Normal 309 2 2" xfId="25584" xr:uid="{00000000-0005-0000-0000-0000F3620000}"/>
    <cellStyle name="Normal 309 2 2 2" xfId="25585" xr:uid="{00000000-0005-0000-0000-0000F4620000}"/>
    <cellStyle name="Normal 309 2 3" xfId="25586" xr:uid="{00000000-0005-0000-0000-0000F5620000}"/>
    <cellStyle name="Normal 309 2 3 2" xfId="25587" xr:uid="{00000000-0005-0000-0000-0000F6620000}"/>
    <cellStyle name="Normal 309 2 3 2 2" xfId="25588" xr:uid="{00000000-0005-0000-0000-0000F7620000}"/>
    <cellStyle name="Normal 309 2 3 3" xfId="25589" xr:uid="{00000000-0005-0000-0000-0000F8620000}"/>
    <cellStyle name="Normal 309 2 4" xfId="25590" xr:uid="{00000000-0005-0000-0000-0000F9620000}"/>
    <cellStyle name="Normal 309 2 4 2" xfId="25591" xr:uid="{00000000-0005-0000-0000-0000FA620000}"/>
    <cellStyle name="Normal 309 2 4 2 2" xfId="25592" xr:uid="{00000000-0005-0000-0000-0000FB620000}"/>
    <cellStyle name="Normal 309 2 4 3" xfId="25593" xr:uid="{00000000-0005-0000-0000-0000FC620000}"/>
    <cellStyle name="Normal 309 2 5" xfId="25594" xr:uid="{00000000-0005-0000-0000-0000FD620000}"/>
    <cellStyle name="Normal 309 3" xfId="25595" xr:uid="{00000000-0005-0000-0000-0000FE620000}"/>
    <cellStyle name="Normal 309 3 2" xfId="25596" xr:uid="{00000000-0005-0000-0000-0000FF620000}"/>
    <cellStyle name="Normal 309 3 2 2" xfId="25597" xr:uid="{00000000-0005-0000-0000-000000630000}"/>
    <cellStyle name="Normal 309 3 2 2 2" xfId="25598" xr:uid="{00000000-0005-0000-0000-000001630000}"/>
    <cellStyle name="Normal 309 3 2 3" xfId="25599" xr:uid="{00000000-0005-0000-0000-000002630000}"/>
    <cellStyle name="Normal 309 3 2 3 2" xfId="25600" xr:uid="{00000000-0005-0000-0000-000003630000}"/>
    <cellStyle name="Normal 309 3 2 3 2 2" xfId="25601" xr:uid="{00000000-0005-0000-0000-000004630000}"/>
    <cellStyle name="Normal 309 3 2 3 3" xfId="25602" xr:uid="{00000000-0005-0000-0000-000005630000}"/>
    <cellStyle name="Normal 309 3 2 4" xfId="25603" xr:uid="{00000000-0005-0000-0000-000006630000}"/>
    <cellStyle name="Normal 309 3 3" xfId="25604" xr:uid="{00000000-0005-0000-0000-000007630000}"/>
    <cellStyle name="Normal 309 3 3 2" xfId="25605" xr:uid="{00000000-0005-0000-0000-000008630000}"/>
    <cellStyle name="Normal 309 3 3 2 2" xfId="25606" xr:uid="{00000000-0005-0000-0000-000009630000}"/>
    <cellStyle name="Normal 309 3 3 3" xfId="25607" xr:uid="{00000000-0005-0000-0000-00000A630000}"/>
    <cellStyle name="Normal 309 3 4" xfId="25608" xr:uid="{00000000-0005-0000-0000-00000B630000}"/>
    <cellStyle name="Normal 309 3 4 2" xfId="25609" xr:uid="{00000000-0005-0000-0000-00000C630000}"/>
    <cellStyle name="Normal 309 3 4 2 2" xfId="25610" xr:uid="{00000000-0005-0000-0000-00000D630000}"/>
    <cellStyle name="Normal 309 3 4 3" xfId="25611" xr:uid="{00000000-0005-0000-0000-00000E630000}"/>
    <cellStyle name="Normal 309 3 5" xfId="25612" xr:uid="{00000000-0005-0000-0000-00000F630000}"/>
    <cellStyle name="Normal 309 3 5 2" xfId="25613" xr:uid="{00000000-0005-0000-0000-000010630000}"/>
    <cellStyle name="Normal 309 3 5 2 2" xfId="25614" xr:uid="{00000000-0005-0000-0000-000011630000}"/>
    <cellStyle name="Normal 309 3 5 3" xfId="25615" xr:uid="{00000000-0005-0000-0000-000012630000}"/>
    <cellStyle name="Normal 309 3 6" xfId="25616" xr:uid="{00000000-0005-0000-0000-000013630000}"/>
    <cellStyle name="Normal 309 4" xfId="25617" xr:uid="{00000000-0005-0000-0000-000014630000}"/>
    <cellStyle name="Normal 309 4 2" xfId="25618" xr:uid="{00000000-0005-0000-0000-000015630000}"/>
    <cellStyle name="Normal 309 4 2 2" xfId="25619" xr:uid="{00000000-0005-0000-0000-000016630000}"/>
    <cellStyle name="Normal 309 4 3" xfId="25620" xr:uid="{00000000-0005-0000-0000-000017630000}"/>
    <cellStyle name="Normal 309 5" xfId="25621" xr:uid="{00000000-0005-0000-0000-000018630000}"/>
    <cellStyle name="Normal 309 5 2" xfId="25622" xr:uid="{00000000-0005-0000-0000-000019630000}"/>
    <cellStyle name="Normal 309 5 2 2" xfId="25623" xr:uid="{00000000-0005-0000-0000-00001A630000}"/>
    <cellStyle name="Normal 309 5 3" xfId="25624" xr:uid="{00000000-0005-0000-0000-00001B630000}"/>
    <cellStyle name="Normal 309 6" xfId="25625" xr:uid="{00000000-0005-0000-0000-00001C630000}"/>
    <cellStyle name="Normal 309 6 2" xfId="25626" xr:uid="{00000000-0005-0000-0000-00001D630000}"/>
    <cellStyle name="Normal 309 6 2 2" xfId="25627" xr:uid="{00000000-0005-0000-0000-00001E630000}"/>
    <cellStyle name="Normal 309 6 3" xfId="25628" xr:uid="{00000000-0005-0000-0000-00001F630000}"/>
    <cellStyle name="Normal 309 7" xfId="25629" xr:uid="{00000000-0005-0000-0000-000020630000}"/>
    <cellStyle name="Normal 31" xfId="25630" xr:uid="{00000000-0005-0000-0000-000021630000}"/>
    <cellStyle name="Normal 31 2" xfId="25631" xr:uid="{00000000-0005-0000-0000-000022630000}"/>
    <cellStyle name="Normal 31 2 2" xfId="25632" xr:uid="{00000000-0005-0000-0000-000023630000}"/>
    <cellStyle name="Normal 31 2 2 2" xfId="25633" xr:uid="{00000000-0005-0000-0000-000024630000}"/>
    <cellStyle name="Normal 31 2 2 2 2" xfId="25634" xr:uid="{00000000-0005-0000-0000-000025630000}"/>
    <cellStyle name="Normal 31 2 2 3" xfId="25635" xr:uid="{00000000-0005-0000-0000-000026630000}"/>
    <cellStyle name="Normal 31 2 2 3 2" xfId="25636" xr:uid="{00000000-0005-0000-0000-000027630000}"/>
    <cellStyle name="Normal 31 2 2 3 2 2" xfId="25637" xr:uid="{00000000-0005-0000-0000-000028630000}"/>
    <cellStyle name="Normal 31 2 2 3 3" xfId="25638" xr:uid="{00000000-0005-0000-0000-000029630000}"/>
    <cellStyle name="Normal 31 2 2 4" xfId="25639" xr:uid="{00000000-0005-0000-0000-00002A630000}"/>
    <cellStyle name="Normal 31 2 2 4 2" xfId="25640" xr:uid="{00000000-0005-0000-0000-00002B630000}"/>
    <cellStyle name="Normal 31 2 2 4 2 2" xfId="25641" xr:uid="{00000000-0005-0000-0000-00002C630000}"/>
    <cellStyle name="Normal 31 2 2 4 3" xfId="25642" xr:uid="{00000000-0005-0000-0000-00002D630000}"/>
    <cellStyle name="Normal 31 2 2 5" xfId="25643" xr:uid="{00000000-0005-0000-0000-00002E630000}"/>
    <cellStyle name="Normal 31 2 3" xfId="25644" xr:uid="{00000000-0005-0000-0000-00002F630000}"/>
    <cellStyle name="Normal 31 2 3 2" xfId="25645" xr:uid="{00000000-0005-0000-0000-000030630000}"/>
    <cellStyle name="Normal 31 2 3 2 2" xfId="25646" xr:uid="{00000000-0005-0000-0000-000031630000}"/>
    <cellStyle name="Normal 31 2 3 3" xfId="25647" xr:uid="{00000000-0005-0000-0000-000032630000}"/>
    <cellStyle name="Normal 31 2 4" xfId="25648" xr:uid="{00000000-0005-0000-0000-000033630000}"/>
    <cellStyle name="Normal 31 2 4 2" xfId="25649" xr:uid="{00000000-0005-0000-0000-000034630000}"/>
    <cellStyle name="Normal 31 2 4 2 2" xfId="25650" xr:uid="{00000000-0005-0000-0000-000035630000}"/>
    <cellStyle name="Normal 31 2 4 3" xfId="25651" xr:uid="{00000000-0005-0000-0000-000036630000}"/>
    <cellStyle name="Normal 31 2 5" xfId="25652" xr:uid="{00000000-0005-0000-0000-000037630000}"/>
    <cellStyle name="Normal 31 2 5 2" xfId="25653" xr:uid="{00000000-0005-0000-0000-000038630000}"/>
    <cellStyle name="Normal 31 2 5 2 2" xfId="25654" xr:uid="{00000000-0005-0000-0000-000039630000}"/>
    <cellStyle name="Normal 31 2 5 3" xfId="25655" xr:uid="{00000000-0005-0000-0000-00003A630000}"/>
    <cellStyle name="Normal 31 2 6" xfId="25656" xr:uid="{00000000-0005-0000-0000-00003B630000}"/>
    <cellStyle name="Normal 31 3" xfId="25657" xr:uid="{00000000-0005-0000-0000-00003C630000}"/>
    <cellStyle name="Normal 31 3 2" xfId="25658" xr:uid="{00000000-0005-0000-0000-00003D630000}"/>
    <cellStyle name="Normal 31 3 2 2" xfId="25659" xr:uid="{00000000-0005-0000-0000-00003E630000}"/>
    <cellStyle name="Normal 31 3 3" xfId="25660" xr:uid="{00000000-0005-0000-0000-00003F630000}"/>
    <cellStyle name="Normal 31 3 3 2" xfId="25661" xr:uid="{00000000-0005-0000-0000-000040630000}"/>
    <cellStyle name="Normal 31 3 3 2 2" xfId="25662" xr:uid="{00000000-0005-0000-0000-000041630000}"/>
    <cellStyle name="Normal 31 3 3 3" xfId="25663" xr:uid="{00000000-0005-0000-0000-000042630000}"/>
    <cellStyle name="Normal 31 3 4" xfId="25664" xr:uid="{00000000-0005-0000-0000-000043630000}"/>
    <cellStyle name="Normal 31 3 4 2" xfId="25665" xr:uid="{00000000-0005-0000-0000-000044630000}"/>
    <cellStyle name="Normal 31 3 4 2 2" xfId="25666" xr:uid="{00000000-0005-0000-0000-000045630000}"/>
    <cellStyle name="Normal 31 3 4 3" xfId="25667" xr:uid="{00000000-0005-0000-0000-000046630000}"/>
    <cellStyle name="Normal 31 3 5" xfId="25668" xr:uid="{00000000-0005-0000-0000-000047630000}"/>
    <cellStyle name="Normal 31 4" xfId="25669" xr:uid="{00000000-0005-0000-0000-000048630000}"/>
    <cellStyle name="Normal 31 4 2" xfId="25670" xr:uid="{00000000-0005-0000-0000-000049630000}"/>
    <cellStyle name="Normal 31 4 2 2" xfId="25671" xr:uid="{00000000-0005-0000-0000-00004A630000}"/>
    <cellStyle name="Normal 31 4 3" xfId="25672" xr:uid="{00000000-0005-0000-0000-00004B630000}"/>
    <cellStyle name="Normal 31 5" xfId="25673" xr:uid="{00000000-0005-0000-0000-00004C630000}"/>
    <cellStyle name="Normal 31 5 2" xfId="25674" xr:uid="{00000000-0005-0000-0000-00004D630000}"/>
    <cellStyle name="Normal 31 5 2 2" xfId="25675" xr:uid="{00000000-0005-0000-0000-00004E630000}"/>
    <cellStyle name="Normal 31 5 3" xfId="25676" xr:uid="{00000000-0005-0000-0000-00004F630000}"/>
    <cellStyle name="Normal 31 6" xfId="25677" xr:uid="{00000000-0005-0000-0000-000050630000}"/>
    <cellStyle name="Normal 31 6 2" xfId="25678" xr:uid="{00000000-0005-0000-0000-000051630000}"/>
    <cellStyle name="Normal 31 6 2 2" xfId="25679" xr:uid="{00000000-0005-0000-0000-000052630000}"/>
    <cellStyle name="Normal 31 6 3" xfId="25680" xr:uid="{00000000-0005-0000-0000-000053630000}"/>
    <cellStyle name="Normal 31 7" xfId="25681" xr:uid="{00000000-0005-0000-0000-000054630000}"/>
    <cellStyle name="Normal 310" xfId="25682" xr:uid="{00000000-0005-0000-0000-000055630000}"/>
    <cellStyle name="Normal 310 2" xfId="25683" xr:uid="{00000000-0005-0000-0000-000056630000}"/>
    <cellStyle name="Normal 310 2 2" xfId="25684" xr:uid="{00000000-0005-0000-0000-000057630000}"/>
    <cellStyle name="Normal 310 2 2 2" xfId="25685" xr:uid="{00000000-0005-0000-0000-000058630000}"/>
    <cellStyle name="Normal 310 2 3" xfId="25686" xr:uid="{00000000-0005-0000-0000-000059630000}"/>
    <cellStyle name="Normal 310 2 3 2" xfId="25687" xr:uid="{00000000-0005-0000-0000-00005A630000}"/>
    <cellStyle name="Normal 310 2 3 2 2" xfId="25688" xr:uid="{00000000-0005-0000-0000-00005B630000}"/>
    <cellStyle name="Normal 310 2 3 3" xfId="25689" xr:uid="{00000000-0005-0000-0000-00005C630000}"/>
    <cellStyle name="Normal 310 2 4" xfId="25690" xr:uid="{00000000-0005-0000-0000-00005D630000}"/>
    <cellStyle name="Normal 310 2 4 2" xfId="25691" xr:uid="{00000000-0005-0000-0000-00005E630000}"/>
    <cellStyle name="Normal 310 2 4 2 2" xfId="25692" xr:uid="{00000000-0005-0000-0000-00005F630000}"/>
    <cellStyle name="Normal 310 2 4 3" xfId="25693" xr:uid="{00000000-0005-0000-0000-000060630000}"/>
    <cellStyle name="Normal 310 2 5" xfId="25694" xr:uid="{00000000-0005-0000-0000-000061630000}"/>
    <cellStyle name="Normal 310 3" xfId="25695" xr:uid="{00000000-0005-0000-0000-000062630000}"/>
    <cellStyle name="Normal 310 3 2" xfId="25696" xr:uid="{00000000-0005-0000-0000-000063630000}"/>
    <cellStyle name="Normal 310 3 2 2" xfId="25697" xr:uid="{00000000-0005-0000-0000-000064630000}"/>
    <cellStyle name="Normal 310 3 2 2 2" xfId="25698" xr:uid="{00000000-0005-0000-0000-000065630000}"/>
    <cellStyle name="Normal 310 3 2 3" xfId="25699" xr:uid="{00000000-0005-0000-0000-000066630000}"/>
    <cellStyle name="Normal 310 3 2 3 2" xfId="25700" xr:uid="{00000000-0005-0000-0000-000067630000}"/>
    <cellStyle name="Normal 310 3 2 3 2 2" xfId="25701" xr:uid="{00000000-0005-0000-0000-000068630000}"/>
    <cellStyle name="Normal 310 3 2 3 3" xfId="25702" xr:uid="{00000000-0005-0000-0000-000069630000}"/>
    <cellStyle name="Normal 310 3 2 4" xfId="25703" xr:uid="{00000000-0005-0000-0000-00006A630000}"/>
    <cellStyle name="Normal 310 3 3" xfId="25704" xr:uid="{00000000-0005-0000-0000-00006B630000}"/>
    <cellStyle name="Normal 310 3 3 2" xfId="25705" xr:uid="{00000000-0005-0000-0000-00006C630000}"/>
    <cellStyle name="Normal 310 3 3 2 2" xfId="25706" xr:uid="{00000000-0005-0000-0000-00006D630000}"/>
    <cellStyle name="Normal 310 3 3 3" xfId="25707" xr:uid="{00000000-0005-0000-0000-00006E630000}"/>
    <cellStyle name="Normal 310 3 4" xfId="25708" xr:uid="{00000000-0005-0000-0000-00006F630000}"/>
    <cellStyle name="Normal 310 3 4 2" xfId="25709" xr:uid="{00000000-0005-0000-0000-000070630000}"/>
    <cellStyle name="Normal 310 3 4 2 2" xfId="25710" xr:uid="{00000000-0005-0000-0000-000071630000}"/>
    <cellStyle name="Normal 310 3 4 3" xfId="25711" xr:uid="{00000000-0005-0000-0000-000072630000}"/>
    <cellStyle name="Normal 310 3 5" xfId="25712" xr:uid="{00000000-0005-0000-0000-000073630000}"/>
    <cellStyle name="Normal 310 3 5 2" xfId="25713" xr:uid="{00000000-0005-0000-0000-000074630000}"/>
    <cellStyle name="Normal 310 3 5 2 2" xfId="25714" xr:uid="{00000000-0005-0000-0000-000075630000}"/>
    <cellStyle name="Normal 310 3 5 3" xfId="25715" xr:uid="{00000000-0005-0000-0000-000076630000}"/>
    <cellStyle name="Normal 310 3 6" xfId="25716" xr:uid="{00000000-0005-0000-0000-000077630000}"/>
    <cellStyle name="Normal 310 4" xfId="25717" xr:uid="{00000000-0005-0000-0000-000078630000}"/>
    <cellStyle name="Normal 310 4 2" xfId="25718" xr:uid="{00000000-0005-0000-0000-000079630000}"/>
    <cellStyle name="Normal 310 4 2 2" xfId="25719" xr:uid="{00000000-0005-0000-0000-00007A630000}"/>
    <cellStyle name="Normal 310 4 3" xfId="25720" xr:uid="{00000000-0005-0000-0000-00007B630000}"/>
    <cellStyle name="Normal 310 5" xfId="25721" xr:uid="{00000000-0005-0000-0000-00007C630000}"/>
    <cellStyle name="Normal 310 5 2" xfId="25722" xr:uid="{00000000-0005-0000-0000-00007D630000}"/>
    <cellStyle name="Normal 310 5 2 2" xfId="25723" xr:uid="{00000000-0005-0000-0000-00007E630000}"/>
    <cellStyle name="Normal 310 5 3" xfId="25724" xr:uid="{00000000-0005-0000-0000-00007F630000}"/>
    <cellStyle name="Normal 310 6" xfId="25725" xr:uid="{00000000-0005-0000-0000-000080630000}"/>
    <cellStyle name="Normal 310 6 2" xfId="25726" xr:uid="{00000000-0005-0000-0000-000081630000}"/>
    <cellStyle name="Normal 310 6 2 2" xfId="25727" xr:uid="{00000000-0005-0000-0000-000082630000}"/>
    <cellStyle name="Normal 310 6 3" xfId="25728" xr:uid="{00000000-0005-0000-0000-000083630000}"/>
    <cellStyle name="Normal 310 7" xfId="25729" xr:uid="{00000000-0005-0000-0000-000084630000}"/>
    <cellStyle name="Normal 311" xfId="25730" xr:uid="{00000000-0005-0000-0000-000085630000}"/>
    <cellStyle name="Normal 311 2" xfId="25731" xr:uid="{00000000-0005-0000-0000-000086630000}"/>
    <cellStyle name="Normal 311 2 2" xfId="25732" xr:uid="{00000000-0005-0000-0000-000087630000}"/>
    <cellStyle name="Normal 311 2 2 2" xfId="25733" xr:uid="{00000000-0005-0000-0000-000088630000}"/>
    <cellStyle name="Normal 311 2 3" xfId="25734" xr:uid="{00000000-0005-0000-0000-000089630000}"/>
    <cellStyle name="Normal 311 2 3 2" xfId="25735" xr:uid="{00000000-0005-0000-0000-00008A630000}"/>
    <cellStyle name="Normal 311 2 3 2 2" xfId="25736" xr:uid="{00000000-0005-0000-0000-00008B630000}"/>
    <cellStyle name="Normal 311 2 3 3" xfId="25737" xr:uid="{00000000-0005-0000-0000-00008C630000}"/>
    <cellStyle name="Normal 311 2 4" xfId="25738" xr:uid="{00000000-0005-0000-0000-00008D630000}"/>
    <cellStyle name="Normal 311 2 4 2" xfId="25739" xr:uid="{00000000-0005-0000-0000-00008E630000}"/>
    <cellStyle name="Normal 311 2 4 2 2" xfId="25740" xr:uid="{00000000-0005-0000-0000-00008F630000}"/>
    <cellStyle name="Normal 311 2 4 3" xfId="25741" xr:uid="{00000000-0005-0000-0000-000090630000}"/>
    <cellStyle name="Normal 311 2 5" xfId="25742" xr:uid="{00000000-0005-0000-0000-000091630000}"/>
    <cellStyle name="Normal 311 3" xfId="25743" xr:uid="{00000000-0005-0000-0000-000092630000}"/>
    <cellStyle name="Normal 311 3 2" xfId="25744" xr:uid="{00000000-0005-0000-0000-000093630000}"/>
    <cellStyle name="Normal 311 3 2 2" xfId="25745" xr:uid="{00000000-0005-0000-0000-000094630000}"/>
    <cellStyle name="Normal 311 3 2 2 2" xfId="25746" xr:uid="{00000000-0005-0000-0000-000095630000}"/>
    <cellStyle name="Normal 311 3 2 3" xfId="25747" xr:uid="{00000000-0005-0000-0000-000096630000}"/>
    <cellStyle name="Normal 311 3 2 3 2" xfId="25748" xr:uid="{00000000-0005-0000-0000-000097630000}"/>
    <cellStyle name="Normal 311 3 2 3 2 2" xfId="25749" xr:uid="{00000000-0005-0000-0000-000098630000}"/>
    <cellStyle name="Normal 311 3 2 3 3" xfId="25750" xr:uid="{00000000-0005-0000-0000-000099630000}"/>
    <cellStyle name="Normal 311 3 2 4" xfId="25751" xr:uid="{00000000-0005-0000-0000-00009A630000}"/>
    <cellStyle name="Normal 311 3 3" xfId="25752" xr:uid="{00000000-0005-0000-0000-00009B630000}"/>
    <cellStyle name="Normal 311 3 3 2" xfId="25753" xr:uid="{00000000-0005-0000-0000-00009C630000}"/>
    <cellStyle name="Normal 311 3 3 2 2" xfId="25754" xr:uid="{00000000-0005-0000-0000-00009D630000}"/>
    <cellStyle name="Normal 311 3 3 3" xfId="25755" xr:uid="{00000000-0005-0000-0000-00009E630000}"/>
    <cellStyle name="Normal 311 3 4" xfId="25756" xr:uid="{00000000-0005-0000-0000-00009F630000}"/>
    <cellStyle name="Normal 311 3 4 2" xfId="25757" xr:uid="{00000000-0005-0000-0000-0000A0630000}"/>
    <cellStyle name="Normal 311 3 4 2 2" xfId="25758" xr:uid="{00000000-0005-0000-0000-0000A1630000}"/>
    <cellStyle name="Normal 311 3 4 3" xfId="25759" xr:uid="{00000000-0005-0000-0000-0000A2630000}"/>
    <cellStyle name="Normal 311 3 5" xfId="25760" xr:uid="{00000000-0005-0000-0000-0000A3630000}"/>
    <cellStyle name="Normal 311 3 5 2" xfId="25761" xr:uid="{00000000-0005-0000-0000-0000A4630000}"/>
    <cellStyle name="Normal 311 3 5 2 2" xfId="25762" xr:uid="{00000000-0005-0000-0000-0000A5630000}"/>
    <cellStyle name="Normal 311 3 5 3" xfId="25763" xr:uid="{00000000-0005-0000-0000-0000A6630000}"/>
    <cellStyle name="Normal 311 3 6" xfId="25764" xr:uid="{00000000-0005-0000-0000-0000A7630000}"/>
    <cellStyle name="Normal 311 4" xfId="25765" xr:uid="{00000000-0005-0000-0000-0000A8630000}"/>
    <cellStyle name="Normal 311 4 2" xfId="25766" xr:uid="{00000000-0005-0000-0000-0000A9630000}"/>
    <cellStyle name="Normal 311 4 2 2" xfId="25767" xr:uid="{00000000-0005-0000-0000-0000AA630000}"/>
    <cellStyle name="Normal 311 4 3" xfId="25768" xr:uid="{00000000-0005-0000-0000-0000AB630000}"/>
    <cellStyle name="Normal 311 5" xfId="25769" xr:uid="{00000000-0005-0000-0000-0000AC630000}"/>
    <cellStyle name="Normal 311 5 2" xfId="25770" xr:uid="{00000000-0005-0000-0000-0000AD630000}"/>
    <cellStyle name="Normal 311 5 2 2" xfId="25771" xr:uid="{00000000-0005-0000-0000-0000AE630000}"/>
    <cellStyle name="Normal 311 5 3" xfId="25772" xr:uid="{00000000-0005-0000-0000-0000AF630000}"/>
    <cellStyle name="Normal 311 6" xfId="25773" xr:uid="{00000000-0005-0000-0000-0000B0630000}"/>
    <cellStyle name="Normal 311 6 2" xfId="25774" xr:uid="{00000000-0005-0000-0000-0000B1630000}"/>
    <cellStyle name="Normal 311 6 2 2" xfId="25775" xr:uid="{00000000-0005-0000-0000-0000B2630000}"/>
    <cellStyle name="Normal 311 6 3" xfId="25776" xr:uid="{00000000-0005-0000-0000-0000B3630000}"/>
    <cellStyle name="Normal 311 7" xfId="25777" xr:uid="{00000000-0005-0000-0000-0000B4630000}"/>
    <cellStyle name="Normal 312" xfId="25778" xr:uid="{00000000-0005-0000-0000-0000B5630000}"/>
    <cellStyle name="Normal 312 2" xfId="25779" xr:uid="{00000000-0005-0000-0000-0000B6630000}"/>
    <cellStyle name="Normal 312 2 2" xfId="25780" xr:uid="{00000000-0005-0000-0000-0000B7630000}"/>
    <cellStyle name="Normal 312 2 2 2" xfId="25781" xr:uid="{00000000-0005-0000-0000-0000B8630000}"/>
    <cellStyle name="Normal 312 2 3" xfId="25782" xr:uid="{00000000-0005-0000-0000-0000B9630000}"/>
    <cellStyle name="Normal 312 2 3 2" xfId="25783" xr:uid="{00000000-0005-0000-0000-0000BA630000}"/>
    <cellStyle name="Normal 312 2 3 2 2" xfId="25784" xr:uid="{00000000-0005-0000-0000-0000BB630000}"/>
    <cellStyle name="Normal 312 2 3 3" xfId="25785" xr:uid="{00000000-0005-0000-0000-0000BC630000}"/>
    <cellStyle name="Normal 312 2 4" xfId="25786" xr:uid="{00000000-0005-0000-0000-0000BD630000}"/>
    <cellStyle name="Normal 312 2 4 2" xfId="25787" xr:uid="{00000000-0005-0000-0000-0000BE630000}"/>
    <cellStyle name="Normal 312 2 4 2 2" xfId="25788" xr:uid="{00000000-0005-0000-0000-0000BF630000}"/>
    <cellStyle name="Normal 312 2 4 3" xfId="25789" xr:uid="{00000000-0005-0000-0000-0000C0630000}"/>
    <cellStyle name="Normal 312 2 5" xfId="25790" xr:uid="{00000000-0005-0000-0000-0000C1630000}"/>
    <cellStyle name="Normal 312 3" xfId="25791" xr:uid="{00000000-0005-0000-0000-0000C2630000}"/>
    <cellStyle name="Normal 312 3 2" xfId="25792" xr:uid="{00000000-0005-0000-0000-0000C3630000}"/>
    <cellStyle name="Normal 312 3 2 2" xfId="25793" xr:uid="{00000000-0005-0000-0000-0000C4630000}"/>
    <cellStyle name="Normal 312 3 2 2 2" xfId="25794" xr:uid="{00000000-0005-0000-0000-0000C5630000}"/>
    <cellStyle name="Normal 312 3 2 3" xfId="25795" xr:uid="{00000000-0005-0000-0000-0000C6630000}"/>
    <cellStyle name="Normal 312 3 2 3 2" xfId="25796" xr:uid="{00000000-0005-0000-0000-0000C7630000}"/>
    <cellStyle name="Normal 312 3 2 3 2 2" xfId="25797" xr:uid="{00000000-0005-0000-0000-0000C8630000}"/>
    <cellStyle name="Normal 312 3 2 3 3" xfId="25798" xr:uid="{00000000-0005-0000-0000-0000C9630000}"/>
    <cellStyle name="Normal 312 3 2 4" xfId="25799" xr:uid="{00000000-0005-0000-0000-0000CA630000}"/>
    <cellStyle name="Normal 312 3 3" xfId="25800" xr:uid="{00000000-0005-0000-0000-0000CB630000}"/>
    <cellStyle name="Normal 312 3 3 2" xfId="25801" xr:uid="{00000000-0005-0000-0000-0000CC630000}"/>
    <cellStyle name="Normal 312 3 3 2 2" xfId="25802" xr:uid="{00000000-0005-0000-0000-0000CD630000}"/>
    <cellStyle name="Normal 312 3 3 3" xfId="25803" xr:uid="{00000000-0005-0000-0000-0000CE630000}"/>
    <cellStyle name="Normal 312 3 4" xfId="25804" xr:uid="{00000000-0005-0000-0000-0000CF630000}"/>
    <cellStyle name="Normal 312 3 4 2" xfId="25805" xr:uid="{00000000-0005-0000-0000-0000D0630000}"/>
    <cellStyle name="Normal 312 3 4 2 2" xfId="25806" xr:uid="{00000000-0005-0000-0000-0000D1630000}"/>
    <cellStyle name="Normal 312 3 4 3" xfId="25807" xr:uid="{00000000-0005-0000-0000-0000D2630000}"/>
    <cellStyle name="Normal 312 3 5" xfId="25808" xr:uid="{00000000-0005-0000-0000-0000D3630000}"/>
    <cellStyle name="Normal 312 3 5 2" xfId="25809" xr:uid="{00000000-0005-0000-0000-0000D4630000}"/>
    <cellStyle name="Normal 312 3 5 2 2" xfId="25810" xr:uid="{00000000-0005-0000-0000-0000D5630000}"/>
    <cellStyle name="Normal 312 3 5 3" xfId="25811" xr:uid="{00000000-0005-0000-0000-0000D6630000}"/>
    <cellStyle name="Normal 312 3 6" xfId="25812" xr:uid="{00000000-0005-0000-0000-0000D7630000}"/>
    <cellStyle name="Normal 312 4" xfId="25813" xr:uid="{00000000-0005-0000-0000-0000D8630000}"/>
    <cellStyle name="Normal 312 4 2" xfId="25814" xr:uid="{00000000-0005-0000-0000-0000D9630000}"/>
    <cellStyle name="Normal 312 4 2 2" xfId="25815" xr:uid="{00000000-0005-0000-0000-0000DA630000}"/>
    <cellStyle name="Normal 312 4 3" xfId="25816" xr:uid="{00000000-0005-0000-0000-0000DB630000}"/>
    <cellStyle name="Normal 312 5" xfId="25817" xr:uid="{00000000-0005-0000-0000-0000DC630000}"/>
    <cellStyle name="Normal 312 5 2" xfId="25818" xr:uid="{00000000-0005-0000-0000-0000DD630000}"/>
    <cellStyle name="Normal 312 5 2 2" xfId="25819" xr:uid="{00000000-0005-0000-0000-0000DE630000}"/>
    <cellStyle name="Normal 312 5 3" xfId="25820" xr:uid="{00000000-0005-0000-0000-0000DF630000}"/>
    <cellStyle name="Normal 312 6" xfId="25821" xr:uid="{00000000-0005-0000-0000-0000E0630000}"/>
    <cellStyle name="Normal 312 6 2" xfId="25822" xr:uid="{00000000-0005-0000-0000-0000E1630000}"/>
    <cellStyle name="Normal 312 6 2 2" xfId="25823" xr:uid="{00000000-0005-0000-0000-0000E2630000}"/>
    <cellStyle name="Normal 312 6 3" xfId="25824" xr:uid="{00000000-0005-0000-0000-0000E3630000}"/>
    <cellStyle name="Normal 312 7" xfId="25825" xr:uid="{00000000-0005-0000-0000-0000E4630000}"/>
    <cellStyle name="Normal 313" xfId="25826" xr:uid="{00000000-0005-0000-0000-0000E5630000}"/>
    <cellStyle name="Normal 313 2" xfId="25827" xr:uid="{00000000-0005-0000-0000-0000E6630000}"/>
    <cellStyle name="Normal 313 2 2" xfId="25828" xr:uid="{00000000-0005-0000-0000-0000E7630000}"/>
    <cellStyle name="Normal 313 2 2 2" xfId="25829" xr:uid="{00000000-0005-0000-0000-0000E8630000}"/>
    <cellStyle name="Normal 313 2 3" xfId="25830" xr:uid="{00000000-0005-0000-0000-0000E9630000}"/>
    <cellStyle name="Normal 313 2 3 2" xfId="25831" xr:uid="{00000000-0005-0000-0000-0000EA630000}"/>
    <cellStyle name="Normal 313 2 3 2 2" xfId="25832" xr:uid="{00000000-0005-0000-0000-0000EB630000}"/>
    <cellStyle name="Normal 313 2 3 3" xfId="25833" xr:uid="{00000000-0005-0000-0000-0000EC630000}"/>
    <cellStyle name="Normal 313 2 4" xfId="25834" xr:uid="{00000000-0005-0000-0000-0000ED630000}"/>
    <cellStyle name="Normal 313 2 4 2" xfId="25835" xr:uid="{00000000-0005-0000-0000-0000EE630000}"/>
    <cellStyle name="Normal 313 2 4 2 2" xfId="25836" xr:uid="{00000000-0005-0000-0000-0000EF630000}"/>
    <cellStyle name="Normal 313 2 4 3" xfId="25837" xr:uid="{00000000-0005-0000-0000-0000F0630000}"/>
    <cellStyle name="Normal 313 2 5" xfId="25838" xr:uid="{00000000-0005-0000-0000-0000F1630000}"/>
    <cellStyle name="Normal 313 3" xfId="25839" xr:uid="{00000000-0005-0000-0000-0000F2630000}"/>
    <cellStyle name="Normal 313 3 2" xfId="25840" xr:uid="{00000000-0005-0000-0000-0000F3630000}"/>
    <cellStyle name="Normal 313 3 2 2" xfId="25841" xr:uid="{00000000-0005-0000-0000-0000F4630000}"/>
    <cellStyle name="Normal 313 3 2 2 2" xfId="25842" xr:uid="{00000000-0005-0000-0000-0000F5630000}"/>
    <cellStyle name="Normal 313 3 2 3" xfId="25843" xr:uid="{00000000-0005-0000-0000-0000F6630000}"/>
    <cellStyle name="Normal 313 3 2 3 2" xfId="25844" xr:uid="{00000000-0005-0000-0000-0000F7630000}"/>
    <cellStyle name="Normal 313 3 2 3 2 2" xfId="25845" xr:uid="{00000000-0005-0000-0000-0000F8630000}"/>
    <cellStyle name="Normal 313 3 2 3 3" xfId="25846" xr:uid="{00000000-0005-0000-0000-0000F9630000}"/>
    <cellStyle name="Normal 313 3 2 4" xfId="25847" xr:uid="{00000000-0005-0000-0000-0000FA630000}"/>
    <cellStyle name="Normal 313 3 3" xfId="25848" xr:uid="{00000000-0005-0000-0000-0000FB630000}"/>
    <cellStyle name="Normal 313 3 3 2" xfId="25849" xr:uid="{00000000-0005-0000-0000-0000FC630000}"/>
    <cellStyle name="Normal 313 3 3 2 2" xfId="25850" xr:uid="{00000000-0005-0000-0000-0000FD630000}"/>
    <cellStyle name="Normal 313 3 3 3" xfId="25851" xr:uid="{00000000-0005-0000-0000-0000FE630000}"/>
    <cellStyle name="Normal 313 3 4" xfId="25852" xr:uid="{00000000-0005-0000-0000-0000FF630000}"/>
    <cellStyle name="Normal 313 3 4 2" xfId="25853" xr:uid="{00000000-0005-0000-0000-000000640000}"/>
    <cellStyle name="Normal 313 3 4 2 2" xfId="25854" xr:uid="{00000000-0005-0000-0000-000001640000}"/>
    <cellStyle name="Normal 313 3 4 3" xfId="25855" xr:uid="{00000000-0005-0000-0000-000002640000}"/>
    <cellStyle name="Normal 313 3 5" xfId="25856" xr:uid="{00000000-0005-0000-0000-000003640000}"/>
    <cellStyle name="Normal 313 3 5 2" xfId="25857" xr:uid="{00000000-0005-0000-0000-000004640000}"/>
    <cellStyle name="Normal 313 3 5 2 2" xfId="25858" xr:uid="{00000000-0005-0000-0000-000005640000}"/>
    <cellStyle name="Normal 313 3 5 3" xfId="25859" xr:uid="{00000000-0005-0000-0000-000006640000}"/>
    <cellStyle name="Normal 313 3 6" xfId="25860" xr:uid="{00000000-0005-0000-0000-000007640000}"/>
    <cellStyle name="Normal 313 4" xfId="25861" xr:uid="{00000000-0005-0000-0000-000008640000}"/>
    <cellStyle name="Normal 313 4 2" xfId="25862" xr:uid="{00000000-0005-0000-0000-000009640000}"/>
    <cellStyle name="Normal 313 4 2 2" xfId="25863" xr:uid="{00000000-0005-0000-0000-00000A640000}"/>
    <cellStyle name="Normal 313 4 3" xfId="25864" xr:uid="{00000000-0005-0000-0000-00000B640000}"/>
    <cellStyle name="Normal 313 5" xfId="25865" xr:uid="{00000000-0005-0000-0000-00000C640000}"/>
    <cellStyle name="Normal 313 5 2" xfId="25866" xr:uid="{00000000-0005-0000-0000-00000D640000}"/>
    <cellStyle name="Normal 313 5 2 2" xfId="25867" xr:uid="{00000000-0005-0000-0000-00000E640000}"/>
    <cellStyle name="Normal 313 5 3" xfId="25868" xr:uid="{00000000-0005-0000-0000-00000F640000}"/>
    <cellStyle name="Normal 313 6" xfId="25869" xr:uid="{00000000-0005-0000-0000-000010640000}"/>
    <cellStyle name="Normal 313 6 2" xfId="25870" xr:uid="{00000000-0005-0000-0000-000011640000}"/>
    <cellStyle name="Normal 313 6 2 2" xfId="25871" xr:uid="{00000000-0005-0000-0000-000012640000}"/>
    <cellStyle name="Normal 313 6 3" xfId="25872" xr:uid="{00000000-0005-0000-0000-000013640000}"/>
    <cellStyle name="Normal 313 7" xfId="25873" xr:uid="{00000000-0005-0000-0000-000014640000}"/>
    <cellStyle name="Normal 314" xfId="25874" xr:uid="{00000000-0005-0000-0000-000015640000}"/>
    <cellStyle name="Normal 314 2" xfId="25875" xr:uid="{00000000-0005-0000-0000-000016640000}"/>
    <cellStyle name="Normal 314 2 2" xfId="25876" xr:uid="{00000000-0005-0000-0000-000017640000}"/>
    <cellStyle name="Normal 314 2 2 2" xfId="25877" xr:uid="{00000000-0005-0000-0000-000018640000}"/>
    <cellStyle name="Normal 314 2 3" xfId="25878" xr:uid="{00000000-0005-0000-0000-000019640000}"/>
    <cellStyle name="Normal 314 2 3 2" xfId="25879" xr:uid="{00000000-0005-0000-0000-00001A640000}"/>
    <cellStyle name="Normal 314 2 3 2 2" xfId="25880" xr:uid="{00000000-0005-0000-0000-00001B640000}"/>
    <cellStyle name="Normal 314 2 3 3" xfId="25881" xr:uid="{00000000-0005-0000-0000-00001C640000}"/>
    <cellStyle name="Normal 314 2 4" xfId="25882" xr:uid="{00000000-0005-0000-0000-00001D640000}"/>
    <cellStyle name="Normal 314 2 4 2" xfId="25883" xr:uid="{00000000-0005-0000-0000-00001E640000}"/>
    <cellStyle name="Normal 314 2 4 2 2" xfId="25884" xr:uid="{00000000-0005-0000-0000-00001F640000}"/>
    <cellStyle name="Normal 314 2 4 3" xfId="25885" xr:uid="{00000000-0005-0000-0000-000020640000}"/>
    <cellStyle name="Normal 314 2 5" xfId="25886" xr:uid="{00000000-0005-0000-0000-000021640000}"/>
    <cellStyle name="Normal 314 3" xfId="25887" xr:uid="{00000000-0005-0000-0000-000022640000}"/>
    <cellStyle name="Normal 314 3 2" xfId="25888" xr:uid="{00000000-0005-0000-0000-000023640000}"/>
    <cellStyle name="Normal 314 3 2 2" xfId="25889" xr:uid="{00000000-0005-0000-0000-000024640000}"/>
    <cellStyle name="Normal 314 3 2 2 2" xfId="25890" xr:uid="{00000000-0005-0000-0000-000025640000}"/>
    <cellStyle name="Normal 314 3 2 3" xfId="25891" xr:uid="{00000000-0005-0000-0000-000026640000}"/>
    <cellStyle name="Normal 314 3 2 3 2" xfId="25892" xr:uid="{00000000-0005-0000-0000-000027640000}"/>
    <cellStyle name="Normal 314 3 2 3 2 2" xfId="25893" xr:uid="{00000000-0005-0000-0000-000028640000}"/>
    <cellStyle name="Normal 314 3 2 3 3" xfId="25894" xr:uid="{00000000-0005-0000-0000-000029640000}"/>
    <cellStyle name="Normal 314 3 2 4" xfId="25895" xr:uid="{00000000-0005-0000-0000-00002A640000}"/>
    <cellStyle name="Normal 314 3 3" xfId="25896" xr:uid="{00000000-0005-0000-0000-00002B640000}"/>
    <cellStyle name="Normal 314 3 3 2" xfId="25897" xr:uid="{00000000-0005-0000-0000-00002C640000}"/>
    <cellStyle name="Normal 314 3 3 2 2" xfId="25898" xr:uid="{00000000-0005-0000-0000-00002D640000}"/>
    <cellStyle name="Normal 314 3 3 3" xfId="25899" xr:uid="{00000000-0005-0000-0000-00002E640000}"/>
    <cellStyle name="Normal 314 3 4" xfId="25900" xr:uid="{00000000-0005-0000-0000-00002F640000}"/>
    <cellStyle name="Normal 314 3 4 2" xfId="25901" xr:uid="{00000000-0005-0000-0000-000030640000}"/>
    <cellStyle name="Normal 314 3 4 2 2" xfId="25902" xr:uid="{00000000-0005-0000-0000-000031640000}"/>
    <cellStyle name="Normal 314 3 4 3" xfId="25903" xr:uid="{00000000-0005-0000-0000-000032640000}"/>
    <cellStyle name="Normal 314 3 5" xfId="25904" xr:uid="{00000000-0005-0000-0000-000033640000}"/>
    <cellStyle name="Normal 314 3 5 2" xfId="25905" xr:uid="{00000000-0005-0000-0000-000034640000}"/>
    <cellStyle name="Normal 314 3 5 2 2" xfId="25906" xr:uid="{00000000-0005-0000-0000-000035640000}"/>
    <cellStyle name="Normal 314 3 5 3" xfId="25907" xr:uid="{00000000-0005-0000-0000-000036640000}"/>
    <cellStyle name="Normal 314 3 6" xfId="25908" xr:uid="{00000000-0005-0000-0000-000037640000}"/>
    <cellStyle name="Normal 314 4" xfId="25909" xr:uid="{00000000-0005-0000-0000-000038640000}"/>
    <cellStyle name="Normal 314 4 2" xfId="25910" xr:uid="{00000000-0005-0000-0000-000039640000}"/>
    <cellStyle name="Normal 314 4 2 2" xfId="25911" xr:uid="{00000000-0005-0000-0000-00003A640000}"/>
    <cellStyle name="Normal 314 4 3" xfId="25912" xr:uid="{00000000-0005-0000-0000-00003B640000}"/>
    <cellStyle name="Normal 314 5" xfId="25913" xr:uid="{00000000-0005-0000-0000-00003C640000}"/>
    <cellStyle name="Normal 314 5 2" xfId="25914" xr:uid="{00000000-0005-0000-0000-00003D640000}"/>
    <cellStyle name="Normal 314 5 2 2" xfId="25915" xr:uid="{00000000-0005-0000-0000-00003E640000}"/>
    <cellStyle name="Normal 314 5 3" xfId="25916" xr:uid="{00000000-0005-0000-0000-00003F640000}"/>
    <cellStyle name="Normal 314 6" xfId="25917" xr:uid="{00000000-0005-0000-0000-000040640000}"/>
    <cellStyle name="Normal 314 6 2" xfId="25918" xr:uid="{00000000-0005-0000-0000-000041640000}"/>
    <cellStyle name="Normal 314 6 2 2" xfId="25919" xr:uid="{00000000-0005-0000-0000-000042640000}"/>
    <cellStyle name="Normal 314 6 3" xfId="25920" xr:uid="{00000000-0005-0000-0000-000043640000}"/>
    <cellStyle name="Normal 314 7" xfId="25921" xr:uid="{00000000-0005-0000-0000-000044640000}"/>
    <cellStyle name="Normal 315" xfId="25922" xr:uid="{00000000-0005-0000-0000-000045640000}"/>
    <cellStyle name="Normal 315 2" xfId="25923" xr:uid="{00000000-0005-0000-0000-000046640000}"/>
    <cellStyle name="Normal 315 2 2" xfId="25924" xr:uid="{00000000-0005-0000-0000-000047640000}"/>
    <cellStyle name="Normal 315 2 2 2" xfId="25925" xr:uid="{00000000-0005-0000-0000-000048640000}"/>
    <cellStyle name="Normal 315 2 3" xfId="25926" xr:uid="{00000000-0005-0000-0000-000049640000}"/>
    <cellStyle name="Normal 315 2 3 2" xfId="25927" xr:uid="{00000000-0005-0000-0000-00004A640000}"/>
    <cellStyle name="Normal 315 2 3 2 2" xfId="25928" xr:uid="{00000000-0005-0000-0000-00004B640000}"/>
    <cellStyle name="Normal 315 2 3 3" xfId="25929" xr:uid="{00000000-0005-0000-0000-00004C640000}"/>
    <cellStyle name="Normal 315 2 4" xfId="25930" xr:uid="{00000000-0005-0000-0000-00004D640000}"/>
    <cellStyle name="Normal 315 2 4 2" xfId="25931" xr:uid="{00000000-0005-0000-0000-00004E640000}"/>
    <cellStyle name="Normal 315 2 4 2 2" xfId="25932" xr:uid="{00000000-0005-0000-0000-00004F640000}"/>
    <cellStyle name="Normal 315 2 4 3" xfId="25933" xr:uid="{00000000-0005-0000-0000-000050640000}"/>
    <cellStyle name="Normal 315 2 5" xfId="25934" xr:uid="{00000000-0005-0000-0000-000051640000}"/>
    <cellStyle name="Normal 315 3" xfId="25935" xr:uid="{00000000-0005-0000-0000-000052640000}"/>
    <cellStyle name="Normal 315 3 2" xfId="25936" xr:uid="{00000000-0005-0000-0000-000053640000}"/>
    <cellStyle name="Normal 315 3 2 2" xfId="25937" xr:uid="{00000000-0005-0000-0000-000054640000}"/>
    <cellStyle name="Normal 315 3 2 2 2" xfId="25938" xr:uid="{00000000-0005-0000-0000-000055640000}"/>
    <cellStyle name="Normal 315 3 2 3" xfId="25939" xr:uid="{00000000-0005-0000-0000-000056640000}"/>
    <cellStyle name="Normal 315 3 2 3 2" xfId="25940" xr:uid="{00000000-0005-0000-0000-000057640000}"/>
    <cellStyle name="Normal 315 3 2 3 2 2" xfId="25941" xr:uid="{00000000-0005-0000-0000-000058640000}"/>
    <cellStyle name="Normal 315 3 2 3 3" xfId="25942" xr:uid="{00000000-0005-0000-0000-000059640000}"/>
    <cellStyle name="Normal 315 3 2 4" xfId="25943" xr:uid="{00000000-0005-0000-0000-00005A640000}"/>
    <cellStyle name="Normal 315 3 3" xfId="25944" xr:uid="{00000000-0005-0000-0000-00005B640000}"/>
    <cellStyle name="Normal 315 3 3 2" xfId="25945" xr:uid="{00000000-0005-0000-0000-00005C640000}"/>
    <cellStyle name="Normal 315 3 3 2 2" xfId="25946" xr:uid="{00000000-0005-0000-0000-00005D640000}"/>
    <cellStyle name="Normal 315 3 3 3" xfId="25947" xr:uid="{00000000-0005-0000-0000-00005E640000}"/>
    <cellStyle name="Normal 315 3 4" xfId="25948" xr:uid="{00000000-0005-0000-0000-00005F640000}"/>
    <cellStyle name="Normal 315 3 4 2" xfId="25949" xr:uid="{00000000-0005-0000-0000-000060640000}"/>
    <cellStyle name="Normal 315 3 4 2 2" xfId="25950" xr:uid="{00000000-0005-0000-0000-000061640000}"/>
    <cellStyle name="Normal 315 3 4 3" xfId="25951" xr:uid="{00000000-0005-0000-0000-000062640000}"/>
    <cellStyle name="Normal 315 3 5" xfId="25952" xr:uid="{00000000-0005-0000-0000-000063640000}"/>
    <cellStyle name="Normal 315 3 5 2" xfId="25953" xr:uid="{00000000-0005-0000-0000-000064640000}"/>
    <cellStyle name="Normal 315 3 5 2 2" xfId="25954" xr:uid="{00000000-0005-0000-0000-000065640000}"/>
    <cellStyle name="Normal 315 3 5 3" xfId="25955" xr:uid="{00000000-0005-0000-0000-000066640000}"/>
    <cellStyle name="Normal 315 3 6" xfId="25956" xr:uid="{00000000-0005-0000-0000-000067640000}"/>
    <cellStyle name="Normal 315 4" xfId="25957" xr:uid="{00000000-0005-0000-0000-000068640000}"/>
    <cellStyle name="Normal 315 4 2" xfId="25958" xr:uid="{00000000-0005-0000-0000-000069640000}"/>
    <cellStyle name="Normal 315 4 2 2" xfId="25959" xr:uid="{00000000-0005-0000-0000-00006A640000}"/>
    <cellStyle name="Normal 315 4 3" xfId="25960" xr:uid="{00000000-0005-0000-0000-00006B640000}"/>
    <cellStyle name="Normal 315 5" xfId="25961" xr:uid="{00000000-0005-0000-0000-00006C640000}"/>
    <cellStyle name="Normal 315 5 2" xfId="25962" xr:uid="{00000000-0005-0000-0000-00006D640000}"/>
    <cellStyle name="Normal 315 5 2 2" xfId="25963" xr:uid="{00000000-0005-0000-0000-00006E640000}"/>
    <cellStyle name="Normal 315 5 3" xfId="25964" xr:uid="{00000000-0005-0000-0000-00006F640000}"/>
    <cellStyle name="Normal 315 6" xfId="25965" xr:uid="{00000000-0005-0000-0000-000070640000}"/>
    <cellStyle name="Normal 315 6 2" xfId="25966" xr:uid="{00000000-0005-0000-0000-000071640000}"/>
    <cellStyle name="Normal 315 6 2 2" xfId="25967" xr:uid="{00000000-0005-0000-0000-000072640000}"/>
    <cellStyle name="Normal 315 6 3" xfId="25968" xr:uid="{00000000-0005-0000-0000-000073640000}"/>
    <cellStyle name="Normal 315 7" xfId="25969" xr:uid="{00000000-0005-0000-0000-000074640000}"/>
    <cellStyle name="Normal 316" xfId="25970" xr:uid="{00000000-0005-0000-0000-000075640000}"/>
    <cellStyle name="Normal 316 2" xfId="25971" xr:uid="{00000000-0005-0000-0000-000076640000}"/>
    <cellStyle name="Normal 316 2 2" xfId="25972" xr:uid="{00000000-0005-0000-0000-000077640000}"/>
    <cellStyle name="Normal 316 2 2 2" xfId="25973" xr:uid="{00000000-0005-0000-0000-000078640000}"/>
    <cellStyle name="Normal 316 2 3" xfId="25974" xr:uid="{00000000-0005-0000-0000-000079640000}"/>
    <cellStyle name="Normal 316 2 3 2" xfId="25975" xr:uid="{00000000-0005-0000-0000-00007A640000}"/>
    <cellStyle name="Normal 316 2 3 2 2" xfId="25976" xr:uid="{00000000-0005-0000-0000-00007B640000}"/>
    <cellStyle name="Normal 316 2 3 3" xfId="25977" xr:uid="{00000000-0005-0000-0000-00007C640000}"/>
    <cellStyle name="Normal 316 2 4" xfId="25978" xr:uid="{00000000-0005-0000-0000-00007D640000}"/>
    <cellStyle name="Normal 316 2 4 2" xfId="25979" xr:uid="{00000000-0005-0000-0000-00007E640000}"/>
    <cellStyle name="Normal 316 2 4 2 2" xfId="25980" xr:uid="{00000000-0005-0000-0000-00007F640000}"/>
    <cellStyle name="Normal 316 2 4 3" xfId="25981" xr:uid="{00000000-0005-0000-0000-000080640000}"/>
    <cellStyle name="Normal 316 2 5" xfId="25982" xr:uid="{00000000-0005-0000-0000-000081640000}"/>
    <cellStyle name="Normal 316 3" xfId="25983" xr:uid="{00000000-0005-0000-0000-000082640000}"/>
    <cellStyle name="Normal 316 3 2" xfId="25984" xr:uid="{00000000-0005-0000-0000-000083640000}"/>
    <cellStyle name="Normal 316 3 2 2" xfId="25985" xr:uid="{00000000-0005-0000-0000-000084640000}"/>
    <cellStyle name="Normal 316 3 2 2 2" xfId="25986" xr:uid="{00000000-0005-0000-0000-000085640000}"/>
    <cellStyle name="Normal 316 3 2 3" xfId="25987" xr:uid="{00000000-0005-0000-0000-000086640000}"/>
    <cellStyle name="Normal 316 3 2 3 2" xfId="25988" xr:uid="{00000000-0005-0000-0000-000087640000}"/>
    <cellStyle name="Normal 316 3 2 3 2 2" xfId="25989" xr:uid="{00000000-0005-0000-0000-000088640000}"/>
    <cellStyle name="Normal 316 3 2 3 3" xfId="25990" xr:uid="{00000000-0005-0000-0000-000089640000}"/>
    <cellStyle name="Normal 316 3 2 4" xfId="25991" xr:uid="{00000000-0005-0000-0000-00008A640000}"/>
    <cellStyle name="Normal 316 3 3" xfId="25992" xr:uid="{00000000-0005-0000-0000-00008B640000}"/>
    <cellStyle name="Normal 316 3 3 2" xfId="25993" xr:uid="{00000000-0005-0000-0000-00008C640000}"/>
    <cellStyle name="Normal 316 3 3 2 2" xfId="25994" xr:uid="{00000000-0005-0000-0000-00008D640000}"/>
    <cellStyle name="Normal 316 3 3 3" xfId="25995" xr:uid="{00000000-0005-0000-0000-00008E640000}"/>
    <cellStyle name="Normal 316 3 4" xfId="25996" xr:uid="{00000000-0005-0000-0000-00008F640000}"/>
    <cellStyle name="Normal 316 3 4 2" xfId="25997" xr:uid="{00000000-0005-0000-0000-000090640000}"/>
    <cellStyle name="Normal 316 3 4 2 2" xfId="25998" xr:uid="{00000000-0005-0000-0000-000091640000}"/>
    <cellStyle name="Normal 316 3 4 3" xfId="25999" xr:uid="{00000000-0005-0000-0000-000092640000}"/>
    <cellStyle name="Normal 316 3 5" xfId="26000" xr:uid="{00000000-0005-0000-0000-000093640000}"/>
    <cellStyle name="Normal 316 3 5 2" xfId="26001" xr:uid="{00000000-0005-0000-0000-000094640000}"/>
    <cellStyle name="Normal 316 3 5 2 2" xfId="26002" xr:uid="{00000000-0005-0000-0000-000095640000}"/>
    <cellStyle name="Normal 316 3 5 3" xfId="26003" xr:uid="{00000000-0005-0000-0000-000096640000}"/>
    <cellStyle name="Normal 316 3 6" xfId="26004" xr:uid="{00000000-0005-0000-0000-000097640000}"/>
    <cellStyle name="Normal 316 4" xfId="26005" xr:uid="{00000000-0005-0000-0000-000098640000}"/>
    <cellStyle name="Normal 316 4 2" xfId="26006" xr:uid="{00000000-0005-0000-0000-000099640000}"/>
    <cellStyle name="Normal 316 4 2 2" xfId="26007" xr:uid="{00000000-0005-0000-0000-00009A640000}"/>
    <cellStyle name="Normal 316 4 3" xfId="26008" xr:uid="{00000000-0005-0000-0000-00009B640000}"/>
    <cellStyle name="Normal 316 5" xfId="26009" xr:uid="{00000000-0005-0000-0000-00009C640000}"/>
    <cellStyle name="Normal 316 5 2" xfId="26010" xr:uid="{00000000-0005-0000-0000-00009D640000}"/>
    <cellStyle name="Normal 316 5 2 2" xfId="26011" xr:uid="{00000000-0005-0000-0000-00009E640000}"/>
    <cellStyle name="Normal 316 5 3" xfId="26012" xr:uid="{00000000-0005-0000-0000-00009F640000}"/>
    <cellStyle name="Normal 316 6" xfId="26013" xr:uid="{00000000-0005-0000-0000-0000A0640000}"/>
    <cellStyle name="Normal 316 6 2" xfId="26014" xr:uid="{00000000-0005-0000-0000-0000A1640000}"/>
    <cellStyle name="Normal 316 6 2 2" xfId="26015" xr:uid="{00000000-0005-0000-0000-0000A2640000}"/>
    <cellStyle name="Normal 316 6 3" xfId="26016" xr:uid="{00000000-0005-0000-0000-0000A3640000}"/>
    <cellStyle name="Normal 316 7" xfId="26017" xr:uid="{00000000-0005-0000-0000-0000A4640000}"/>
    <cellStyle name="Normal 317" xfId="26018" xr:uid="{00000000-0005-0000-0000-0000A5640000}"/>
    <cellStyle name="Normal 317 2" xfId="26019" xr:uid="{00000000-0005-0000-0000-0000A6640000}"/>
    <cellStyle name="Normal 317 2 2" xfId="26020" xr:uid="{00000000-0005-0000-0000-0000A7640000}"/>
    <cellStyle name="Normal 317 2 2 2" xfId="26021" xr:uid="{00000000-0005-0000-0000-0000A8640000}"/>
    <cellStyle name="Normal 317 2 3" xfId="26022" xr:uid="{00000000-0005-0000-0000-0000A9640000}"/>
    <cellStyle name="Normal 317 2 3 2" xfId="26023" xr:uid="{00000000-0005-0000-0000-0000AA640000}"/>
    <cellStyle name="Normal 317 2 3 2 2" xfId="26024" xr:uid="{00000000-0005-0000-0000-0000AB640000}"/>
    <cellStyle name="Normal 317 2 3 3" xfId="26025" xr:uid="{00000000-0005-0000-0000-0000AC640000}"/>
    <cellStyle name="Normal 317 2 4" xfId="26026" xr:uid="{00000000-0005-0000-0000-0000AD640000}"/>
    <cellStyle name="Normal 317 2 4 2" xfId="26027" xr:uid="{00000000-0005-0000-0000-0000AE640000}"/>
    <cellStyle name="Normal 317 2 4 2 2" xfId="26028" xr:uid="{00000000-0005-0000-0000-0000AF640000}"/>
    <cellStyle name="Normal 317 2 4 3" xfId="26029" xr:uid="{00000000-0005-0000-0000-0000B0640000}"/>
    <cellStyle name="Normal 317 2 5" xfId="26030" xr:uid="{00000000-0005-0000-0000-0000B1640000}"/>
    <cellStyle name="Normal 317 3" xfId="26031" xr:uid="{00000000-0005-0000-0000-0000B2640000}"/>
    <cellStyle name="Normal 317 3 2" xfId="26032" xr:uid="{00000000-0005-0000-0000-0000B3640000}"/>
    <cellStyle name="Normal 317 3 2 2" xfId="26033" xr:uid="{00000000-0005-0000-0000-0000B4640000}"/>
    <cellStyle name="Normal 317 3 2 2 2" xfId="26034" xr:uid="{00000000-0005-0000-0000-0000B5640000}"/>
    <cellStyle name="Normal 317 3 2 3" xfId="26035" xr:uid="{00000000-0005-0000-0000-0000B6640000}"/>
    <cellStyle name="Normal 317 3 2 3 2" xfId="26036" xr:uid="{00000000-0005-0000-0000-0000B7640000}"/>
    <cellStyle name="Normal 317 3 2 3 2 2" xfId="26037" xr:uid="{00000000-0005-0000-0000-0000B8640000}"/>
    <cellStyle name="Normal 317 3 2 3 3" xfId="26038" xr:uid="{00000000-0005-0000-0000-0000B9640000}"/>
    <cellStyle name="Normal 317 3 2 4" xfId="26039" xr:uid="{00000000-0005-0000-0000-0000BA640000}"/>
    <cellStyle name="Normal 317 3 3" xfId="26040" xr:uid="{00000000-0005-0000-0000-0000BB640000}"/>
    <cellStyle name="Normal 317 3 3 2" xfId="26041" xr:uid="{00000000-0005-0000-0000-0000BC640000}"/>
    <cellStyle name="Normal 317 3 3 2 2" xfId="26042" xr:uid="{00000000-0005-0000-0000-0000BD640000}"/>
    <cellStyle name="Normal 317 3 3 3" xfId="26043" xr:uid="{00000000-0005-0000-0000-0000BE640000}"/>
    <cellStyle name="Normal 317 3 4" xfId="26044" xr:uid="{00000000-0005-0000-0000-0000BF640000}"/>
    <cellStyle name="Normal 317 3 4 2" xfId="26045" xr:uid="{00000000-0005-0000-0000-0000C0640000}"/>
    <cellStyle name="Normal 317 3 4 2 2" xfId="26046" xr:uid="{00000000-0005-0000-0000-0000C1640000}"/>
    <cellStyle name="Normal 317 3 4 3" xfId="26047" xr:uid="{00000000-0005-0000-0000-0000C2640000}"/>
    <cellStyle name="Normal 317 3 5" xfId="26048" xr:uid="{00000000-0005-0000-0000-0000C3640000}"/>
    <cellStyle name="Normal 317 3 5 2" xfId="26049" xr:uid="{00000000-0005-0000-0000-0000C4640000}"/>
    <cellStyle name="Normal 317 3 5 2 2" xfId="26050" xr:uid="{00000000-0005-0000-0000-0000C5640000}"/>
    <cellStyle name="Normal 317 3 5 3" xfId="26051" xr:uid="{00000000-0005-0000-0000-0000C6640000}"/>
    <cellStyle name="Normal 317 3 6" xfId="26052" xr:uid="{00000000-0005-0000-0000-0000C7640000}"/>
    <cellStyle name="Normal 317 4" xfId="26053" xr:uid="{00000000-0005-0000-0000-0000C8640000}"/>
    <cellStyle name="Normal 317 4 2" xfId="26054" xr:uid="{00000000-0005-0000-0000-0000C9640000}"/>
    <cellStyle name="Normal 317 4 2 2" xfId="26055" xr:uid="{00000000-0005-0000-0000-0000CA640000}"/>
    <cellStyle name="Normal 317 4 3" xfId="26056" xr:uid="{00000000-0005-0000-0000-0000CB640000}"/>
    <cellStyle name="Normal 317 5" xfId="26057" xr:uid="{00000000-0005-0000-0000-0000CC640000}"/>
    <cellStyle name="Normal 317 5 2" xfId="26058" xr:uid="{00000000-0005-0000-0000-0000CD640000}"/>
    <cellStyle name="Normal 317 5 2 2" xfId="26059" xr:uid="{00000000-0005-0000-0000-0000CE640000}"/>
    <cellStyle name="Normal 317 5 3" xfId="26060" xr:uid="{00000000-0005-0000-0000-0000CF640000}"/>
    <cellStyle name="Normal 317 6" xfId="26061" xr:uid="{00000000-0005-0000-0000-0000D0640000}"/>
    <cellStyle name="Normal 317 6 2" xfId="26062" xr:uid="{00000000-0005-0000-0000-0000D1640000}"/>
    <cellStyle name="Normal 317 6 2 2" xfId="26063" xr:uid="{00000000-0005-0000-0000-0000D2640000}"/>
    <cellStyle name="Normal 317 6 3" xfId="26064" xr:uid="{00000000-0005-0000-0000-0000D3640000}"/>
    <cellStyle name="Normal 317 7" xfId="26065" xr:uid="{00000000-0005-0000-0000-0000D4640000}"/>
    <cellStyle name="Normal 318" xfId="26066" xr:uid="{00000000-0005-0000-0000-0000D5640000}"/>
    <cellStyle name="Normal 318 2" xfId="26067" xr:uid="{00000000-0005-0000-0000-0000D6640000}"/>
    <cellStyle name="Normal 318 2 2" xfId="26068" xr:uid="{00000000-0005-0000-0000-0000D7640000}"/>
    <cellStyle name="Normal 318 2 2 2" xfId="26069" xr:uid="{00000000-0005-0000-0000-0000D8640000}"/>
    <cellStyle name="Normal 318 2 3" xfId="26070" xr:uid="{00000000-0005-0000-0000-0000D9640000}"/>
    <cellStyle name="Normal 318 2 3 2" xfId="26071" xr:uid="{00000000-0005-0000-0000-0000DA640000}"/>
    <cellStyle name="Normal 318 2 3 2 2" xfId="26072" xr:uid="{00000000-0005-0000-0000-0000DB640000}"/>
    <cellStyle name="Normal 318 2 3 3" xfId="26073" xr:uid="{00000000-0005-0000-0000-0000DC640000}"/>
    <cellStyle name="Normal 318 2 4" xfId="26074" xr:uid="{00000000-0005-0000-0000-0000DD640000}"/>
    <cellStyle name="Normal 318 2 4 2" xfId="26075" xr:uid="{00000000-0005-0000-0000-0000DE640000}"/>
    <cellStyle name="Normal 318 2 4 2 2" xfId="26076" xr:uid="{00000000-0005-0000-0000-0000DF640000}"/>
    <cellStyle name="Normal 318 2 4 3" xfId="26077" xr:uid="{00000000-0005-0000-0000-0000E0640000}"/>
    <cellStyle name="Normal 318 2 5" xfId="26078" xr:uid="{00000000-0005-0000-0000-0000E1640000}"/>
    <cellStyle name="Normal 318 3" xfId="26079" xr:uid="{00000000-0005-0000-0000-0000E2640000}"/>
    <cellStyle name="Normal 318 3 2" xfId="26080" xr:uid="{00000000-0005-0000-0000-0000E3640000}"/>
    <cellStyle name="Normal 318 3 2 2" xfId="26081" xr:uid="{00000000-0005-0000-0000-0000E4640000}"/>
    <cellStyle name="Normal 318 3 2 2 2" xfId="26082" xr:uid="{00000000-0005-0000-0000-0000E5640000}"/>
    <cellStyle name="Normal 318 3 2 3" xfId="26083" xr:uid="{00000000-0005-0000-0000-0000E6640000}"/>
    <cellStyle name="Normal 318 3 2 3 2" xfId="26084" xr:uid="{00000000-0005-0000-0000-0000E7640000}"/>
    <cellStyle name="Normal 318 3 2 3 2 2" xfId="26085" xr:uid="{00000000-0005-0000-0000-0000E8640000}"/>
    <cellStyle name="Normal 318 3 2 3 3" xfId="26086" xr:uid="{00000000-0005-0000-0000-0000E9640000}"/>
    <cellStyle name="Normal 318 3 2 4" xfId="26087" xr:uid="{00000000-0005-0000-0000-0000EA640000}"/>
    <cellStyle name="Normal 318 3 3" xfId="26088" xr:uid="{00000000-0005-0000-0000-0000EB640000}"/>
    <cellStyle name="Normal 318 3 3 2" xfId="26089" xr:uid="{00000000-0005-0000-0000-0000EC640000}"/>
    <cellStyle name="Normal 318 3 3 2 2" xfId="26090" xr:uid="{00000000-0005-0000-0000-0000ED640000}"/>
    <cellStyle name="Normal 318 3 3 3" xfId="26091" xr:uid="{00000000-0005-0000-0000-0000EE640000}"/>
    <cellStyle name="Normal 318 3 4" xfId="26092" xr:uid="{00000000-0005-0000-0000-0000EF640000}"/>
    <cellStyle name="Normal 318 3 4 2" xfId="26093" xr:uid="{00000000-0005-0000-0000-0000F0640000}"/>
    <cellStyle name="Normal 318 3 4 2 2" xfId="26094" xr:uid="{00000000-0005-0000-0000-0000F1640000}"/>
    <cellStyle name="Normal 318 3 4 3" xfId="26095" xr:uid="{00000000-0005-0000-0000-0000F2640000}"/>
    <cellStyle name="Normal 318 3 5" xfId="26096" xr:uid="{00000000-0005-0000-0000-0000F3640000}"/>
    <cellStyle name="Normal 318 3 5 2" xfId="26097" xr:uid="{00000000-0005-0000-0000-0000F4640000}"/>
    <cellStyle name="Normal 318 3 5 2 2" xfId="26098" xr:uid="{00000000-0005-0000-0000-0000F5640000}"/>
    <cellStyle name="Normal 318 3 5 3" xfId="26099" xr:uid="{00000000-0005-0000-0000-0000F6640000}"/>
    <cellStyle name="Normal 318 3 6" xfId="26100" xr:uid="{00000000-0005-0000-0000-0000F7640000}"/>
    <cellStyle name="Normal 318 4" xfId="26101" xr:uid="{00000000-0005-0000-0000-0000F8640000}"/>
    <cellStyle name="Normal 318 4 2" xfId="26102" xr:uid="{00000000-0005-0000-0000-0000F9640000}"/>
    <cellStyle name="Normal 318 4 2 2" xfId="26103" xr:uid="{00000000-0005-0000-0000-0000FA640000}"/>
    <cellStyle name="Normal 318 4 3" xfId="26104" xr:uid="{00000000-0005-0000-0000-0000FB640000}"/>
    <cellStyle name="Normal 318 5" xfId="26105" xr:uid="{00000000-0005-0000-0000-0000FC640000}"/>
    <cellStyle name="Normal 318 5 2" xfId="26106" xr:uid="{00000000-0005-0000-0000-0000FD640000}"/>
    <cellStyle name="Normal 318 5 2 2" xfId="26107" xr:uid="{00000000-0005-0000-0000-0000FE640000}"/>
    <cellStyle name="Normal 318 5 3" xfId="26108" xr:uid="{00000000-0005-0000-0000-0000FF640000}"/>
    <cellStyle name="Normal 318 6" xfId="26109" xr:uid="{00000000-0005-0000-0000-000000650000}"/>
    <cellStyle name="Normal 318 6 2" xfId="26110" xr:uid="{00000000-0005-0000-0000-000001650000}"/>
    <cellStyle name="Normal 318 6 2 2" xfId="26111" xr:uid="{00000000-0005-0000-0000-000002650000}"/>
    <cellStyle name="Normal 318 6 3" xfId="26112" xr:uid="{00000000-0005-0000-0000-000003650000}"/>
    <cellStyle name="Normal 318 7" xfId="26113" xr:uid="{00000000-0005-0000-0000-000004650000}"/>
    <cellStyle name="Normal 319" xfId="26114" xr:uid="{00000000-0005-0000-0000-000005650000}"/>
    <cellStyle name="Normal 319 2" xfId="26115" xr:uid="{00000000-0005-0000-0000-000006650000}"/>
    <cellStyle name="Normal 319 2 2" xfId="26116" xr:uid="{00000000-0005-0000-0000-000007650000}"/>
    <cellStyle name="Normal 319 2 2 2" xfId="26117" xr:uid="{00000000-0005-0000-0000-000008650000}"/>
    <cellStyle name="Normal 319 2 3" xfId="26118" xr:uid="{00000000-0005-0000-0000-000009650000}"/>
    <cellStyle name="Normal 319 2 3 2" xfId="26119" xr:uid="{00000000-0005-0000-0000-00000A650000}"/>
    <cellStyle name="Normal 319 2 3 2 2" xfId="26120" xr:uid="{00000000-0005-0000-0000-00000B650000}"/>
    <cellStyle name="Normal 319 2 3 3" xfId="26121" xr:uid="{00000000-0005-0000-0000-00000C650000}"/>
    <cellStyle name="Normal 319 2 4" xfId="26122" xr:uid="{00000000-0005-0000-0000-00000D650000}"/>
    <cellStyle name="Normal 319 2 4 2" xfId="26123" xr:uid="{00000000-0005-0000-0000-00000E650000}"/>
    <cellStyle name="Normal 319 2 4 2 2" xfId="26124" xr:uid="{00000000-0005-0000-0000-00000F650000}"/>
    <cellStyle name="Normal 319 2 4 3" xfId="26125" xr:uid="{00000000-0005-0000-0000-000010650000}"/>
    <cellStyle name="Normal 319 2 5" xfId="26126" xr:uid="{00000000-0005-0000-0000-000011650000}"/>
    <cellStyle name="Normal 319 3" xfId="26127" xr:uid="{00000000-0005-0000-0000-000012650000}"/>
    <cellStyle name="Normal 319 3 2" xfId="26128" xr:uid="{00000000-0005-0000-0000-000013650000}"/>
    <cellStyle name="Normal 319 3 2 2" xfId="26129" xr:uid="{00000000-0005-0000-0000-000014650000}"/>
    <cellStyle name="Normal 319 3 2 2 2" xfId="26130" xr:uid="{00000000-0005-0000-0000-000015650000}"/>
    <cellStyle name="Normal 319 3 2 3" xfId="26131" xr:uid="{00000000-0005-0000-0000-000016650000}"/>
    <cellStyle name="Normal 319 3 2 3 2" xfId="26132" xr:uid="{00000000-0005-0000-0000-000017650000}"/>
    <cellStyle name="Normal 319 3 2 3 2 2" xfId="26133" xr:uid="{00000000-0005-0000-0000-000018650000}"/>
    <cellStyle name="Normal 319 3 2 3 3" xfId="26134" xr:uid="{00000000-0005-0000-0000-000019650000}"/>
    <cellStyle name="Normal 319 3 2 4" xfId="26135" xr:uid="{00000000-0005-0000-0000-00001A650000}"/>
    <cellStyle name="Normal 319 3 3" xfId="26136" xr:uid="{00000000-0005-0000-0000-00001B650000}"/>
    <cellStyle name="Normal 319 3 3 2" xfId="26137" xr:uid="{00000000-0005-0000-0000-00001C650000}"/>
    <cellStyle name="Normal 319 3 3 2 2" xfId="26138" xr:uid="{00000000-0005-0000-0000-00001D650000}"/>
    <cellStyle name="Normal 319 3 3 3" xfId="26139" xr:uid="{00000000-0005-0000-0000-00001E650000}"/>
    <cellStyle name="Normal 319 3 4" xfId="26140" xr:uid="{00000000-0005-0000-0000-00001F650000}"/>
    <cellStyle name="Normal 319 3 4 2" xfId="26141" xr:uid="{00000000-0005-0000-0000-000020650000}"/>
    <cellStyle name="Normal 319 3 4 2 2" xfId="26142" xr:uid="{00000000-0005-0000-0000-000021650000}"/>
    <cellStyle name="Normal 319 3 4 3" xfId="26143" xr:uid="{00000000-0005-0000-0000-000022650000}"/>
    <cellStyle name="Normal 319 3 5" xfId="26144" xr:uid="{00000000-0005-0000-0000-000023650000}"/>
    <cellStyle name="Normal 319 3 5 2" xfId="26145" xr:uid="{00000000-0005-0000-0000-000024650000}"/>
    <cellStyle name="Normal 319 3 5 2 2" xfId="26146" xr:uid="{00000000-0005-0000-0000-000025650000}"/>
    <cellStyle name="Normal 319 3 5 3" xfId="26147" xr:uid="{00000000-0005-0000-0000-000026650000}"/>
    <cellStyle name="Normal 319 3 6" xfId="26148" xr:uid="{00000000-0005-0000-0000-000027650000}"/>
    <cellStyle name="Normal 319 4" xfId="26149" xr:uid="{00000000-0005-0000-0000-000028650000}"/>
    <cellStyle name="Normal 319 4 2" xfId="26150" xr:uid="{00000000-0005-0000-0000-000029650000}"/>
    <cellStyle name="Normal 319 4 2 2" xfId="26151" xr:uid="{00000000-0005-0000-0000-00002A650000}"/>
    <cellStyle name="Normal 319 4 3" xfId="26152" xr:uid="{00000000-0005-0000-0000-00002B650000}"/>
    <cellStyle name="Normal 319 5" xfId="26153" xr:uid="{00000000-0005-0000-0000-00002C650000}"/>
    <cellStyle name="Normal 319 5 2" xfId="26154" xr:uid="{00000000-0005-0000-0000-00002D650000}"/>
    <cellStyle name="Normal 319 5 2 2" xfId="26155" xr:uid="{00000000-0005-0000-0000-00002E650000}"/>
    <cellStyle name="Normal 319 5 3" xfId="26156" xr:uid="{00000000-0005-0000-0000-00002F650000}"/>
    <cellStyle name="Normal 319 6" xfId="26157" xr:uid="{00000000-0005-0000-0000-000030650000}"/>
    <cellStyle name="Normal 319 6 2" xfId="26158" xr:uid="{00000000-0005-0000-0000-000031650000}"/>
    <cellStyle name="Normal 319 6 2 2" xfId="26159" xr:uid="{00000000-0005-0000-0000-000032650000}"/>
    <cellStyle name="Normal 319 6 3" xfId="26160" xr:uid="{00000000-0005-0000-0000-000033650000}"/>
    <cellStyle name="Normal 319 7" xfId="26161" xr:uid="{00000000-0005-0000-0000-000034650000}"/>
    <cellStyle name="Normal 32" xfId="26162" xr:uid="{00000000-0005-0000-0000-000035650000}"/>
    <cellStyle name="Normal 32 2" xfId="26163" xr:uid="{00000000-0005-0000-0000-000036650000}"/>
    <cellStyle name="Normal 32 2 2" xfId="26164" xr:uid="{00000000-0005-0000-0000-000037650000}"/>
    <cellStyle name="Normal 32 2 2 2" xfId="26165" xr:uid="{00000000-0005-0000-0000-000038650000}"/>
    <cellStyle name="Normal 32 2 2 2 2" xfId="26166" xr:uid="{00000000-0005-0000-0000-000039650000}"/>
    <cellStyle name="Normal 32 2 2 3" xfId="26167" xr:uid="{00000000-0005-0000-0000-00003A650000}"/>
    <cellStyle name="Normal 32 2 2 3 2" xfId="26168" xr:uid="{00000000-0005-0000-0000-00003B650000}"/>
    <cellStyle name="Normal 32 2 2 3 2 2" xfId="26169" xr:uid="{00000000-0005-0000-0000-00003C650000}"/>
    <cellStyle name="Normal 32 2 2 3 3" xfId="26170" xr:uid="{00000000-0005-0000-0000-00003D650000}"/>
    <cellStyle name="Normal 32 2 2 4" xfId="26171" xr:uid="{00000000-0005-0000-0000-00003E650000}"/>
    <cellStyle name="Normal 32 2 2 4 2" xfId="26172" xr:uid="{00000000-0005-0000-0000-00003F650000}"/>
    <cellStyle name="Normal 32 2 2 4 2 2" xfId="26173" xr:uid="{00000000-0005-0000-0000-000040650000}"/>
    <cellStyle name="Normal 32 2 2 4 3" xfId="26174" xr:uid="{00000000-0005-0000-0000-000041650000}"/>
    <cellStyle name="Normal 32 2 2 5" xfId="26175" xr:uid="{00000000-0005-0000-0000-000042650000}"/>
    <cellStyle name="Normal 32 2 3" xfId="26176" xr:uid="{00000000-0005-0000-0000-000043650000}"/>
    <cellStyle name="Normal 32 2 3 2" xfId="26177" xr:uid="{00000000-0005-0000-0000-000044650000}"/>
    <cellStyle name="Normal 32 2 3 2 2" xfId="26178" xr:uid="{00000000-0005-0000-0000-000045650000}"/>
    <cellStyle name="Normal 32 2 3 3" xfId="26179" xr:uid="{00000000-0005-0000-0000-000046650000}"/>
    <cellStyle name="Normal 32 2 4" xfId="26180" xr:uid="{00000000-0005-0000-0000-000047650000}"/>
    <cellStyle name="Normal 32 2 4 2" xfId="26181" xr:uid="{00000000-0005-0000-0000-000048650000}"/>
    <cellStyle name="Normal 32 2 4 2 2" xfId="26182" xr:uid="{00000000-0005-0000-0000-000049650000}"/>
    <cellStyle name="Normal 32 2 4 3" xfId="26183" xr:uid="{00000000-0005-0000-0000-00004A650000}"/>
    <cellStyle name="Normal 32 2 5" xfId="26184" xr:uid="{00000000-0005-0000-0000-00004B650000}"/>
    <cellStyle name="Normal 32 2 5 2" xfId="26185" xr:uid="{00000000-0005-0000-0000-00004C650000}"/>
    <cellStyle name="Normal 32 2 5 2 2" xfId="26186" xr:uid="{00000000-0005-0000-0000-00004D650000}"/>
    <cellStyle name="Normal 32 2 5 3" xfId="26187" xr:uid="{00000000-0005-0000-0000-00004E650000}"/>
    <cellStyle name="Normal 32 2 6" xfId="26188" xr:uid="{00000000-0005-0000-0000-00004F650000}"/>
    <cellStyle name="Normal 32 3" xfId="26189" xr:uid="{00000000-0005-0000-0000-000050650000}"/>
    <cellStyle name="Normal 32 3 2" xfId="26190" xr:uid="{00000000-0005-0000-0000-000051650000}"/>
    <cellStyle name="Normal 32 3 2 2" xfId="26191" xr:uid="{00000000-0005-0000-0000-000052650000}"/>
    <cellStyle name="Normal 32 3 3" xfId="26192" xr:uid="{00000000-0005-0000-0000-000053650000}"/>
    <cellStyle name="Normal 32 3 3 2" xfId="26193" xr:uid="{00000000-0005-0000-0000-000054650000}"/>
    <cellStyle name="Normal 32 3 3 2 2" xfId="26194" xr:uid="{00000000-0005-0000-0000-000055650000}"/>
    <cellStyle name="Normal 32 3 3 3" xfId="26195" xr:uid="{00000000-0005-0000-0000-000056650000}"/>
    <cellStyle name="Normal 32 3 4" xfId="26196" xr:uid="{00000000-0005-0000-0000-000057650000}"/>
    <cellStyle name="Normal 32 3 4 2" xfId="26197" xr:uid="{00000000-0005-0000-0000-000058650000}"/>
    <cellStyle name="Normal 32 3 4 2 2" xfId="26198" xr:uid="{00000000-0005-0000-0000-000059650000}"/>
    <cellStyle name="Normal 32 3 4 3" xfId="26199" xr:uid="{00000000-0005-0000-0000-00005A650000}"/>
    <cellStyle name="Normal 32 3 5" xfId="26200" xr:uid="{00000000-0005-0000-0000-00005B650000}"/>
    <cellStyle name="Normal 32 4" xfId="26201" xr:uid="{00000000-0005-0000-0000-00005C650000}"/>
    <cellStyle name="Normal 32 4 2" xfId="26202" xr:uid="{00000000-0005-0000-0000-00005D650000}"/>
    <cellStyle name="Normal 32 4 2 2" xfId="26203" xr:uid="{00000000-0005-0000-0000-00005E650000}"/>
    <cellStyle name="Normal 32 4 3" xfId="26204" xr:uid="{00000000-0005-0000-0000-00005F650000}"/>
    <cellStyle name="Normal 32 5" xfId="26205" xr:uid="{00000000-0005-0000-0000-000060650000}"/>
    <cellStyle name="Normal 32 5 2" xfId="26206" xr:uid="{00000000-0005-0000-0000-000061650000}"/>
    <cellStyle name="Normal 32 5 2 2" xfId="26207" xr:uid="{00000000-0005-0000-0000-000062650000}"/>
    <cellStyle name="Normal 32 5 3" xfId="26208" xr:uid="{00000000-0005-0000-0000-000063650000}"/>
    <cellStyle name="Normal 32 6" xfId="26209" xr:uid="{00000000-0005-0000-0000-000064650000}"/>
    <cellStyle name="Normal 32 6 2" xfId="26210" xr:uid="{00000000-0005-0000-0000-000065650000}"/>
    <cellStyle name="Normal 32 6 2 2" xfId="26211" xr:uid="{00000000-0005-0000-0000-000066650000}"/>
    <cellStyle name="Normal 32 6 3" xfId="26212" xr:uid="{00000000-0005-0000-0000-000067650000}"/>
    <cellStyle name="Normal 32 7" xfId="26213" xr:uid="{00000000-0005-0000-0000-000068650000}"/>
    <cellStyle name="Normal 320" xfId="26214" xr:uid="{00000000-0005-0000-0000-000069650000}"/>
    <cellStyle name="Normal 320 2" xfId="26215" xr:uid="{00000000-0005-0000-0000-00006A650000}"/>
    <cellStyle name="Normal 320 2 2" xfId="26216" xr:uid="{00000000-0005-0000-0000-00006B650000}"/>
    <cellStyle name="Normal 320 2 2 2" xfId="26217" xr:uid="{00000000-0005-0000-0000-00006C650000}"/>
    <cellStyle name="Normal 320 2 3" xfId="26218" xr:uid="{00000000-0005-0000-0000-00006D650000}"/>
    <cellStyle name="Normal 320 2 3 2" xfId="26219" xr:uid="{00000000-0005-0000-0000-00006E650000}"/>
    <cellStyle name="Normal 320 2 3 2 2" xfId="26220" xr:uid="{00000000-0005-0000-0000-00006F650000}"/>
    <cellStyle name="Normal 320 2 3 3" xfId="26221" xr:uid="{00000000-0005-0000-0000-000070650000}"/>
    <cellStyle name="Normal 320 2 4" xfId="26222" xr:uid="{00000000-0005-0000-0000-000071650000}"/>
    <cellStyle name="Normal 320 2 4 2" xfId="26223" xr:uid="{00000000-0005-0000-0000-000072650000}"/>
    <cellStyle name="Normal 320 2 4 2 2" xfId="26224" xr:uid="{00000000-0005-0000-0000-000073650000}"/>
    <cellStyle name="Normal 320 2 4 3" xfId="26225" xr:uid="{00000000-0005-0000-0000-000074650000}"/>
    <cellStyle name="Normal 320 2 5" xfId="26226" xr:uid="{00000000-0005-0000-0000-000075650000}"/>
    <cellStyle name="Normal 320 3" xfId="26227" xr:uid="{00000000-0005-0000-0000-000076650000}"/>
    <cellStyle name="Normal 320 3 2" xfId="26228" xr:uid="{00000000-0005-0000-0000-000077650000}"/>
    <cellStyle name="Normal 320 3 2 2" xfId="26229" xr:uid="{00000000-0005-0000-0000-000078650000}"/>
    <cellStyle name="Normal 320 3 2 2 2" xfId="26230" xr:uid="{00000000-0005-0000-0000-000079650000}"/>
    <cellStyle name="Normal 320 3 2 3" xfId="26231" xr:uid="{00000000-0005-0000-0000-00007A650000}"/>
    <cellStyle name="Normal 320 3 2 3 2" xfId="26232" xr:uid="{00000000-0005-0000-0000-00007B650000}"/>
    <cellStyle name="Normal 320 3 2 3 2 2" xfId="26233" xr:uid="{00000000-0005-0000-0000-00007C650000}"/>
    <cellStyle name="Normal 320 3 2 3 3" xfId="26234" xr:uid="{00000000-0005-0000-0000-00007D650000}"/>
    <cellStyle name="Normal 320 3 2 4" xfId="26235" xr:uid="{00000000-0005-0000-0000-00007E650000}"/>
    <cellStyle name="Normal 320 3 3" xfId="26236" xr:uid="{00000000-0005-0000-0000-00007F650000}"/>
    <cellStyle name="Normal 320 3 3 2" xfId="26237" xr:uid="{00000000-0005-0000-0000-000080650000}"/>
    <cellStyle name="Normal 320 3 3 2 2" xfId="26238" xr:uid="{00000000-0005-0000-0000-000081650000}"/>
    <cellStyle name="Normal 320 3 3 3" xfId="26239" xr:uid="{00000000-0005-0000-0000-000082650000}"/>
    <cellStyle name="Normal 320 3 4" xfId="26240" xr:uid="{00000000-0005-0000-0000-000083650000}"/>
    <cellStyle name="Normal 320 3 4 2" xfId="26241" xr:uid="{00000000-0005-0000-0000-000084650000}"/>
    <cellStyle name="Normal 320 3 4 2 2" xfId="26242" xr:uid="{00000000-0005-0000-0000-000085650000}"/>
    <cellStyle name="Normal 320 3 4 3" xfId="26243" xr:uid="{00000000-0005-0000-0000-000086650000}"/>
    <cellStyle name="Normal 320 3 5" xfId="26244" xr:uid="{00000000-0005-0000-0000-000087650000}"/>
    <cellStyle name="Normal 320 3 5 2" xfId="26245" xr:uid="{00000000-0005-0000-0000-000088650000}"/>
    <cellStyle name="Normal 320 3 5 2 2" xfId="26246" xr:uid="{00000000-0005-0000-0000-000089650000}"/>
    <cellStyle name="Normal 320 3 5 3" xfId="26247" xr:uid="{00000000-0005-0000-0000-00008A650000}"/>
    <cellStyle name="Normal 320 3 6" xfId="26248" xr:uid="{00000000-0005-0000-0000-00008B650000}"/>
    <cellStyle name="Normal 320 4" xfId="26249" xr:uid="{00000000-0005-0000-0000-00008C650000}"/>
    <cellStyle name="Normal 320 4 2" xfId="26250" xr:uid="{00000000-0005-0000-0000-00008D650000}"/>
    <cellStyle name="Normal 320 4 2 2" xfId="26251" xr:uid="{00000000-0005-0000-0000-00008E650000}"/>
    <cellStyle name="Normal 320 4 3" xfId="26252" xr:uid="{00000000-0005-0000-0000-00008F650000}"/>
    <cellStyle name="Normal 320 5" xfId="26253" xr:uid="{00000000-0005-0000-0000-000090650000}"/>
    <cellStyle name="Normal 320 5 2" xfId="26254" xr:uid="{00000000-0005-0000-0000-000091650000}"/>
    <cellStyle name="Normal 320 5 2 2" xfId="26255" xr:uid="{00000000-0005-0000-0000-000092650000}"/>
    <cellStyle name="Normal 320 5 3" xfId="26256" xr:uid="{00000000-0005-0000-0000-000093650000}"/>
    <cellStyle name="Normal 320 6" xfId="26257" xr:uid="{00000000-0005-0000-0000-000094650000}"/>
    <cellStyle name="Normal 320 6 2" xfId="26258" xr:uid="{00000000-0005-0000-0000-000095650000}"/>
    <cellStyle name="Normal 320 6 2 2" xfId="26259" xr:uid="{00000000-0005-0000-0000-000096650000}"/>
    <cellStyle name="Normal 320 6 3" xfId="26260" xr:uid="{00000000-0005-0000-0000-000097650000}"/>
    <cellStyle name="Normal 320 7" xfId="26261" xr:uid="{00000000-0005-0000-0000-000098650000}"/>
    <cellStyle name="Normal 321" xfId="26262" xr:uid="{00000000-0005-0000-0000-000099650000}"/>
    <cellStyle name="Normal 321 2" xfId="26263" xr:uid="{00000000-0005-0000-0000-00009A650000}"/>
    <cellStyle name="Normal 321 2 2" xfId="26264" xr:uid="{00000000-0005-0000-0000-00009B650000}"/>
    <cellStyle name="Normal 321 2 2 2" xfId="26265" xr:uid="{00000000-0005-0000-0000-00009C650000}"/>
    <cellStyle name="Normal 321 2 3" xfId="26266" xr:uid="{00000000-0005-0000-0000-00009D650000}"/>
    <cellStyle name="Normal 321 2 3 2" xfId="26267" xr:uid="{00000000-0005-0000-0000-00009E650000}"/>
    <cellStyle name="Normal 321 2 3 2 2" xfId="26268" xr:uid="{00000000-0005-0000-0000-00009F650000}"/>
    <cellStyle name="Normal 321 2 3 3" xfId="26269" xr:uid="{00000000-0005-0000-0000-0000A0650000}"/>
    <cellStyle name="Normal 321 2 4" xfId="26270" xr:uid="{00000000-0005-0000-0000-0000A1650000}"/>
    <cellStyle name="Normal 321 2 4 2" xfId="26271" xr:uid="{00000000-0005-0000-0000-0000A2650000}"/>
    <cellStyle name="Normal 321 2 4 2 2" xfId="26272" xr:uid="{00000000-0005-0000-0000-0000A3650000}"/>
    <cellStyle name="Normal 321 2 4 3" xfId="26273" xr:uid="{00000000-0005-0000-0000-0000A4650000}"/>
    <cellStyle name="Normal 321 2 5" xfId="26274" xr:uid="{00000000-0005-0000-0000-0000A5650000}"/>
    <cellStyle name="Normal 321 3" xfId="26275" xr:uid="{00000000-0005-0000-0000-0000A6650000}"/>
    <cellStyle name="Normal 321 3 2" xfId="26276" xr:uid="{00000000-0005-0000-0000-0000A7650000}"/>
    <cellStyle name="Normal 321 3 2 2" xfId="26277" xr:uid="{00000000-0005-0000-0000-0000A8650000}"/>
    <cellStyle name="Normal 321 3 2 2 2" xfId="26278" xr:uid="{00000000-0005-0000-0000-0000A9650000}"/>
    <cellStyle name="Normal 321 3 2 3" xfId="26279" xr:uid="{00000000-0005-0000-0000-0000AA650000}"/>
    <cellStyle name="Normal 321 3 2 3 2" xfId="26280" xr:uid="{00000000-0005-0000-0000-0000AB650000}"/>
    <cellStyle name="Normal 321 3 2 3 2 2" xfId="26281" xr:uid="{00000000-0005-0000-0000-0000AC650000}"/>
    <cellStyle name="Normal 321 3 2 3 3" xfId="26282" xr:uid="{00000000-0005-0000-0000-0000AD650000}"/>
    <cellStyle name="Normal 321 3 2 4" xfId="26283" xr:uid="{00000000-0005-0000-0000-0000AE650000}"/>
    <cellStyle name="Normal 321 3 3" xfId="26284" xr:uid="{00000000-0005-0000-0000-0000AF650000}"/>
    <cellStyle name="Normal 321 3 3 2" xfId="26285" xr:uid="{00000000-0005-0000-0000-0000B0650000}"/>
    <cellStyle name="Normal 321 3 3 2 2" xfId="26286" xr:uid="{00000000-0005-0000-0000-0000B1650000}"/>
    <cellStyle name="Normal 321 3 3 3" xfId="26287" xr:uid="{00000000-0005-0000-0000-0000B2650000}"/>
    <cellStyle name="Normal 321 3 4" xfId="26288" xr:uid="{00000000-0005-0000-0000-0000B3650000}"/>
    <cellStyle name="Normal 321 3 4 2" xfId="26289" xr:uid="{00000000-0005-0000-0000-0000B4650000}"/>
    <cellStyle name="Normal 321 3 4 2 2" xfId="26290" xr:uid="{00000000-0005-0000-0000-0000B5650000}"/>
    <cellStyle name="Normal 321 3 4 3" xfId="26291" xr:uid="{00000000-0005-0000-0000-0000B6650000}"/>
    <cellStyle name="Normal 321 3 5" xfId="26292" xr:uid="{00000000-0005-0000-0000-0000B7650000}"/>
    <cellStyle name="Normal 321 3 5 2" xfId="26293" xr:uid="{00000000-0005-0000-0000-0000B8650000}"/>
    <cellStyle name="Normal 321 3 5 2 2" xfId="26294" xr:uid="{00000000-0005-0000-0000-0000B9650000}"/>
    <cellStyle name="Normal 321 3 5 3" xfId="26295" xr:uid="{00000000-0005-0000-0000-0000BA650000}"/>
    <cellStyle name="Normal 321 3 6" xfId="26296" xr:uid="{00000000-0005-0000-0000-0000BB650000}"/>
    <cellStyle name="Normal 321 4" xfId="26297" xr:uid="{00000000-0005-0000-0000-0000BC650000}"/>
    <cellStyle name="Normal 321 4 2" xfId="26298" xr:uid="{00000000-0005-0000-0000-0000BD650000}"/>
    <cellStyle name="Normal 321 4 2 2" xfId="26299" xr:uid="{00000000-0005-0000-0000-0000BE650000}"/>
    <cellStyle name="Normal 321 4 3" xfId="26300" xr:uid="{00000000-0005-0000-0000-0000BF650000}"/>
    <cellStyle name="Normal 321 5" xfId="26301" xr:uid="{00000000-0005-0000-0000-0000C0650000}"/>
    <cellStyle name="Normal 321 5 2" xfId="26302" xr:uid="{00000000-0005-0000-0000-0000C1650000}"/>
    <cellStyle name="Normal 321 5 2 2" xfId="26303" xr:uid="{00000000-0005-0000-0000-0000C2650000}"/>
    <cellStyle name="Normal 321 5 3" xfId="26304" xr:uid="{00000000-0005-0000-0000-0000C3650000}"/>
    <cellStyle name="Normal 321 6" xfId="26305" xr:uid="{00000000-0005-0000-0000-0000C4650000}"/>
    <cellStyle name="Normal 321 6 2" xfId="26306" xr:uid="{00000000-0005-0000-0000-0000C5650000}"/>
    <cellStyle name="Normal 321 6 2 2" xfId="26307" xr:uid="{00000000-0005-0000-0000-0000C6650000}"/>
    <cellStyle name="Normal 321 6 3" xfId="26308" xr:uid="{00000000-0005-0000-0000-0000C7650000}"/>
    <cellStyle name="Normal 321 7" xfId="26309" xr:uid="{00000000-0005-0000-0000-0000C8650000}"/>
    <cellStyle name="Normal 322" xfId="26310" xr:uid="{00000000-0005-0000-0000-0000C9650000}"/>
    <cellStyle name="Normal 322 2" xfId="26311" xr:uid="{00000000-0005-0000-0000-0000CA650000}"/>
    <cellStyle name="Normal 322 2 2" xfId="26312" xr:uid="{00000000-0005-0000-0000-0000CB650000}"/>
    <cellStyle name="Normal 322 2 2 2" xfId="26313" xr:uid="{00000000-0005-0000-0000-0000CC650000}"/>
    <cellStyle name="Normal 322 2 3" xfId="26314" xr:uid="{00000000-0005-0000-0000-0000CD650000}"/>
    <cellStyle name="Normal 322 2 3 2" xfId="26315" xr:uid="{00000000-0005-0000-0000-0000CE650000}"/>
    <cellStyle name="Normal 322 2 3 2 2" xfId="26316" xr:uid="{00000000-0005-0000-0000-0000CF650000}"/>
    <cellStyle name="Normal 322 2 3 3" xfId="26317" xr:uid="{00000000-0005-0000-0000-0000D0650000}"/>
    <cellStyle name="Normal 322 2 4" xfId="26318" xr:uid="{00000000-0005-0000-0000-0000D1650000}"/>
    <cellStyle name="Normal 322 2 4 2" xfId="26319" xr:uid="{00000000-0005-0000-0000-0000D2650000}"/>
    <cellStyle name="Normal 322 2 4 2 2" xfId="26320" xr:uid="{00000000-0005-0000-0000-0000D3650000}"/>
    <cellStyle name="Normal 322 2 4 3" xfId="26321" xr:uid="{00000000-0005-0000-0000-0000D4650000}"/>
    <cellStyle name="Normal 322 2 5" xfId="26322" xr:uid="{00000000-0005-0000-0000-0000D5650000}"/>
    <cellStyle name="Normal 322 3" xfId="26323" xr:uid="{00000000-0005-0000-0000-0000D6650000}"/>
    <cellStyle name="Normal 322 3 2" xfId="26324" xr:uid="{00000000-0005-0000-0000-0000D7650000}"/>
    <cellStyle name="Normal 322 3 2 2" xfId="26325" xr:uid="{00000000-0005-0000-0000-0000D8650000}"/>
    <cellStyle name="Normal 322 3 2 2 2" xfId="26326" xr:uid="{00000000-0005-0000-0000-0000D9650000}"/>
    <cellStyle name="Normal 322 3 2 3" xfId="26327" xr:uid="{00000000-0005-0000-0000-0000DA650000}"/>
    <cellStyle name="Normal 322 3 2 3 2" xfId="26328" xr:uid="{00000000-0005-0000-0000-0000DB650000}"/>
    <cellStyle name="Normal 322 3 2 3 2 2" xfId="26329" xr:uid="{00000000-0005-0000-0000-0000DC650000}"/>
    <cellStyle name="Normal 322 3 2 3 3" xfId="26330" xr:uid="{00000000-0005-0000-0000-0000DD650000}"/>
    <cellStyle name="Normal 322 3 2 4" xfId="26331" xr:uid="{00000000-0005-0000-0000-0000DE650000}"/>
    <cellStyle name="Normal 322 3 3" xfId="26332" xr:uid="{00000000-0005-0000-0000-0000DF650000}"/>
    <cellStyle name="Normal 322 3 3 2" xfId="26333" xr:uid="{00000000-0005-0000-0000-0000E0650000}"/>
    <cellStyle name="Normal 322 3 3 2 2" xfId="26334" xr:uid="{00000000-0005-0000-0000-0000E1650000}"/>
    <cellStyle name="Normal 322 3 3 3" xfId="26335" xr:uid="{00000000-0005-0000-0000-0000E2650000}"/>
    <cellStyle name="Normal 322 3 4" xfId="26336" xr:uid="{00000000-0005-0000-0000-0000E3650000}"/>
    <cellStyle name="Normal 322 3 4 2" xfId="26337" xr:uid="{00000000-0005-0000-0000-0000E4650000}"/>
    <cellStyle name="Normal 322 3 4 2 2" xfId="26338" xr:uid="{00000000-0005-0000-0000-0000E5650000}"/>
    <cellStyle name="Normal 322 3 4 3" xfId="26339" xr:uid="{00000000-0005-0000-0000-0000E6650000}"/>
    <cellStyle name="Normal 322 3 5" xfId="26340" xr:uid="{00000000-0005-0000-0000-0000E7650000}"/>
    <cellStyle name="Normal 322 3 5 2" xfId="26341" xr:uid="{00000000-0005-0000-0000-0000E8650000}"/>
    <cellStyle name="Normal 322 3 5 2 2" xfId="26342" xr:uid="{00000000-0005-0000-0000-0000E9650000}"/>
    <cellStyle name="Normal 322 3 5 3" xfId="26343" xr:uid="{00000000-0005-0000-0000-0000EA650000}"/>
    <cellStyle name="Normal 322 3 6" xfId="26344" xr:uid="{00000000-0005-0000-0000-0000EB650000}"/>
    <cellStyle name="Normal 322 4" xfId="26345" xr:uid="{00000000-0005-0000-0000-0000EC650000}"/>
    <cellStyle name="Normal 322 4 2" xfId="26346" xr:uid="{00000000-0005-0000-0000-0000ED650000}"/>
    <cellStyle name="Normal 322 4 2 2" xfId="26347" xr:uid="{00000000-0005-0000-0000-0000EE650000}"/>
    <cellStyle name="Normal 322 4 3" xfId="26348" xr:uid="{00000000-0005-0000-0000-0000EF650000}"/>
    <cellStyle name="Normal 322 5" xfId="26349" xr:uid="{00000000-0005-0000-0000-0000F0650000}"/>
    <cellStyle name="Normal 322 5 2" xfId="26350" xr:uid="{00000000-0005-0000-0000-0000F1650000}"/>
    <cellStyle name="Normal 322 5 2 2" xfId="26351" xr:uid="{00000000-0005-0000-0000-0000F2650000}"/>
    <cellStyle name="Normal 322 5 3" xfId="26352" xr:uid="{00000000-0005-0000-0000-0000F3650000}"/>
    <cellStyle name="Normal 322 6" xfId="26353" xr:uid="{00000000-0005-0000-0000-0000F4650000}"/>
    <cellStyle name="Normal 322 6 2" xfId="26354" xr:uid="{00000000-0005-0000-0000-0000F5650000}"/>
    <cellStyle name="Normal 322 6 2 2" xfId="26355" xr:uid="{00000000-0005-0000-0000-0000F6650000}"/>
    <cellStyle name="Normal 322 6 3" xfId="26356" xr:uid="{00000000-0005-0000-0000-0000F7650000}"/>
    <cellStyle name="Normal 322 7" xfId="26357" xr:uid="{00000000-0005-0000-0000-0000F8650000}"/>
    <cellStyle name="Normal 323" xfId="26358" xr:uid="{00000000-0005-0000-0000-0000F9650000}"/>
    <cellStyle name="Normal 323 2" xfId="26359" xr:uid="{00000000-0005-0000-0000-0000FA650000}"/>
    <cellStyle name="Normal 323 2 2" xfId="26360" xr:uid="{00000000-0005-0000-0000-0000FB650000}"/>
    <cellStyle name="Normal 323 2 2 2" xfId="26361" xr:uid="{00000000-0005-0000-0000-0000FC650000}"/>
    <cellStyle name="Normal 323 2 3" xfId="26362" xr:uid="{00000000-0005-0000-0000-0000FD650000}"/>
    <cellStyle name="Normal 323 2 3 2" xfId="26363" xr:uid="{00000000-0005-0000-0000-0000FE650000}"/>
    <cellStyle name="Normal 323 2 3 2 2" xfId="26364" xr:uid="{00000000-0005-0000-0000-0000FF650000}"/>
    <cellStyle name="Normal 323 2 3 3" xfId="26365" xr:uid="{00000000-0005-0000-0000-000000660000}"/>
    <cellStyle name="Normal 323 2 4" xfId="26366" xr:uid="{00000000-0005-0000-0000-000001660000}"/>
    <cellStyle name="Normal 323 2 4 2" xfId="26367" xr:uid="{00000000-0005-0000-0000-000002660000}"/>
    <cellStyle name="Normal 323 2 4 2 2" xfId="26368" xr:uid="{00000000-0005-0000-0000-000003660000}"/>
    <cellStyle name="Normal 323 2 4 3" xfId="26369" xr:uid="{00000000-0005-0000-0000-000004660000}"/>
    <cellStyle name="Normal 323 2 5" xfId="26370" xr:uid="{00000000-0005-0000-0000-000005660000}"/>
    <cellStyle name="Normal 323 3" xfId="26371" xr:uid="{00000000-0005-0000-0000-000006660000}"/>
    <cellStyle name="Normal 323 3 2" xfId="26372" xr:uid="{00000000-0005-0000-0000-000007660000}"/>
    <cellStyle name="Normal 323 3 2 2" xfId="26373" xr:uid="{00000000-0005-0000-0000-000008660000}"/>
    <cellStyle name="Normal 323 3 2 2 2" xfId="26374" xr:uid="{00000000-0005-0000-0000-000009660000}"/>
    <cellStyle name="Normal 323 3 2 3" xfId="26375" xr:uid="{00000000-0005-0000-0000-00000A660000}"/>
    <cellStyle name="Normal 323 3 2 3 2" xfId="26376" xr:uid="{00000000-0005-0000-0000-00000B660000}"/>
    <cellStyle name="Normal 323 3 2 3 2 2" xfId="26377" xr:uid="{00000000-0005-0000-0000-00000C660000}"/>
    <cellStyle name="Normal 323 3 2 3 3" xfId="26378" xr:uid="{00000000-0005-0000-0000-00000D660000}"/>
    <cellStyle name="Normal 323 3 2 4" xfId="26379" xr:uid="{00000000-0005-0000-0000-00000E660000}"/>
    <cellStyle name="Normal 323 3 3" xfId="26380" xr:uid="{00000000-0005-0000-0000-00000F660000}"/>
    <cellStyle name="Normal 323 3 3 2" xfId="26381" xr:uid="{00000000-0005-0000-0000-000010660000}"/>
    <cellStyle name="Normal 323 3 3 2 2" xfId="26382" xr:uid="{00000000-0005-0000-0000-000011660000}"/>
    <cellStyle name="Normal 323 3 3 3" xfId="26383" xr:uid="{00000000-0005-0000-0000-000012660000}"/>
    <cellStyle name="Normal 323 3 4" xfId="26384" xr:uid="{00000000-0005-0000-0000-000013660000}"/>
    <cellStyle name="Normal 323 3 4 2" xfId="26385" xr:uid="{00000000-0005-0000-0000-000014660000}"/>
    <cellStyle name="Normal 323 3 4 2 2" xfId="26386" xr:uid="{00000000-0005-0000-0000-000015660000}"/>
    <cellStyle name="Normal 323 3 4 3" xfId="26387" xr:uid="{00000000-0005-0000-0000-000016660000}"/>
    <cellStyle name="Normal 323 3 5" xfId="26388" xr:uid="{00000000-0005-0000-0000-000017660000}"/>
    <cellStyle name="Normal 323 3 5 2" xfId="26389" xr:uid="{00000000-0005-0000-0000-000018660000}"/>
    <cellStyle name="Normal 323 3 5 2 2" xfId="26390" xr:uid="{00000000-0005-0000-0000-000019660000}"/>
    <cellStyle name="Normal 323 3 5 3" xfId="26391" xr:uid="{00000000-0005-0000-0000-00001A660000}"/>
    <cellStyle name="Normal 323 3 6" xfId="26392" xr:uid="{00000000-0005-0000-0000-00001B660000}"/>
    <cellStyle name="Normal 323 4" xfId="26393" xr:uid="{00000000-0005-0000-0000-00001C660000}"/>
    <cellStyle name="Normal 323 4 2" xfId="26394" xr:uid="{00000000-0005-0000-0000-00001D660000}"/>
    <cellStyle name="Normal 323 4 2 2" xfId="26395" xr:uid="{00000000-0005-0000-0000-00001E660000}"/>
    <cellStyle name="Normal 323 4 3" xfId="26396" xr:uid="{00000000-0005-0000-0000-00001F660000}"/>
    <cellStyle name="Normal 323 5" xfId="26397" xr:uid="{00000000-0005-0000-0000-000020660000}"/>
    <cellStyle name="Normal 323 5 2" xfId="26398" xr:uid="{00000000-0005-0000-0000-000021660000}"/>
    <cellStyle name="Normal 323 5 2 2" xfId="26399" xr:uid="{00000000-0005-0000-0000-000022660000}"/>
    <cellStyle name="Normal 323 5 3" xfId="26400" xr:uid="{00000000-0005-0000-0000-000023660000}"/>
    <cellStyle name="Normal 323 6" xfId="26401" xr:uid="{00000000-0005-0000-0000-000024660000}"/>
    <cellStyle name="Normal 323 6 2" xfId="26402" xr:uid="{00000000-0005-0000-0000-000025660000}"/>
    <cellStyle name="Normal 323 6 2 2" xfId="26403" xr:uid="{00000000-0005-0000-0000-000026660000}"/>
    <cellStyle name="Normal 323 6 3" xfId="26404" xr:uid="{00000000-0005-0000-0000-000027660000}"/>
    <cellStyle name="Normal 323 7" xfId="26405" xr:uid="{00000000-0005-0000-0000-000028660000}"/>
    <cellStyle name="Normal 324" xfId="26406" xr:uid="{00000000-0005-0000-0000-000029660000}"/>
    <cellStyle name="Normal 324 2" xfId="26407" xr:uid="{00000000-0005-0000-0000-00002A660000}"/>
    <cellStyle name="Normal 324 2 2" xfId="26408" xr:uid="{00000000-0005-0000-0000-00002B660000}"/>
    <cellStyle name="Normal 324 2 2 2" xfId="26409" xr:uid="{00000000-0005-0000-0000-00002C660000}"/>
    <cellStyle name="Normal 324 2 3" xfId="26410" xr:uid="{00000000-0005-0000-0000-00002D660000}"/>
    <cellStyle name="Normal 324 2 3 2" xfId="26411" xr:uid="{00000000-0005-0000-0000-00002E660000}"/>
    <cellStyle name="Normal 324 2 3 2 2" xfId="26412" xr:uid="{00000000-0005-0000-0000-00002F660000}"/>
    <cellStyle name="Normal 324 2 3 3" xfId="26413" xr:uid="{00000000-0005-0000-0000-000030660000}"/>
    <cellStyle name="Normal 324 2 4" xfId="26414" xr:uid="{00000000-0005-0000-0000-000031660000}"/>
    <cellStyle name="Normal 324 2 4 2" xfId="26415" xr:uid="{00000000-0005-0000-0000-000032660000}"/>
    <cellStyle name="Normal 324 2 4 2 2" xfId="26416" xr:uid="{00000000-0005-0000-0000-000033660000}"/>
    <cellStyle name="Normal 324 2 4 3" xfId="26417" xr:uid="{00000000-0005-0000-0000-000034660000}"/>
    <cellStyle name="Normal 324 2 5" xfId="26418" xr:uid="{00000000-0005-0000-0000-000035660000}"/>
    <cellStyle name="Normal 324 3" xfId="26419" xr:uid="{00000000-0005-0000-0000-000036660000}"/>
    <cellStyle name="Normal 324 3 2" xfId="26420" xr:uid="{00000000-0005-0000-0000-000037660000}"/>
    <cellStyle name="Normal 324 3 2 2" xfId="26421" xr:uid="{00000000-0005-0000-0000-000038660000}"/>
    <cellStyle name="Normal 324 3 2 2 2" xfId="26422" xr:uid="{00000000-0005-0000-0000-000039660000}"/>
    <cellStyle name="Normal 324 3 2 3" xfId="26423" xr:uid="{00000000-0005-0000-0000-00003A660000}"/>
    <cellStyle name="Normal 324 3 2 3 2" xfId="26424" xr:uid="{00000000-0005-0000-0000-00003B660000}"/>
    <cellStyle name="Normal 324 3 2 3 2 2" xfId="26425" xr:uid="{00000000-0005-0000-0000-00003C660000}"/>
    <cellStyle name="Normal 324 3 2 3 3" xfId="26426" xr:uid="{00000000-0005-0000-0000-00003D660000}"/>
    <cellStyle name="Normal 324 3 2 4" xfId="26427" xr:uid="{00000000-0005-0000-0000-00003E660000}"/>
    <cellStyle name="Normal 324 3 3" xfId="26428" xr:uid="{00000000-0005-0000-0000-00003F660000}"/>
    <cellStyle name="Normal 324 3 3 2" xfId="26429" xr:uid="{00000000-0005-0000-0000-000040660000}"/>
    <cellStyle name="Normal 324 3 3 2 2" xfId="26430" xr:uid="{00000000-0005-0000-0000-000041660000}"/>
    <cellStyle name="Normal 324 3 3 3" xfId="26431" xr:uid="{00000000-0005-0000-0000-000042660000}"/>
    <cellStyle name="Normal 324 3 4" xfId="26432" xr:uid="{00000000-0005-0000-0000-000043660000}"/>
    <cellStyle name="Normal 324 3 4 2" xfId="26433" xr:uid="{00000000-0005-0000-0000-000044660000}"/>
    <cellStyle name="Normal 324 3 4 2 2" xfId="26434" xr:uid="{00000000-0005-0000-0000-000045660000}"/>
    <cellStyle name="Normal 324 3 4 3" xfId="26435" xr:uid="{00000000-0005-0000-0000-000046660000}"/>
    <cellStyle name="Normal 324 3 5" xfId="26436" xr:uid="{00000000-0005-0000-0000-000047660000}"/>
    <cellStyle name="Normal 324 3 5 2" xfId="26437" xr:uid="{00000000-0005-0000-0000-000048660000}"/>
    <cellStyle name="Normal 324 3 5 2 2" xfId="26438" xr:uid="{00000000-0005-0000-0000-000049660000}"/>
    <cellStyle name="Normal 324 3 5 3" xfId="26439" xr:uid="{00000000-0005-0000-0000-00004A660000}"/>
    <cellStyle name="Normal 324 3 6" xfId="26440" xr:uid="{00000000-0005-0000-0000-00004B660000}"/>
    <cellStyle name="Normal 324 4" xfId="26441" xr:uid="{00000000-0005-0000-0000-00004C660000}"/>
    <cellStyle name="Normal 324 4 2" xfId="26442" xr:uid="{00000000-0005-0000-0000-00004D660000}"/>
    <cellStyle name="Normal 324 4 2 2" xfId="26443" xr:uid="{00000000-0005-0000-0000-00004E660000}"/>
    <cellStyle name="Normal 324 4 3" xfId="26444" xr:uid="{00000000-0005-0000-0000-00004F660000}"/>
    <cellStyle name="Normal 324 5" xfId="26445" xr:uid="{00000000-0005-0000-0000-000050660000}"/>
    <cellStyle name="Normal 324 5 2" xfId="26446" xr:uid="{00000000-0005-0000-0000-000051660000}"/>
    <cellStyle name="Normal 324 5 2 2" xfId="26447" xr:uid="{00000000-0005-0000-0000-000052660000}"/>
    <cellStyle name="Normal 324 5 3" xfId="26448" xr:uid="{00000000-0005-0000-0000-000053660000}"/>
    <cellStyle name="Normal 324 6" xfId="26449" xr:uid="{00000000-0005-0000-0000-000054660000}"/>
    <cellStyle name="Normal 324 6 2" xfId="26450" xr:uid="{00000000-0005-0000-0000-000055660000}"/>
    <cellStyle name="Normal 324 6 2 2" xfId="26451" xr:uid="{00000000-0005-0000-0000-000056660000}"/>
    <cellStyle name="Normal 324 6 3" xfId="26452" xr:uid="{00000000-0005-0000-0000-000057660000}"/>
    <cellStyle name="Normal 324 7" xfId="26453" xr:uid="{00000000-0005-0000-0000-000058660000}"/>
    <cellStyle name="Normal 325" xfId="26454" xr:uid="{00000000-0005-0000-0000-000059660000}"/>
    <cellStyle name="Normal 325 2" xfId="26455" xr:uid="{00000000-0005-0000-0000-00005A660000}"/>
    <cellStyle name="Normal 325 2 2" xfId="26456" xr:uid="{00000000-0005-0000-0000-00005B660000}"/>
    <cellStyle name="Normal 325 2 2 2" xfId="26457" xr:uid="{00000000-0005-0000-0000-00005C660000}"/>
    <cellStyle name="Normal 325 2 3" xfId="26458" xr:uid="{00000000-0005-0000-0000-00005D660000}"/>
    <cellStyle name="Normal 325 2 3 2" xfId="26459" xr:uid="{00000000-0005-0000-0000-00005E660000}"/>
    <cellStyle name="Normal 325 2 3 2 2" xfId="26460" xr:uid="{00000000-0005-0000-0000-00005F660000}"/>
    <cellStyle name="Normal 325 2 3 3" xfId="26461" xr:uid="{00000000-0005-0000-0000-000060660000}"/>
    <cellStyle name="Normal 325 2 4" xfId="26462" xr:uid="{00000000-0005-0000-0000-000061660000}"/>
    <cellStyle name="Normal 325 2 4 2" xfId="26463" xr:uid="{00000000-0005-0000-0000-000062660000}"/>
    <cellStyle name="Normal 325 2 4 2 2" xfId="26464" xr:uid="{00000000-0005-0000-0000-000063660000}"/>
    <cellStyle name="Normal 325 2 4 3" xfId="26465" xr:uid="{00000000-0005-0000-0000-000064660000}"/>
    <cellStyle name="Normal 325 2 5" xfId="26466" xr:uid="{00000000-0005-0000-0000-000065660000}"/>
    <cellStyle name="Normal 325 3" xfId="26467" xr:uid="{00000000-0005-0000-0000-000066660000}"/>
    <cellStyle name="Normal 325 3 2" xfId="26468" xr:uid="{00000000-0005-0000-0000-000067660000}"/>
    <cellStyle name="Normal 325 3 2 2" xfId="26469" xr:uid="{00000000-0005-0000-0000-000068660000}"/>
    <cellStyle name="Normal 325 3 2 2 2" xfId="26470" xr:uid="{00000000-0005-0000-0000-000069660000}"/>
    <cellStyle name="Normal 325 3 2 3" xfId="26471" xr:uid="{00000000-0005-0000-0000-00006A660000}"/>
    <cellStyle name="Normal 325 3 2 3 2" xfId="26472" xr:uid="{00000000-0005-0000-0000-00006B660000}"/>
    <cellStyle name="Normal 325 3 2 3 2 2" xfId="26473" xr:uid="{00000000-0005-0000-0000-00006C660000}"/>
    <cellStyle name="Normal 325 3 2 3 3" xfId="26474" xr:uid="{00000000-0005-0000-0000-00006D660000}"/>
    <cellStyle name="Normal 325 3 2 4" xfId="26475" xr:uid="{00000000-0005-0000-0000-00006E660000}"/>
    <cellStyle name="Normal 325 3 3" xfId="26476" xr:uid="{00000000-0005-0000-0000-00006F660000}"/>
    <cellStyle name="Normal 325 3 3 2" xfId="26477" xr:uid="{00000000-0005-0000-0000-000070660000}"/>
    <cellStyle name="Normal 325 3 3 2 2" xfId="26478" xr:uid="{00000000-0005-0000-0000-000071660000}"/>
    <cellStyle name="Normal 325 3 3 3" xfId="26479" xr:uid="{00000000-0005-0000-0000-000072660000}"/>
    <cellStyle name="Normal 325 3 4" xfId="26480" xr:uid="{00000000-0005-0000-0000-000073660000}"/>
    <cellStyle name="Normal 325 3 4 2" xfId="26481" xr:uid="{00000000-0005-0000-0000-000074660000}"/>
    <cellStyle name="Normal 325 3 4 2 2" xfId="26482" xr:uid="{00000000-0005-0000-0000-000075660000}"/>
    <cellStyle name="Normal 325 3 4 3" xfId="26483" xr:uid="{00000000-0005-0000-0000-000076660000}"/>
    <cellStyle name="Normal 325 3 5" xfId="26484" xr:uid="{00000000-0005-0000-0000-000077660000}"/>
    <cellStyle name="Normal 325 3 5 2" xfId="26485" xr:uid="{00000000-0005-0000-0000-000078660000}"/>
    <cellStyle name="Normal 325 3 5 2 2" xfId="26486" xr:uid="{00000000-0005-0000-0000-000079660000}"/>
    <cellStyle name="Normal 325 3 5 3" xfId="26487" xr:uid="{00000000-0005-0000-0000-00007A660000}"/>
    <cellStyle name="Normal 325 3 6" xfId="26488" xr:uid="{00000000-0005-0000-0000-00007B660000}"/>
    <cellStyle name="Normal 325 4" xfId="26489" xr:uid="{00000000-0005-0000-0000-00007C660000}"/>
    <cellStyle name="Normal 325 4 2" xfId="26490" xr:uid="{00000000-0005-0000-0000-00007D660000}"/>
    <cellStyle name="Normal 325 4 2 2" xfId="26491" xr:uid="{00000000-0005-0000-0000-00007E660000}"/>
    <cellStyle name="Normal 325 4 3" xfId="26492" xr:uid="{00000000-0005-0000-0000-00007F660000}"/>
    <cellStyle name="Normal 325 5" xfId="26493" xr:uid="{00000000-0005-0000-0000-000080660000}"/>
    <cellStyle name="Normal 325 5 2" xfId="26494" xr:uid="{00000000-0005-0000-0000-000081660000}"/>
    <cellStyle name="Normal 325 5 2 2" xfId="26495" xr:uid="{00000000-0005-0000-0000-000082660000}"/>
    <cellStyle name="Normal 325 5 3" xfId="26496" xr:uid="{00000000-0005-0000-0000-000083660000}"/>
    <cellStyle name="Normal 325 6" xfId="26497" xr:uid="{00000000-0005-0000-0000-000084660000}"/>
    <cellStyle name="Normal 325 6 2" xfId="26498" xr:uid="{00000000-0005-0000-0000-000085660000}"/>
    <cellStyle name="Normal 325 6 2 2" xfId="26499" xr:uid="{00000000-0005-0000-0000-000086660000}"/>
    <cellStyle name="Normal 325 6 3" xfId="26500" xr:uid="{00000000-0005-0000-0000-000087660000}"/>
    <cellStyle name="Normal 325 7" xfId="26501" xr:uid="{00000000-0005-0000-0000-000088660000}"/>
    <cellStyle name="Normal 326" xfId="26502" xr:uid="{00000000-0005-0000-0000-000089660000}"/>
    <cellStyle name="Normal 326 2" xfId="26503" xr:uid="{00000000-0005-0000-0000-00008A660000}"/>
    <cellStyle name="Normal 326 2 2" xfId="26504" xr:uid="{00000000-0005-0000-0000-00008B660000}"/>
    <cellStyle name="Normal 326 2 2 2" xfId="26505" xr:uid="{00000000-0005-0000-0000-00008C660000}"/>
    <cellStyle name="Normal 326 2 3" xfId="26506" xr:uid="{00000000-0005-0000-0000-00008D660000}"/>
    <cellStyle name="Normal 326 2 3 2" xfId="26507" xr:uid="{00000000-0005-0000-0000-00008E660000}"/>
    <cellStyle name="Normal 326 2 3 2 2" xfId="26508" xr:uid="{00000000-0005-0000-0000-00008F660000}"/>
    <cellStyle name="Normal 326 2 3 3" xfId="26509" xr:uid="{00000000-0005-0000-0000-000090660000}"/>
    <cellStyle name="Normal 326 2 4" xfId="26510" xr:uid="{00000000-0005-0000-0000-000091660000}"/>
    <cellStyle name="Normal 326 2 4 2" xfId="26511" xr:uid="{00000000-0005-0000-0000-000092660000}"/>
    <cellStyle name="Normal 326 2 4 2 2" xfId="26512" xr:uid="{00000000-0005-0000-0000-000093660000}"/>
    <cellStyle name="Normal 326 2 4 3" xfId="26513" xr:uid="{00000000-0005-0000-0000-000094660000}"/>
    <cellStyle name="Normal 326 2 5" xfId="26514" xr:uid="{00000000-0005-0000-0000-000095660000}"/>
    <cellStyle name="Normal 326 3" xfId="26515" xr:uid="{00000000-0005-0000-0000-000096660000}"/>
    <cellStyle name="Normal 326 3 2" xfId="26516" xr:uid="{00000000-0005-0000-0000-000097660000}"/>
    <cellStyle name="Normal 326 3 2 2" xfId="26517" xr:uid="{00000000-0005-0000-0000-000098660000}"/>
    <cellStyle name="Normal 326 3 2 2 2" xfId="26518" xr:uid="{00000000-0005-0000-0000-000099660000}"/>
    <cellStyle name="Normal 326 3 2 3" xfId="26519" xr:uid="{00000000-0005-0000-0000-00009A660000}"/>
    <cellStyle name="Normal 326 3 2 3 2" xfId="26520" xr:uid="{00000000-0005-0000-0000-00009B660000}"/>
    <cellStyle name="Normal 326 3 2 3 2 2" xfId="26521" xr:uid="{00000000-0005-0000-0000-00009C660000}"/>
    <cellStyle name="Normal 326 3 2 3 3" xfId="26522" xr:uid="{00000000-0005-0000-0000-00009D660000}"/>
    <cellStyle name="Normal 326 3 2 4" xfId="26523" xr:uid="{00000000-0005-0000-0000-00009E660000}"/>
    <cellStyle name="Normal 326 3 3" xfId="26524" xr:uid="{00000000-0005-0000-0000-00009F660000}"/>
    <cellStyle name="Normal 326 3 3 2" xfId="26525" xr:uid="{00000000-0005-0000-0000-0000A0660000}"/>
    <cellStyle name="Normal 326 3 3 2 2" xfId="26526" xr:uid="{00000000-0005-0000-0000-0000A1660000}"/>
    <cellStyle name="Normal 326 3 3 3" xfId="26527" xr:uid="{00000000-0005-0000-0000-0000A2660000}"/>
    <cellStyle name="Normal 326 3 4" xfId="26528" xr:uid="{00000000-0005-0000-0000-0000A3660000}"/>
    <cellStyle name="Normal 326 3 4 2" xfId="26529" xr:uid="{00000000-0005-0000-0000-0000A4660000}"/>
    <cellStyle name="Normal 326 3 4 2 2" xfId="26530" xr:uid="{00000000-0005-0000-0000-0000A5660000}"/>
    <cellStyle name="Normal 326 3 4 3" xfId="26531" xr:uid="{00000000-0005-0000-0000-0000A6660000}"/>
    <cellStyle name="Normal 326 3 5" xfId="26532" xr:uid="{00000000-0005-0000-0000-0000A7660000}"/>
    <cellStyle name="Normal 326 3 5 2" xfId="26533" xr:uid="{00000000-0005-0000-0000-0000A8660000}"/>
    <cellStyle name="Normal 326 3 5 2 2" xfId="26534" xr:uid="{00000000-0005-0000-0000-0000A9660000}"/>
    <cellStyle name="Normal 326 3 5 3" xfId="26535" xr:uid="{00000000-0005-0000-0000-0000AA660000}"/>
    <cellStyle name="Normal 326 3 6" xfId="26536" xr:uid="{00000000-0005-0000-0000-0000AB660000}"/>
    <cellStyle name="Normal 326 4" xfId="26537" xr:uid="{00000000-0005-0000-0000-0000AC660000}"/>
    <cellStyle name="Normal 326 4 2" xfId="26538" xr:uid="{00000000-0005-0000-0000-0000AD660000}"/>
    <cellStyle name="Normal 326 4 2 2" xfId="26539" xr:uid="{00000000-0005-0000-0000-0000AE660000}"/>
    <cellStyle name="Normal 326 4 3" xfId="26540" xr:uid="{00000000-0005-0000-0000-0000AF660000}"/>
    <cellStyle name="Normal 326 5" xfId="26541" xr:uid="{00000000-0005-0000-0000-0000B0660000}"/>
    <cellStyle name="Normal 326 5 2" xfId="26542" xr:uid="{00000000-0005-0000-0000-0000B1660000}"/>
    <cellStyle name="Normal 326 5 2 2" xfId="26543" xr:uid="{00000000-0005-0000-0000-0000B2660000}"/>
    <cellStyle name="Normal 326 5 3" xfId="26544" xr:uid="{00000000-0005-0000-0000-0000B3660000}"/>
    <cellStyle name="Normal 326 6" xfId="26545" xr:uid="{00000000-0005-0000-0000-0000B4660000}"/>
    <cellStyle name="Normal 326 6 2" xfId="26546" xr:uid="{00000000-0005-0000-0000-0000B5660000}"/>
    <cellStyle name="Normal 326 6 2 2" xfId="26547" xr:uid="{00000000-0005-0000-0000-0000B6660000}"/>
    <cellStyle name="Normal 326 6 3" xfId="26548" xr:uid="{00000000-0005-0000-0000-0000B7660000}"/>
    <cellStyle name="Normal 326 7" xfId="26549" xr:uid="{00000000-0005-0000-0000-0000B8660000}"/>
    <cellStyle name="Normal 327" xfId="26550" xr:uid="{00000000-0005-0000-0000-0000B9660000}"/>
    <cellStyle name="Normal 327 2" xfId="26551" xr:uid="{00000000-0005-0000-0000-0000BA660000}"/>
    <cellStyle name="Normal 327 2 2" xfId="26552" xr:uid="{00000000-0005-0000-0000-0000BB660000}"/>
    <cellStyle name="Normal 327 2 2 2" xfId="26553" xr:uid="{00000000-0005-0000-0000-0000BC660000}"/>
    <cellStyle name="Normal 327 2 3" xfId="26554" xr:uid="{00000000-0005-0000-0000-0000BD660000}"/>
    <cellStyle name="Normal 327 2 3 2" xfId="26555" xr:uid="{00000000-0005-0000-0000-0000BE660000}"/>
    <cellStyle name="Normal 327 2 3 2 2" xfId="26556" xr:uid="{00000000-0005-0000-0000-0000BF660000}"/>
    <cellStyle name="Normal 327 2 3 3" xfId="26557" xr:uid="{00000000-0005-0000-0000-0000C0660000}"/>
    <cellStyle name="Normal 327 2 4" xfId="26558" xr:uid="{00000000-0005-0000-0000-0000C1660000}"/>
    <cellStyle name="Normal 327 2 4 2" xfId="26559" xr:uid="{00000000-0005-0000-0000-0000C2660000}"/>
    <cellStyle name="Normal 327 2 4 2 2" xfId="26560" xr:uid="{00000000-0005-0000-0000-0000C3660000}"/>
    <cellStyle name="Normal 327 2 4 3" xfId="26561" xr:uid="{00000000-0005-0000-0000-0000C4660000}"/>
    <cellStyle name="Normal 327 2 5" xfId="26562" xr:uid="{00000000-0005-0000-0000-0000C5660000}"/>
    <cellStyle name="Normal 327 3" xfId="26563" xr:uid="{00000000-0005-0000-0000-0000C6660000}"/>
    <cellStyle name="Normal 327 3 2" xfId="26564" xr:uid="{00000000-0005-0000-0000-0000C7660000}"/>
    <cellStyle name="Normal 327 3 2 2" xfId="26565" xr:uid="{00000000-0005-0000-0000-0000C8660000}"/>
    <cellStyle name="Normal 327 3 2 2 2" xfId="26566" xr:uid="{00000000-0005-0000-0000-0000C9660000}"/>
    <cellStyle name="Normal 327 3 2 3" xfId="26567" xr:uid="{00000000-0005-0000-0000-0000CA660000}"/>
    <cellStyle name="Normal 327 3 2 3 2" xfId="26568" xr:uid="{00000000-0005-0000-0000-0000CB660000}"/>
    <cellStyle name="Normal 327 3 2 3 2 2" xfId="26569" xr:uid="{00000000-0005-0000-0000-0000CC660000}"/>
    <cellStyle name="Normal 327 3 2 3 3" xfId="26570" xr:uid="{00000000-0005-0000-0000-0000CD660000}"/>
    <cellStyle name="Normal 327 3 2 4" xfId="26571" xr:uid="{00000000-0005-0000-0000-0000CE660000}"/>
    <cellStyle name="Normal 327 3 3" xfId="26572" xr:uid="{00000000-0005-0000-0000-0000CF660000}"/>
    <cellStyle name="Normal 327 3 3 2" xfId="26573" xr:uid="{00000000-0005-0000-0000-0000D0660000}"/>
    <cellStyle name="Normal 327 3 3 2 2" xfId="26574" xr:uid="{00000000-0005-0000-0000-0000D1660000}"/>
    <cellStyle name="Normal 327 3 3 3" xfId="26575" xr:uid="{00000000-0005-0000-0000-0000D2660000}"/>
    <cellStyle name="Normal 327 3 4" xfId="26576" xr:uid="{00000000-0005-0000-0000-0000D3660000}"/>
    <cellStyle name="Normal 327 3 4 2" xfId="26577" xr:uid="{00000000-0005-0000-0000-0000D4660000}"/>
    <cellStyle name="Normal 327 3 4 2 2" xfId="26578" xr:uid="{00000000-0005-0000-0000-0000D5660000}"/>
    <cellStyle name="Normal 327 3 4 3" xfId="26579" xr:uid="{00000000-0005-0000-0000-0000D6660000}"/>
    <cellStyle name="Normal 327 3 5" xfId="26580" xr:uid="{00000000-0005-0000-0000-0000D7660000}"/>
    <cellStyle name="Normal 327 3 5 2" xfId="26581" xr:uid="{00000000-0005-0000-0000-0000D8660000}"/>
    <cellStyle name="Normal 327 3 5 2 2" xfId="26582" xr:uid="{00000000-0005-0000-0000-0000D9660000}"/>
    <cellStyle name="Normal 327 3 5 3" xfId="26583" xr:uid="{00000000-0005-0000-0000-0000DA660000}"/>
    <cellStyle name="Normal 327 3 6" xfId="26584" xr:uid="{00000000-0005-0000-0000-0000DB660000}"/>
    <cellStyle name="Normal 327 4" xfId="26585" xr:uid="{00000000-0005-0000-0000-0000DC660000}"/>
    <cellStyle name="Normal 327 4 2" xfId="26586" xr:uid="{00000000-0005-0000-0000-0000DD660000}"/>
    <cellStyle name="Normal 327 4 2 2" xfId="26587" xr:uid="{00000000-0005-0000-0000-0000DE660000}"/>
    <cellStyle name="Normal 327 4 3" xfId="26588" xr:uid="{00000000-0005-0000-0000-0000DF660000}"/>
    <cellStyle name="Normal 327 5" xfId="26589" xr:uid="{00000000-0005-0000-0000-0000E0660000}"/>
    <cellStyle name="Normal 327 5 2" xfId="26590" xr:uid="{00000000-0005-0000-0000-0000E1660000}"/>
    <cellStyle name="Normal 327 5 2 2" xfId="26591" xr:uid="{00000000-0005-0000-0000-0000E2660000}"/>
    <cellStyle name="Normal 327 5 3" xfId="26592" xr:uid="{00000000-0005-0000-0000-0000E3660000}"/>
    <cellStyle name="Normal 327 6" xfId="26593" xr:uid="{00000000-0005-0000-0000-0000E4660000}"/>
    <cellStyle name="Normal 327 6 2" xfId="26594" xr:uid="{00000000-0005-0000-0000-0000E5660000}"/>
    <cellStyle name="Normal 327 6 2 2" xfId="26595" xr:uid="{00000000-0005-0000-0000-0000E6660000}"/>
    <cellStyle name="Normal 327 6 3" xfId="26596" xr:uid="{00000000-0005-0000-0000-0000E7660000}"/>
    <cellStyle name="Normal 327 7" xfId="26597" xr:uid="{00000000-0005-0000-0000-0000E8660000}"/>
    <cellStyle name="Normal 328" xfId="26598" xr:uid="{00000000-0005-0000-0000-0000E9660000}"/>
    <cellStyle name="Normal 328 2" xfId="26599" xr:uid="{00000000-0005-0000-0000-0000EA660000}"/>
    <cellStyle name="Normal 328 2 2" xfId="26600" xr:uid="{00000000-0005-0000-0000-0000EB660000}"/>
    <cellStyle name="Normal 328 2 2 2" xfId="26601" xr:uid="{00000000-0005-0000-0000-0000EC660000}"/>
    <cellStyle name="Normal 328 2 3" xfId="26602" xr:uid="{00000000-0005-0000-0000-0000ED660000}"/>
    <cellStyle name="Normal 328 2 3 2" xfId="26603" xr:uid="{00000000-0005-0000-0000-0000EE660000}"/>
    <cellStyle name="Normal 328 2 3 2 2" xfId="26604" xr:uid="{00000000-0005-0000-0000-0000EF660000}"/>
    <cellStyle name="Normal 328 2 3 3" xfId="26605" xr:uid="{00000000-0005-0000-0000-0000F0660000}"/>
    <cellStyle name="Normal 328 2 4" xfId="26606" xr:uid="{00000000-0005-0000-0000-0000F1660000}"/>
    <cellStyle name="Normal 328 2 4 2" xfId="26607" xr:uid="{00000000-0005-0000-0000-0000F2660000}"/>
    <cellStyle name="Normal 328 2 4 2 2" xfId="26608" xr:uid="{00000000-0005-0000-0000-0000F3660000}"/>
    <cellStyle name="Normal 328 2 4 3" xfId="26609" xr:uid="{00000000-0005-0000-0000-0000F4660000}"/>
    <cellStyle name="Normal 328 2 5" xfId="26610" xr:uid="{00000000-0005-0000-0000-0000F5660000}"/>
    <cellStyle name="Normal 328 3" xfId="26611" xr:uid="{00000000-0005-0000-0000-0000F6660000}"/>
    <cellStyle name="Normal 328 3 2" xfId="26612" xr:uid="{00000000-0005-0000-0000-0000F7660000}"/>
    <cellStyle name="Normal 328 3 2 2" xfId="26613" xr:uid="{00000000-0005-0000-0000-0000F8660000}"/>
    <cellStyle name="Normal 328 3 2 2 2" xfId="26614" xr:uid="{00000000-0005-0000-0000-0000F9660000}"/>
    <cellStyle name="Normal 328 3 2 3" xfId="26615" xr:uid="{00000000-0005-0000-0000-0000FA660000}"/>
    <cellStyle name="Normal 328 3 2 3 2" xfId="26616" xr:uid="{00000000-0005-0000-0000-0000FB660000}"/>
    <cellStyle name="Normal 328 3 2 3 2 2" xfId="26617" xr:uid="{00000000-0005-0000-0000-0000FC660000}"/>
    <cellStyle name="Normal 328 3 2 3 3" xfId="26618" xr:uid="{00000000-0005-0000-0000-0000FD660000}"/>
    <cellStyle name="Normal 328 3 2 4" xfId="26619" xr:uid="{00000000-0005-0000-0000-0000FE660000}"/>
    <cellStyle name="Normal 328 3 3" xfId="26620" xr:uid="{00000000-0005-0000-0000-0000FF660000}"/>
    <cellStyle name="Normal 328 3 3 2" xfId="26621" xr:uid="{00000000-0005-0000-0000-000000670000}"/>
    <cellStyle name="Normal 328 3 3 2 2" xfId="26622" xr:uid="{00000000-0005-0000-0000-000001670000}"/>
    <cellStyle name="Normal 328 3 3 3" xfId="26623" xr:uid="{00000000-0005-0000-0000-000002670000}"/>
    <cellStyle name="Normal 328 3 4" xfId="26624" xr:uid="{00000000-0005-0000-0000-000003670000}"/>
    <cellStyle name="Normal 328 3 4 2" xfId="26625" xr:uid="{00000000-0005-0000-0000-000004670000}"/>
    <cellStyle name="Normal 328 3 4 2 2" xfId="26626" xr:uid="{00000000-0005-0000-0000-000005670000}"/>
    <cellStyle name="Normal 328 3 4 3" xfId="26627" xr:uid="{00000000-0005-0000-0000-000006670000}"/>
    <cellStyle name="Normal 328 3 5" xfId="26628" xr:uid="{00000000-0005-0000-0000-000007670000}"/>
    <cellStyle name="Normal 328 3 5 2" xfId="26629" xr:uid="{00000000-0005-0000-0000-000008670000}"/>
    <cellStyle name="Normal 328 3 5 2 2" xfId="26630" xr:uid="{00000000-0005-0000-0000-000009670000}"/>
    <cellStyle name="Normal 328 3 5 3" xfId="26631" xr:uid="{00000000-0005-0000-0000-00000A670000}"/>
    <cellStyle name="Normal 328 3 6" xfId="26632" xr:uid="{00000000-0005-0000-0000-00000B670000}"/>
    <cellStyle name="Normal 328 4" xfId="26633" xr:uid="{00000000-0005-0000-0000-00000C670000}"/>
    <cellStyle name="Normal 328 4 2" xfId="26634" xr:uid="{00000000-0005-0000-0000-00000D670000}"/>
    <cellStyle name="Normal 328 4 2 2" xfId="26635" xr:uid="{00000000-0005-0000-0000-00000E670000}"/>
    <cellStyle name="Normal 328 4 3" xfId="26636" xr:uid="{00000000-0005-0000-0000-00000F670000}"/>
    <cellStyle name="Normal 328 5" xfId="26637" xr:uid="{00000000-0005-0000-0000-000010670000}"/>
    <cellStyle name="Normal 328 5 2" xfId="26638" xr:uid="{00000000-0005-0000-0000-000011670000}"/>
    <cellStyle name="Normal 328 5 2 2" xfId="26639" xr:uid="{00000000-0005-0000-0000-000012670000}"/>
    <cellStyle name="Normal 328 5 3" xfId="26640" xr:uid="{00000000-0005-0000-0000-000013670000}"/>
    <cellStyle name="Normal 328 6" xfId="26641" xr:uid="{00000000-0005-0000-0000-000014670000}"/>
    <cellStyle name="Normal 328 6 2" xfId="26642" xr:uid="{00000000-0005-0000-0000-000015670000}"/>
    <cellStyle name="Normal 328 6 2 2" xfId="26643" xr:uid="{00000000-0005-0000-0000-000016670000}"/>
    <cellStyle name="Normal 328 6 3" xfId="26644" xr:uid="{00000000-0005-0000-0000-000017670000}"/>
    <cellStyle name="Normal 328 7" xfId="26645" xr:uid="{00000000-0005-0000-0000-000018670000}"/>
    <cellStyle name="Normal 329" xfId="26646" xr:uid="{00000000-0005-0000-0000-000019670000}"/>
    <cellStyle name="Normal 329 2" xfId="26647" xr:uid="{00000000-0005-0000-0000-00001A670000}"/>
    <cellStyle name="Normal 329 2 2" xfId="26648" xr:uid="{00000000-0005-0000-0000-00001B670000}"/>
    <cellStyle name="Normal 329 2 2 2" xfId="26649" xr:uid="{00000000-0005-0000-0000-00001C670000}"/>
    <cellStyle name="Normal 329 2 3" xfId="26650" xr:uid="{00000000-0005-0000-0000-00001D670000}"/>
    <cellStyle name="Normal 329 2 3 2" xfId="26651" xr:uid="{00000000-0005-0000-0000-00001E670000}"/>
    <cellStyle name="Normal 329 2 3 2 2" xfId="26652" xr:uid="{00000000-0005-0000-0000-00001F670000}"/>
    <cellStyle name="Normal 329 2 3 3" xfId="26653" xr:uid="{00000000-0005-0000-0000-000020670000}"/>
    <cellStyle name="Normal 329 2 4" xfId="26654" xr:uid="{00000000-0005-0000-0000-000021670000}"/>
    <cellStyle name="Normal 329 2 4 2" xfId="26655" xr:uid="{00000000-0005-0000-0000-000022670000}"/>
    <cellStyle name="Normal 329 2 4 2 2" xfId="26656" xr:uid="{00000000-0005-0000-0000-000023670000}"/>
    <cellStyle name="Normal 329 2 4 3" xfId="26657" xr:uid="{00000000-0005-0000-0000-000024670000}"/>
    <cellStyle name="Normal 329 2 5" xfId="26658" xr:uid="{00000000-0005-0000-0000-000025670000}"/>
    <cellStyle name="Normal 329 3" xfId="26659" xr:uid="{00000000-0005-0000-0000-000026670000}"/>
    <cellStyle name="Normal 329 3 2" xfId="26660" xr:uid="{00000000-0005-0000-0000-000027670000}"/>
    <cellStyle name="Normal 329 3 2 2" xfId="26661" xr:uid="{00000000-0005-0000-0000-000028670000}"/>
    <cellStyle name="Normal 329 3 2 2 2" xfId="26662" xr:uid="{00000000-0005-0000-0000-000029670000}"/>
    <cellStyle name="Normal 329 3 2 3" xfId="26663" xr:uid="{00000000-0005-0000-0000-00002A670000}"/>
    <cellStyle name="Normal 329 3 2 3 2" xfId="26664" xr:uid="{00000000-0005-0000-0000-00002B670000}"/>
    <cellStyle name="Normal 329 3 2 3 2 2" xfId="26665" xr:uid="{00000000-0005-0000-0000-00002C670000}"/>
    <cellStyle name="Normal 329 3 2 3 3" xfId="26666" xr:uid="{00000000-0005-0000-0000-00002D670000}"/>
    <cellStyle name="Normal 329 3 2 4" xfId="26667" xr:uid="{00000000-0005-0000-0000-00002E670000}"/>
    <cellStyle name="Normal 329 3 3" xfId="26668" xr:uid="{00000000-0005-0000-0000-00002F670000}"/>
    <cellStyle name="Normal 329 3 3 2" xfId="26669" xr:uid="{00000000-0005-0000-0000-000030670000}"/>
    <cellStyle name="Normal 329 3 3 2 2" xfId="26670" xr:uid="{00000000-0005-0000-0000-000031670000}"/>
    <cellStyle name="Normal 329 3 3 3" xfId="26671" xr:uid="{00000000-0005-0000-0000-000032670000}"/>
    <cellStyle name="Normal 329 3 4" xfId="26672" xr:uid="{00000000-0005-0000-0000-000033670000}"/>
    <cellStyle name="Normal 329 3 4 2" xfId="26673" xr:uid="{00000000-0005-0000-0000-000034670000}"/>
    <cellStyle name="Normal 329 3 4 2 2" xfId="26674" xr:uid="{00000000-0005-0000-0000-000035670000}"/>
    <cellStyle name="Normal 329 3 4 3" xfId="26675" xr:uid="{00000000-0005-0000-0000-000036670000}"/>
    <cellStyle name="Normal 329 3 5" xfId="26676" xr:uid="{00000000-0005-0000-0000-000037670000}"/>
    <cellStyle name="Normal 329 3 5 2" xfId="26677" xr:uid="{00000000-0005-0000-0000-000038670000}"/>
    <cellStyle name="Normal 329 3 5 2 2" xfId="26678" xr:uid="{00000000-0005-0000-0000-000039670000}"/>
    <cellStyle name="Normal 329 3 5 3" xfId="26679" xr:uid="{00000000-0005-0000-0000-00003A670000}"/>
    <cellStyle name="Normal 329 3 6" xfId="26680" xr:uid="{00000000-0005-0000-0000-00003B670000}"/>
    <cellStyle name="Normal 329 4" xfId="26681" xr:uid="{00000000-0005-0000-0000-00003C670000}"/>
    <cellStyle name="Normal 329 4 2" xfId="26682" xr:uid="{00000000-0005-0000-0000-00003D670000}"/>
    <cellStyle name="Normal 329 4 2 2" xfId="26683" xr:uid="{00000000-0005-0000-0000-00003E670000}"/>
    <cellStyle name="Normal 329 4 3" xfId="26684" xr:uid="{00000000-0005-0000-0000-00003F670000}"/>
    <cellStyle name="Normal 329 5" xfId="26685" xr:uid="{00000000-0005-0000-0000-000040670000}"/>
    <cellStyle name="Normal 329 5 2" xfId="26686" xr:uid="{00000000-0005-0000-0000-000041670000}"/>
    <cellStyle name="Normal 329 5 2 2" xfId="26687" xr:uid="{00000000-0005-0000-0000-000042670000}"/>
    <cellStyle name="Normal 329 5 3" xfId="26688" xr:uid="{00000000-0005-0000-0000-000043670000}"/>
    <cellStyle name="Normal 329 6" xfId="26689" xr:uid="{00000000-0005-0000-0000-000044670000}"/>
    <cellStyle name="Normal 329 6 2" xfId="26690" xr:uid="{00000000-0005-0000-0000-000045670000}"/>
    <cellStyle name="Normal 329 6 2 2" xfId="26691" xr:uid="{00000000-0005-0000-0000-000046670000}"/>
    <cellStyle name="Normal 329 6 3" xfId="26692" xr:uid="{00000000-0005-0000-0000-000047670000}"/>
    <cellStyle name="Normal 329 7" xfId="26693" xr:uid="{00000000-0005-0000-0000-000048670000}"/>
    <cellStyle name="Normal 33" xfId="26694" xr:uid="{00000000-0005-0000-0000-000049670000}"/>
    <cellStyle name="Normal 33 2" xfId="26695" xr:uid="{00000000-0005-0000-0000-00004A670000}"/>
    <cellStyle name="Normal 33 2 2" xfId="26696" xr:uid="{00000000-0005-0000-0000-00004B670000}"/>
    <cellStyle name="Normal 33 2 2 2" xfId="26697" xr:uid="{00000000-0005-0000-0000-00004C670000}"/>
    <cellStyle name="Normal 33 2 2 2 2" xfId="26698" xr:uid="{00000000-0005-0000-0000-00004D670000}"/>
    <cellStyle name="Normal 33 2 2 3" xfId="26699" xr:uid="{00000000-0005-0000-0000-00004E670000}"/>
    <cellStyle name="Normal 33 2 2 3 2" xfId="26700" xr:uid="{00000000-0005-0000-0000-00004F670000}"/>
    <cellStyle name="Normal 33 2 2 3 2 2" xfId="26701" xr:uid="{00000000-0005-0000-0000-000050670000}"/>
    <cellStyle name="Normal 33 2 2 3 3" xfId="26702" xr:uid="{00000000-0005-0000-0000-000051670000}"/>
    <cellStyle name="Normal 33 2 2 4" xfId="26703" xr:uid="{00000000-0005-0000-0000-000052670000}"/>
    <cellStyle name="Normal 33 2 2 4 2" xfId="26704" xr:uid="{00000000-0005-0000-0000-000053670000}"/>
    <cellStyle name="Normal 33 2 2 4 2 2" xfId="26705" xr:uid="{00000000-0005-0000-0000-000054670000}"/>
    <cellStyle name="Normal 33 2 2 4 3" xfId="26706" xr:uid="{00000000-0005-0000-0000-000055670000}"/>
    <cellStyle name="Normal 33 2 2 5" xfId="26707" xr:uid="{00000000-0005-0000-0000-000056670000}"/>
    <cellStyle name="Normal 33 2 3" xfId="26708" xr:uid="{00000000-0005-0000-0000-000057670000}"/>
    <cellStyle name="Normal 33 2 3 2" xfId="26709" xr:uid="{00000000-0005-0000-0000-000058670000}"/>
    <cellStyle name="Normal 33 2 3 2 2" xfId="26710" xr:uid="{00000000-0005-0000-0000-000059670000}"/>
    <cellStyle name="Normal 33 2 3 2 2 2" xfId="26711" xr:uid="{00000000-0005-0000-0000-00005A670000}"/>
    <cellStyle name="Normal 33 2 3 2 3" xfId="26712" xr:uid="{00000000-0005-0000-0000-00005B670000}"/>
    <cellStyle name="Normal 33 2 3 2 3 2" xfId="26713" xr:uid="{00000000-0005-0000-0000-00005C670000}"/>
    <cellStyle name="Normal 33 2 3 2 3 2 2" xfId="26714" xr:uid="{00000000-0005-0000-0000-00005D670000}"/>
    <cellStyle name="Normal 33 2 3 2 3 3" xfId="26715" xr:uid="{00000000-0005-0000-0000-00005E670000}"/>
    <cellStyle name="Normal 33 2 3 2 4" xfId="26716" xr:uid="{00000000-0005-0000-0000-00005F670000}"/>
    <cellStyle name="Normal 33 2 3 3" xfId="26717" xr:uid="{00000000-0005-0000-0000-000060670000}"/>
    <cellStyle name="Normal 33 2 3 3 2" xfId="26718" xr:uid="{00000000-0005-0000-0000-000061670000}"/>
    <cellStyle name="Normal 33 2 3 3 2 2" xfId="26719" xr:uid="{00000000-0005-0000-0000-000062670000}"/>
    <cellStyle name="Normal 33 2 3 3 3" xfId="26720" xr:uid="{00000000-0005-0000-0000-000063670000}"/>
    <cellStyle name="Normal 33 2 3 4" xfId="26721" xr:uid="{00000000-0005-0000-0000-000064670000}"/>
    <cellStyle name="Normal 33 2 3 4 2" xfId="26722" xr:uid="{00000000-0005-0000-0000-000065670000}"/>
    <cellStyle name="Normal 33 2 3 4 2 2" xfId="26723" xr:uid="{00000000-0005-0000-0000-000066670000}"/>
    <cellStyle name="Normal 33 2 3 4 3" xfId="26724" xr:uid="{00000000-0005-0000-0000-000067670000}"/>
    <cellStyle name="Normal 33 2 3 5" xfId="26725" xr:uid="{00000000-0005-0000-0000-000068670000}"/>
    <cellStyle name="Normal 33 2 3 5 2" xfId="26726" xr:uid="{00000000-0005-0000-0000-000069670000}"/>
    <cellStyle name="Normal 33 2 3 5 2 2" xfId="26727" xr:uid="{00000000-0005-0000-0000-00006A670000}"/>
    <cellStyle name="Normal 33 2 3 5 3" xfId="26728" xr:uid="{00000000-0005-0000-0000-00006B670000}"/>
    <cellStyle name="Normal 33 2 3 6" xfId="26729" xr:uid="{00000000-0005-0000-0000-00006C670000}"/>
    <cellStyle name="Normal 33 2 4" xfId="26730" xr:uid="{00000000-0005-0000-0000-00006D670000}"/>
    <cellStyle name="Normal 33 3" xfId="26731" xr:uid="{00000000-0005-0000-0000-00006E670000}"/>
    <cellStyle name="Normal 33 3 2" xfId="26732" xr:uid="{00000000-0005-0000-0000-00006F670000}"/>
    <cellStyle name="Normal 33 3 2 2" xfId="26733" xr:uid="{00000000-0005-0000-0000-000070670000}"/>
    <cellStyle name="Normal 33 3 2 2 2" xfId="26734" xr:uid="{00000000-0005-0000-0000-000071670000}"/>
    <cellStyle name="Normal 33 3 2 3" xfId="26735" xr:uid="{00000000-0005-0000-0000-000072670000}"/>
    <cellStyle name="Normal 33 3 2 3 2" xfId="26736" xr:uid="{00000000-0005-0000-0000-000073670000}"/>
    <cellStyle name="Normal 33 3 2 3 2 2" xfId="26737" xr:uid="{00000000-0005-0000-0000-000074670000}"/>
    <cellStyle name="Normal 33 3 2 3 3" xfId="26738" xr:uid="{00000000-0005-0000-0000-000075670000}"/>
    <cellStyle name="Normal 33 3 2 4" xfId="26739" xr:uid="{00000000-0005-0000-0000-000076670000}"/>
    <cellStyle name="Normal 33 3 2 4 2" xfId="26740" xr:uid="{00000000-0005-0000-0000-000077670000}"/>
    <cellStyle name="Normal 33 3 2 4 2 2" xfId="26741" xr:uid="{00000000-0005-0000-0000-000078670000}"/>
    <cellStyle name="Normal 33 3 2 4 3" xfId="26742" xr:uid="{00000000-0005-0000-0000-000079670000}"/>
    <cellStyle name="Normal 33 3 2 5" xfId="26743" xr:uid="{00000000-0005-0000-0000-00007A670000}"/>
    <cellStyle name="Normal 33 3 3" xfId="26744" xr:uid="{00000000-0005-0000-0000-00007B670000}"/>
    <cellStyle name="Normal 33 3 3 2" xfId="26745" xr:uid="{00000000-0005-0000-0000-00007C670000}"/>
    <cellStyle name="Normal 33 3 3 2 2" xfId="26746" xr:uid="{00000000-0005-0000-0000-00007D670000}"/>
    <cellStyle name="Normal 33 3 3 3" xfId="26747" xr:uid="{00000000-0005-0000-0000-00007E670000}"/>
    <cellStyle name="Normal 33 3 4" xfId="26748" xr:uid="{00000000-0005-0000-0000-00007F670000}"/>
    <cellStyle name="Normal 33 3 4 2" xfId="26749" xr:uid="{00000000-0005-0000-0000-000080670000}"/>
    <cellStyle name="Normal 33 3 4 2 2" xfId="26750" xr:uid="{00000000-0005-0000-0000-000081670000}"/>
    <cellStyle name="Normal 33 3 4 3" xfId="26751" xr:uid="{00000000-0005-0000-0000-000082670000}"/>
    <cellStyle name="Normal 33 3 5" xfId="26752" xr:uid="{00000000-0005-0000-0000-000083670000}"/>
    <cellStyle name="Normal 33 3 5 2" xfId="26753" xr:uid="{00000000-0005-0000-0000-000084670000}"/>
    <cellStyle name="Normal 33 3 5 2 2" xfId="26754" xr:uid="{00000000-0005-0000-0000-000085670000}"/>
    <cellStyle name="Normal 33 3 5 3" xfId="26755" xr:uid="{00000000-0005-0000-0000-000086670000}"/>
    <cellStyle name="Normal 33 3 6" xfId="26756" xr:uid="{00000000-0005-0000-0000-000087670000}"/>
    <cellStyle name="Normal 33 4" xfId="26757" xr:uid="{00000000-0005-0000-0000-000088670000}"/>
    <cellStyle name="Normal 33 4 2" xfId="26758" xr:uid="{00000000-0005-0000-0000-000089670000}"/>
    <cellStyle name="Normal 33 4 2 2" xfId="26759" xr:uid="{00000000-0005-0000-0000-00008A670000}"/>
    <cellStyle name="Normal 33 4 3" xfId="26760" xr:uid="{00000000-0005-0000-0000-00008B670000}"/>
    <cellStyle name="Normal 33 4 3 2" xfId="26761" xr:uid="{00000000-0005-0000-0000-00008C670000}"/>
    <cellStyle name="Normal 33 4 3 2 2" xfId="26762" xr:uid="{00000000-0005-0000-0000-00008D670000}"/>
    <cellStyle name="Normal 33 4 3 3" xfId="26763" xr:uid="{00000000-0005-0000-0000-00008E670000}"/>
    <cellStyle name="Normal 33 4 4" xfId="26764" xr:uid="{00000000-0005-0000-0000-00008F670000}"/>
    <cellStyle name="Normal 33 4 4 2" xfId="26765" xr:uid="{00000000-0005-0000-0000-000090670000}"/>
    <cellStyle name="Normal 33 4 4 2 2" xfId="26766" xr:uid="{00000000-0005-0000-0000-000091670000}"/>
    <cellStyle name="Normal 33 4 4 3" xfId="26767" xr:uid="{00000000-0005-0000-0000-000092670000}"/>
    <cellStyle name="Normal 33 4 5" xfId="26768" xr:uid="{00000000-0005-0000-0000-000093670000}"/>
    <cellStyle name="Normal 33 5" xfId="26769" xr:uid="{00000000-0005-0000-0000-000094670000}"/>
    <cellStyle name="Normal 33 5 2" xfId="26770" xr:uid="{00000000-0005-0000-0000-000095670000}"/>
    <cellStyle name="Normal 33 5 2 2" xfId="26771" xr:uid="{00000000-0005-0000-0000-000096670000}"/>
    <cellStyle name="Normal 33 5 3" xfId="26772" xr:uid="{00000000-0005-0000-0000-000097670000}"/>
    <cellStyle name="Normal 33 6" xfId="26773" xr:uid="{00000000-0005-0000-0000-000098670000}"/>
    <cellStyle name="Normal 330" xfId="26774" xr:uid="{00000000-0005-0000-0000-000099670000}"/>
    <cellStyle name="Normal 330 2" xfId="26775" xr:uid="{00000000-0005-0000-0000-00009A670000}"/>
    <cellStyle name="Normal 330 2 2" xfId="26776" xr:uid="{00000000-0005-0000-0000-00009B670000}"/>
    <cellStyle name="Normal 330 2 2 2" xfId="26777" xr:uid="{00000000-0005-0000-0000-00009C670000}"/>
    <cellStyle name="Normal 330 2 3" xfId="26778" xr:uid="{00000000-0005-0000-0000-00009D670000}"/>
    <cellStyle name="Normal 330 2 3 2" xfId="26779" xr:uid="{00000000-0005-0000-0000-00009E670000}"/>
    <cellStyle name="Normal 330 2 3 2 2" xfId="26780" xr:uid="{00000000-0005-0000-0000-00009F670000}"/>
    <cellStyle name="Normal 330 2 3 3" xfId="26781" xr:uid="{00000000-0005-0000-0000-0000A0670000}"/>
    <cellStyle name="Normal 330 2 4" xfId="26782" xr:uid="{00000000-0005-0000-0000-0000A1670000}"/>
    <cellStyle name="Normal 330 2 4 2" xfId="26783" xr:uid="{00000000-0005-0000-0000-0000A2670000}"/>
    <cellStyle name="Normal 330 2 4 2 2" xfId="26784" xr:uid="{00000000-0005-0000-0000-0000A3670000}"/>
    <cellStyle name="Normal 330 2 4 3" xfId="26785" xr:uid="{00000000-0005-0000-0000-0000A4670000}"/>
    <cellStyle name="Normal 330 2 5" xfId="26786" xr:uid="{00000000-0005-0000-0000-0000A5670000}"/>
    <cellStyle name="Normal 330 3" xfId="26787" xr:uid="{00000000-0005-0000-0000-0000A6670000}"/>
    <cellStyle name="Normal 330 3 2" xfId="26788" xr:uid="{00000000-0005-0000-0000-0000A7670000}"/>
    <cellStyle name="Normal 330 3 2 2" xfId="26789" xr:uid="{00000000-0005-0000-0000-0000A8670000}"/>
    <cellStyle name="Normal 330 3 2 2 2" xfId="26790" xr:uid="{00000000-0005-0000-0000-0000A9670000}"/>
    <cellStyle name="Normal 330 3 2 3" xfId="26791" xr:uid="{00000000-0005-0000-0000-0000AA670000}"/>
    <cellStyle name="Normal 330 3 2 3 2" xfId="26792" xr:uid="{00000000-0005-0000-0000-0000AB670000}"/>
    <cellStyle name="Normal 330 3 2 3 2 2" xfId="26793" xr:uid="{00000000-0005-0000-0000-0000AC670000}"/>
    <cellStyle name="Normal 330 3 2 3 3" xfId="26794" xr:uid="{00000000-0005-0000-0000-0000AD670000}"/>
    <cellStyle name="Normal 330 3 2 4" xfId="26795" xr:uid="{00000000-0005-0000-0000-0000AE670000}"/>
    <cellStyle name="Normal 330 3 3" xfId="26796" xr:uid="{00000000-0005-0000-0000-0000AF670000}"/>
    <cellStyle name="Normal 330 3 3 2" xfId="26797" xr:uid="{00000000-0005-0000-0000-0000B0670000}"/>
    <cellStyle name="Normal 330 3 3 2 2" xfId="26798" xr:uid="{00000000-0005-0000-0000-0000B1670000}"/>
    <cellStyle name="Normal 330 3 3 3" xfId="26799" xr:uid="{00000000-0005-0000-0000-0000B2670000}"/>
    <cellStyle name="Normal 330 3 4" xfId="26800" xr:uid="{00000000-0005-0000-0000-0000B3670000}"/>
    <cellStyle name="Normal 330 3 4 2" xfId="26801" xr:uid="{00000000-0005-0000-0000-0000B4670000}"/>
    <cellStyle name="Normal 330 3 4 2 2" xfId="26802" xr:uid="{00000000-0005-0000-0000-0000B5670000}"/>
    <cellStyle name="Normal 330 3 4 3" xfId="26803" xr:uid="{00000000-0005-0000-0000-0000B6670000}"/>
    <cellStyle name="Normal 330 3 5" xfId="26804" xr:uid="{00000000-0005-0000-0000-0000B7670000}"/>
    <cellStyle name="Normal 330 3 5 2" xfId="26805" xr:uid="{00000000-0005-0000-0000-0000B8670000}"/>
    <cellStyle name="Normal 330 3 5 2 2" xfId="26806" xr:uid="{00000000-0005-0000-0000-0000B9670000}"/>
    <cellStyle name="Normal 330 3 5 3" xfId="26807" xr:uid="{00000000-0005-0000-0000-0000BA670000}"/>
    <cellStyle name="Normal 330 3 6" xfId="26808" xr:uid="{00000000-0005-0000-0000-0000BB670000}"/>
    <cellStyle name="Normal 330 4" xfId="26809" xr:uid="{00000000-0005-0000-0000-0000BC670000}"/>
    <cellStyle name="Normal 330 4 2" xfId="26810" xr:uid="{00000000-0005-0000-0000-0000BD670000}"/>
    <cellStyle name="Normal 330 4 2 2" xfId="26811" xr:uid="{00000000-0005-0000-0000-0000BE670000}"/>
    <cellStyle name="Normal 330 4 3" xfId="26812" xr:uid="{00000000-0005-0000-0000-0000BF670000}"/>
    <cellStyle name="Normal 330 5" xfId="26813" xr:uid="{00000000-0005-0000-0000-0000C0670000}"/>
    <cellStyle name="Normal 330 5 2" xfId="26814" xr:uid="{00000000-0005-0000-0000-0000C1670000}"/>
    <cellStyle name="Normal 330 5 2 2" xfId="26815" xr:uid="{00000000-0005-0000-0000-0000C2670000}"/>
    <cellStyle name="Normal 330 5 3" xfId="26816" xr:uid="{00000000-0005-0000-0000-0000C3670000}"/>
    <cellStyle name="Normal 330 6" xfId="26817" xr:uid="{00000000-0005-0000-0000-0000C4670000}"/>
    <cellStyle name="Normal 330 6 2" xfId="26818" xr:uid="{00000000-0005-0000-0000-0000C5670000}"/>
    <cellStyle name="Normal 330 6 2 2" xfId="26819" xr:uid="{00000000-0005-0000-0000-0000C6670000}"/>
    <cellStyle name="Normal 330 6 3" xfId="26820" xr:uid="{00000000-0005-0000-0000-0000C7670000}"/>
    <cellStyle name="Normal 330 7" xfId="26821" xr:uid="{00000000-0005-0000-0000-0000C8670000}"/>
    <cellStyle name="Normal 331" xfId="26822" xr:uid="{00000000-0005-0000-0000-0000C9670000}"/>
    <cellStyle name="Normal 331 2" xfId="26823" xr:uid="{00000000-0005-0000-0000-0000CA670000}"/>
    <cellStyle name="Normal 331 2 2" xfId="26824" xr:uid="{00000000-0005-0000-0000-0000CB670000}"/>
    <cellStyle name="Normal 331 2 2 2" xfId="26825" xr:uid="{00000000-0005-0000-0000-0000CC670000}"/>
    <cellStyle name="Normal 331 2 3" xfId="26826" xr:uid="{00000000-0005-0000-0000-0000CD670000}"/>
    <cellStyle name="Normal 331 2 3 2" xfId="26827" xr:uid="{00000000-0005-0000-0000-0000CE670000}"/>
    <cellStyle name="Normal 331 2 3 2 2" xfId="26828" xr:uid="{00000000-0005-0000-0000-0000CF670000}"/>
    <cellStyle name="Normal 331 2 3 3" xfId="26829" xr:uid="{00000000-0005-0000-0000-0000D0670000}"/>
    <cellStyle name="Normal 331 2 4" xfId="26830" xr:uid="{00000000-0005-0000-0000-0000D1670000}"/>
    <cellStyle name="Normal 331 2 4 2" xfId="26831" xr:uid="{00000000-0005-0000-0000-0000D2670000}"/>
    <cellStyle name="Normal 331 2 4 2 2" xfId="26832" xr:uid="{00000000-0005-0000-0000-0000D3670000}"/>
    <cellStyle name="Normal 331 2 4 3" xfId="26833" xr:uid="{00000000-0005-0000-0000-0000D4670000}"/>
    <cellStyle name="Normal 331 2 5" xfId="26834" xr:uid="{00000000-0005-0000-0000-0000D5670000}"/>
    <cellStyle name="Normal 331 3" xfId="26835" xr:uid="{00000000-0005-0000-0000-0000D6670000}"/>
    <cellStyle name="Normal 331 3 2" xfId="26836" xr:uid="{00000000-0005-0000-0000-0000D7670000}"/>
    <cellStyle name="Normal 331 3 2 2" xfId="26837" xr:uid="{00000000-0005-0000-0000-0000D8670000}"/>
    <cellStyle name="Normal 331 3 2 2 2" xfId="26838" xr:uid="{00000000-0005-0000-0000-0000D9670000}"/>
    <cellStyle name="Normal 331 3 2 3" xfId="26839" xr:uid="{00000000-0005-0000-0000-0000DA670000}"/>
    <cellStyle name="Normal 331 3 2 3 2" xfId="26840" xr:uid="{00000000-0005-0000-0000-0000DB670000}"/>
    <cellStyle name="Normal 331 3 2 3 2 2" xfId="26841" xr:uid="{00000000-0005-0000-0000-0000DC670000}"/>
    <cellStyle name="Normal 331 3 2 3 3" xfId="26842" xr:uid="{00000000-0005-0000-0000-0000DD670000}"/>
    <cellStyle name="Normal 331 3 2 4" xfId="26843" xr:uid="{00000000-0005-0000-0000-0000DE670000}"/>
    <cellStyle name="Normal 331 3 3" xfId="26844" xr:uid="{00000000-0005-0000-0000-0000DF670000}"/>
    <cellStyle name="Normal 331 3 3 2" xfId="26845" xr:uid="{00000000-0005-0000-0000-0000E0670000}"/>
    <cellStyle name="Normal 331 3 3 2 2" xfId="26846" xr:uid="{00000000-0005-0000-0000-0000E1670000}"/>
    <cellStyle name="Normal 331 3 3 3" xfId="26847" xr:uid="{00000000-0005-0000-0000-0000E2670000}"/>
    <cellStyle name="Normal 331 3 4" xfId="26848" xr:uid="{00000000-0005-0000-0000-0000E3670000}"/>
    <cellStyle name="Normal 331 3 4 2" xfId="26849" xr:uid="{00000000-0005-0000-0000-0000E4670000}"/>
    <cellStyle name="Normal 331 3 4 2 2" xfId="26850" xr:uid="{00000000-0005-0000-0000-0000E5670000}"/>
    <cellStyle name="Normal 331 3 4 3" xfId="26851" xr:uid="{00000000-0005-0000-0000-0000E6670000}"/>
    <cellStyle name="Normal 331 3 5" xfId="26852" xr:uid="{00000000-0005-0000-0000-0000E7670000}"/>
    <cellStyle name="Normal 331 3 5 2" xfId="26853" xr:uid="{00000000-0005-0000-0000-0000E8670000}"/>
    <cellStyle name="Normal 331 3 5 2 2" xfId="26854" xr:uid="{00000000-0005-0000-0000-0000E9670000}"/>
    <cellStyle name="Normal 331 3 5 3" xfId="26855" xr:uid="{00000000-0005-0000-0000-0000EA670000}"/>
    <cellStyle name="Normal 331 3 6" xfId="26856" xr:uid="{00000000-0005-0000-0000-0000EB670000}"/>
    <cellStyle name="Normal 331 4" xfId="26857" xr:uid="{00000000-0005-0000-0000-0000EC670000}"/>
    <cellStyle name="Normal 331 4 2" xfId="26858" xr:uid="{00000000-0005-0000-0000-0000ED670000}"/>
    <cellStyle name="Normal 331 4 2 2" xfId="26859" xr:uid="{00000000-0005-0000-0000-0000EE670000}"/>
    <cellStyle name="Normal 331 4 3" xfId="26860" xr:uid="{00000000-0005-0000-0000-0000EF670000}"/>
    <cellStyle name="Normal 331 5" xfId="26861" xr:uid="{00000000-0005-0000-0000-0000F0670000}"/>
    <cellStyle name="Normal 331 5 2" xfId="26862" xr:uid="{00000000-0005-0000-0000-0000F1670000}"/>
    <cellStyle name="Normal 331 5 2 2" xfId="26863" xr:uid="{00000000-0005-0000-0000-0000F2670000}"/>
    <cellStyle name="Normal 331 5 3" xfId="26864" xr:uid="{00000000-0005-0000-0000-0000F3670000}"/>
    <cellStyle name="Normal 331 6" xfId="26865" xr:uid="{00000000-0005-0000-0000-0000F4670000}"/>
    <cellStyle name="Normal 331 6 2" xfId="26866" xr:uid="{00000000-0005-0000-0000-0000F5670000}"/>
    <cellStyle name="Normal 331 6 2 2" xfId="26867" xr:uid="{00000000-0005-0000-0000-0000F6670000}"/>
    <cellStyle name="Normal 331 6 3" xfId="26868" xr:uid="{00000000-0005-0000-0000-0000F7670000}"/>
    <cellStyle name="Normal 331 7" xfId="26869" xr:uid="{00000000-0005-0000-0000-0000F8670000}"/>
    <cellStyle name="Normal 332" xfId="26870" xr:uid="{00000000-0005-0000-0000-0000F9670000}"/>
    <cellStyle name="Normal 332 2" xfId="26871" xr:uid="{00000000-0005-0000-0000-0000FA670000}"/>
    <cellStyle name="Normal 332 2 2" xfId="26872" xr:uid="{00000000-0005-0000-0000-0000FB670000}"/>
    <cellStyle name="Normal 332 2 2 2" xfId="26873" xr:uid="{00000000-0005-0000-0000-0000FC670000}"/>
    <cellStyle name="Normal 332 2 3" xfId="26874" xr:uid="{00000000-0005-0000-0000-0000FD670000}"/>
    <cellStyle name="Normal 332 2 3 2" xfId="26875" xr:uid="{00000000-0005-0000-0000-0000FE670000}"/>
    <cellStyle name="Normal 332 2 3 2 2" xfId="26876" xr:uid="{00000000-0005-0000-0000-0000FF670000}"/>
    <cellStyle name="Normal 332 2 3 3" xfId="26877" xr:uid="{00000000-0005-0000-0000-000000680000}"/>
    <cellStyle name="Normal 332 2 4" xfId="26878" xr:uid="{00000000-0005-0000-0000-000001680000}"/>
    <cellStyle name="Normal 332 2 4 2" xfId="26879" xr:uid="{00000000-0005-0000-0000-000002680000}"/>
    <cellStyle name="Normal 332 2 4 2 2" xfId="26880" xr:uid="{00000000-0005-0000-0000-000003680000}"/>
    <cellStyle name="Normal 332 2 4 3" xfId="26881" xr:uid="{00000000-0005-0000-0000-000004680000}"/>
    <cellStyle name="Normal 332 2 5" xfId="26882" xr:uid="{00000000-0005-0000-0000-000005680000}"/>
    <cellStyle name="Normal 332 3" xfId="26883" xr:uid="{00000000-0005-0000-0000-000006680000}"/>
    <cellStyle name="Normal 332 3 2" xfId="26884" xr:uid="{00000000-0005-0000-0000-000007680000}"/>
    <cellStyle name="Normal 332 3 2 2" xfId="26885" xr:uid="{00000000-0005-0000-0000-000008680000}"/>
    <cellStyle name="Normal 332 3 2 2 2" xfId="26886" xr:uid="{00000000-0005-0000-0000-000009680000}"/>
    <cellStyle name="Normal 332 3 2 3" xfId="26887" xr:uid="{00000000-0005-0000-0000-00000A680000}"/>
    <cellStyle name="Normal 332 3 2 3 2" xfId="26888" xr:uid="{00000000-0005-0000-0000-00000B680000}"/>
    <cellStyle name="Normal 332 3 2 3 2 2" xfId="26889" xr:uid="{00000000-0005-0000-0000-00000C680000}"/>
    <cellStyle name="Normal 332 3 2 3 3" xfId="26890" xr:uid="{00000000-0005-0000-0000-00000D680000}"/>
    <cellStyle name="Normal 332 3 2 4" xfId="26891" xr:uid="{00000000-0005-0000-0000-00000E680000}"/>
    <cellStyle name="Normal 332 3 3" xfId="26892" xr:uid="{00000000-0005-0000-0000-00000F680000}"/>
    <cellStyle name="Normal 332 3 3 2" xfId="26893" xr:uid="{00000000-0005-0000-0000-000010680000}"/>
    <cellStyle name="Normal 332 3 3 2 2" xfId="26894" xr:uid="{00000000-0005-0000-0000-000011680000}"/>
    <cellStyle name="Normal 332 3 3 3" xfId="26895" xr:uid="{00000000-0005-0000-0000-000012680000}"/>
    <cellStyle name="Normal 332 3 4" xfId="26896" xr:uid="{00000000-0005-0000-0000-000013680000}"/>
    <cellStyle name="Normal 332 3 4 2" xfId="26897" xr:uid="{00000000-0005-0000-0000-000014680000}"/>
    <cellStyle name="Normal 332 3 4 2 2" xfId="26898" xr:uid="{00000000-0005-0000-0000-000015680000}"/>
    <cellStyle name="Normal 332 3 4 3" xfId="26899" xr:uid="{00000000-0005-0000-0000-000016680000}"/>
    <cellStyle name="Normal 332 3 5" xfId="26900" xr:uid="{00000000-0005-0000-0000-000017680000}"/>
    <cellStyle name="Normal 332 3 5 2" xfId="26901" xr:uid="{00000000-0005-0000-0000-000018680000}"/>
    <cellStyle name="Normal 332 3 5 2 2" xfId="26902" xr:uid="{00000000-0005-0000-0000-000019680000}"/>
    <cellStyle name="Normal 332 3 5 3" xfId="26903" xr:uid="{00000000-0005-0000-0000-00001A680000}"/>
    <cellStyle name="Normal 332 3 6" xfId="26904" xr:uid="{00000000-0005-0000-0000-00001B680000}"/>
    <cellStyle name="Normal 332 4" xfId="26905" xr:uid="{00000000-0005-0000-0000-00001C680000}"/>
    <cellStyle name="Normal 332 4 2" xfId="26906" xr:uid="{00000000-0005-0000-0000-00001D680000}"/>
    <cellStyle name="Normal 332 4 2 2" xfId="26907" xr:uid="{00000000-0005-0000-0000-00001E680000}"/>
    <cellStyle name="Normal 332 4 3" xfId="26908" xr:uid="{00000000-0005-0000-0000-00001F680000}"/>
    <cellStyle name="Normal 332 5" xfId="26909" xr:uid="{00000000-0005-0000-0000-000020680000}"/>
    <cellStyle name="Normal 332 5 2" xfId="26910" xr:uid="{00000000-0005-0000-0000-000021680000}"/>
    <cellStyle name="Normal 332 5 2 2" xfId="26911" xr:uid="{00000000-0005-0000-0000-000022680000}"/>
    <cellStyle name="Normal 332 5 3" xfId="26912" xr:uid="{00000000-0005-0000-0000-000023680000}"/>
    <cellStyle name="Normal 332 6" xfId="26913" xr:uid="{00000000-0005-0000-0000-000024680000}"/>
    <cellStyle name="Normal 332 6 2" xfId="26914" xr:uid="{00000000-0005-0000-0000-000025680000}"/>
    <cellStyle name="Normal 332 6 2 2" xfId="26915" xr:uid="{00000000-0005-0000-0000-000026680000}"/>
    <cellStyle name="Normal 332 6 3" xfId="26916" xr:uid="{00000000-0005-0000-0000-000027680000}"/>
    <cellStyle name="Normal 332 7" xfId="26917" xr:uid="{00000000-0005-0000-0000-000028680000}"/>
    <cellStyle name="Normal 333" xfId="26918" xr:uid="{00000000-0005-0000-0000-000029680000}"/>
    <cellStyle name="Normal 333 2" xfId="26919" xr:uid="{00000000-0005-0000-0000-00002A680000}"/>
    <cellStyle name="Normal 333 2 2" xfId="26920" xr:uid="{00000000-0005-0000-0000-00002B680000}"/>
    <cellStyle name="Normal 333 2 2 2" xfId="26921" xr:uid="{00000000-0005-0000-0000-00002C680000}"/>
    <cellStyle name="Normal 333 2 3" xfId="26922" xr:uid="{00000000-0005-0000-0000-00002D680000}"/>
    <cellStyle name="Normal 333 2 3 2" xfId="26923" xr:uid="{00000000-0005-0000-0000-00002E680000}"/>
    <cellStyle name="Normal 333 2 3 2 2" xfId="26924" xr:uid="{00000000-0005-0000-0000-00002F680000}"/>
    <cellStyle name="Normal 333 2 3 3" xfId="26925" xr:uid="{00000000-0005-0000-0000-000030680000}"/>
    <cellStyle name="Normal 333 2 4" xfId="26926" xr:uid="{00000000-0005-0000-0000-000031680000}"/>
    <cellStyle name="Normal 333 2 4 2" xfId="26927" xr:uid="{00000000-0005-0000-0000-000032680000}"/>
    <cellStyle name="Normal 333 2 4 2 2" xfId="26928" xr:uid="{00000000-0005-0000-0000-000033680000}"/>
    <cellStyle name="Normal 333 2 4 3" xfId="26929" xr:uid="{00000000-0005-0000-0000-000034680000}"/>
    <cellStyle name="Normal 333 2 5" xfId="26930" xr:uid="{00000000-0005-0000-0000-000035680000}"/>
    <cellStyle name="Normal 333 3" xfId="26931" xr:uid="{00000000-0005-0000-0000-000036680000}"/>
    <cellStyle name="Normal 333 3 2" xfId="26932" xr:uid="{00000000-0005-0000-0000-000037680000}"/>
    <cellStyle name="Normal 333 3 2 2" xfId="26933" xr:uid="{00000000-0005-0000-0000-000038680000}"/>
    <cellStyle name="Normal 333 3 2 2 2" xfId="26934" xr:uid="{00000000-0005-0000-0000-000039680000}"/>
    <cellStyle name="Normal 333 3 2 3" xfId="26935" xr:uid="{00000000-0005-0000-0000-00003A680000}"/>
    <cellStyle name="Normal 333 3 2 3 2" xfId="26936" xr:uid="{00000000-0005-0000-0000-00003B680000}"/>
    <cellStyle name="Normal 333 3 2 3 2 2" xfId="26937" xr:uid="{00000000-0005-0000-0000-00003C680000}"/>
    <cellStyle name="Normal 333 3 2 3 3" xfId="26938" xr:uid="{00000000-0005-0000-0000-00003D680000}"/>
    <cellStyle name="Normal 333 3 2 4" xfId="26939" xr:uid="{00000000-0005-0000-0000-00003E680000}"/>
    <cellStyle name="Normal 333 3 3" xfId="26940" xr:uid="{00000000-0005-0000-0000-00003F680000}"/>
    <cellStyle name="Normal 333 3 3 2" xfId="26941" xr:uid="{00000000-0005-0000-0000-000040680000}"/>
    <cellStyle name="Normal 333 3 3 2 2" xfId="26942" xr:uid="{00000000-0005-0000-0000-000041680000}"/>
    <cellStyle name="Normal 333 3 3 3" xfId="26943" xr:uid="{00000000-0005-0000-0000-000042680000}"/>
    <cellStyle name="Normal 333 3 4" xfId="26944" xr:uid="{00000000-0005-0000-0000-000043680000}"/>
    <cellStyle name="Normal 333 3 4 2" xfId="26945" xr:uid="{00000000-0005-0000-0000-000044680000}"/>
    <cellStyle name="Normal 333 3 4 2 2" xfId="26946" xr:uid="{00000000-0005-0000-0000-000045680000}"/>
    <cellStyle name="Normal 333 3 4 3" xfId="26947" xr:uid="{00000000-0005-0000-0000-000046680000}"/>
    <cellStyle name="Normal 333 3 5" xfId="26948" xr:uid="{00000000-0005-0000-0000-000047680000}"/>
    <cellStyle name="Normal 333 3 5 2" xfId="26949" xr:uid="{00000000-0005-0000-0000-000048680000}"/>
    <cellStyle name="Normal 333 3 5 2 2" xfId="26950" xr:uid="{00000000-0005-0000-0000-000049680000}"/>
    <cellStyle name="Normal 333 3 5 3" xfId="26951" xr:uid="{00000000-0005-0000-0000-00004A680000}"/>
    <cellStyle name="Normal 333 3 6" xfId="26952" xr:uid="{00000000-0005-0000-0000-00004B680000}"/>
    <cellStyle name="Normal 333 4" xfId="26953" xr:uid="{00000000-0005-0000-0000-00004C680000}"/>
    <cellStyle name="Normal 333 4 2" xfId="26954" xr:uid="{00000000-0005-0000-0000-00004D680000}"/>
    <cellStyle name="Normal 333 4 2 2" xfId="26955" xr:uid="{00000000-0005-0000-0000-00004E680000}"/>
    <cellStyle name="Normal 333 4 3" xfId="26956" xr:uid="{00000000-0005-0000-0000-00004F680000}"/>
    <cellStyle name="Normal 333 5" xfId="26957" xr:uid="{00000000-0005-0000-0000-000050680000}"/>
    <cellStyle name="Normal 333 5 2" xfId="26958" xr:uid="{00000000-0005-0000-0000-000051680000}"/>
    <cellStyle name="Normal 333 5 2 2" xfId="26959" xr:uid="{00000000-0005-0000-0000-000052680000}"/>
    <cellStyle name="Normal 333 5 3" xfId="26960" xr:uid="{00000000-0005-0000-0000-000053680000}"/>
    <cellStyle name="Normal 333 6" xfId="26961" xr:uid="{00000000-0005-0000-0000-000054680000}"/>
    <cellStyle name="Normal 333 6 2" xfId="26962" xr:uid="{00000000-0005-0000-0000-000055680000}"/>
    <cellStyle name="Normal 333 6 2 2" xfId="26963" xr:uid="{00000000-0005-0000-0000-000056680000}"/>
    <cellStyle name="Normal 333 6 3" xfId="26964" xr:uid="{00000000-0005-0000-0000-000057680000}"/>
    <cellStyle name="Normal 333 7" xfId="26965" xr:uid="{00000000-0005-0000-0000-000058680000}"/>
    <cellStyle name="Normal 334" xfId="26966" xr:uid="{00000000-0005-0000-0000-000059680000}"/>
    <cellStyle name="Normal 334 2" xfId="26967" xr:uid="{00000000-0005-0000-0000-00005A680000}"/>
    <cellStyle name="Normal 334 2 2" xfId="26968" xr:uid="{00000000-0005-0000-0000-00005B680000}"/>
    <cellStyle name="Normal 334 2 2 2" xfId="26969" xr:uid="{00000000-0005-0000-0000-00005C680000}"/>
    <cellStyle name="Normal 334 2 3" xfId="26970" xr:uid="{00000000-0005-0000-0000-00005D680000}"/>
    <cellStyle name="Normal 334 2 3 2" xfId="26971" xr:uid="{00000000-0005-0000-0000-00005E680000}"/>
    <cellStyle name="Normal 334 2 3 2 2" xfId="26972" xr:uid="{00000000-0005-0000-0000-00005F680000}"/>
    <cellStyle name="Normal 334 2 3 3" xfId="26973" xr:uid="{00000000-0005-0000-0000-000060680000}"/>
    <cellStyle name="Normal 334 2 4" xfId="26974" xr:uid="{00000000-0005-0000-0000-000061680000}"/>
    <cellStyle name="Normal 334 2 4 2" xfId="26975" xr:uid="{00000000-0005-0000-0000-000062680000}"/>
    <cellStyle name="Normal 334 2 4 2 2" xfId="26976" xr:uid="{00000000-0005-0000-0000-000063680000}"/>
    <cellStyle name="Normal 334 2 4 3" xfId="26977" xr:uid="{00000000-0005-0000-0000-000064680000}"/>
    <cellStyle name="Normal 334 2 5" xfId="26978" xr:uid="{00000000-0005-0000-0000-000065680000}"/>
    <cellStyle name="Normal 334 3" xfId="26979" xr:uid="{00000000-0005-0000-0000-000066680000}"/>
    <cellStyle name="Normal 334 3 2" xfId="26980" xr:uid="{00000000-0005-0000-0000-000067680000}"/>
    <cellStyle name="Normal 334 3 2 2" xfId="26981" xr:uid="{00000000-0005-0000-0000-000068680000}"/>
    <cellStyle name="Normal 334 3 2 2 2" xfId="26982" xr:uid="{00000000-0005-0000-0000-000069680000}"/>
    <cellStyle name="Normal 334 3 2 3" xfId="26983" xr:uid="{00000000-0005-0000-0000-00006A680000}"/>
    <cellStyle name="Normal 334 3 2 3 2" xfId="26984" xr:uid="{00000000-0005-0000-0000-00006B680000}"/>
    <cellStyle name="Normal 334 3 2 3 2 2" xfId="26985" xr:uid="{00000000-0005-0000-0000-00006C680000}"/>
    <cellStyle name="Normal 334 3 2 3 3" xfId="26986" xr:uid="{00000000-0005-0000-0000-00006D680000}"/>
    <cellStyle name="Normal 334 3 2 4" xfId="26987" xr:uid="{00000000-0005-0000-0000-00006E680000}"/>
    <cellStyle name="Normal 334 3 3" xfId="26988" xr:uid="{00000000-0005-0000-0000-00006F680000}"/>
    <cellStyle name="Normal 334 3 3 2" xfId="26989" xr:uid="{00000000-0005-0000-0000-000070680000}"/>
    <cellStyle name="Normal 334 3 3 2 2" xfId="26990" xr:uid="{00000000-0005-0000-0000-000071680000}"/>
    <cellStyle name="Normal 334 3 3 3" xfId="26991" xr:uid="{00000000-0005-0000-0000-000072680000}"/>
    <cellStyle name="Normal 334 3 4" xfId="26992" xr:uid="{00000000-0005-0000-0000-000073680000}"/>
    <cellStyle name="Normal 334 3 4 2" xfId="26993" xr:uid="{00000000-0005-0000-0000-000074680000}"/>
    <cellStyle name="Normal 334 3 4 2 2" xfId="26994" xr:uid="{00000000-0005-0000-0000-000075680000}"/>
    <cellStyle name="Normal 334 3 4 3" xfId="26995" xr:uid="{00000000-0005-0000-0000-000076680000}"/>
    <cellStyle name="Normal 334 3 5" xfId="26996" xr:uid="{00000000-0005-0000-0000-000077680000}"/>
    <cellStyle name="Normal 334 3 5 2" xfId="26997" xr:uid="{00000000-0005-0000-0000-000078680000}"/>
    <cellStyle name="Normal 334 3 5 2 2" xfId="26998" xr:uid="{00000000-0005-0000-0000-000079680000}"/>
    <cellStyle name="Normal 334 3 5 3" xfId="26999" xr:uid="{00000000-0005-0000-0000-00007A680000}"/>
    <cellStyle name="Normal 334 3 6" xfId="27000" xr:uid="{00000000-0005-0000-0000-00007B680000}"/>
    <cellStyle name="Normal 334 4" xfId="27001" xr:uid="{00000000-0005-0000-0000-00007C680000}"/>
    <cellStyle name="Normal 334 4 2" xfId="27002" xr:uid="{00000000-0005-0000-0000-00007D680000}"/>
    <cellStyle name="Normal 334 4 2 2" xfId="27003" xr:uid="{00000000-0005-0000-0000-00007E680000}"/>
    <cellStyle name="Normal 334 4 3" xfId="27004" xr:uid="{00000000-0005-0000-0000-00007F680000}"/>
    <cellStyle name="Normal 334 5" xfId="27005" xr:uid="{00000000-0005-0000-0000-000080680000}"/>
    <cellStyle name="Normal 334 5 2" xfId="27006" xr:uid="{00000000-0005-0000-0000-000081680000}"/>
    <cellStyle name="Normal 334 5 2 2" xfId="27007" xr:uid="{00000000-0005-0000-0000-000082680000}"/>
    <cellStyle name="Normal 334 5 3" xfId="27008" xr:uid="{00000000-0005-0000-0000-000083680000}"/>
    <cellStyle name="Normal 334 6" xfId="27009" xr:uid="{00000000-0005-0000-0000-000084680000}"/>
    <cellStyle name="Normal 334 6 2" xfId="27010" xr:uid="{00000000-0005-0000-0000-000085680000}"/>
    <cellStyle name="Normal 334 6 2 2" xfId="27011" xr:uid="{00000000-0005-0000-0000-000086680000}"/>
    <cellStyle name="Normal 334 6 3" xfId="27012" xr:uid="{00000000-0005-0000-0000-000087680000}"/>
    <cellStyle name="Normal 334 7" xfId="27013" xr:uid="{00000000-0005-0000-0000-000088680000}"/>
    <cellStyle name="Normal 335" xfId="27014" xr:uid="{00000000-0005-0000-0000-000089680000}"/>
    <cellStyle name="Normal 335 2" xfId="27015" xr:uid="{00000000-0005-0000-0000-00008A680000}"/>
    <cellStyle name="Normal 335 2 2" xfId="27016" xr:uid="{00000000-0005-0000-0000-00008B680000}"/>
    <cellStyle name="Normal 335 2 2 2" xfId="27017" xr:uid="{00000000-0005-0000-0000-00008C680000}"/>
    <cellStyle name="Normal 335 2 3" xfId="27018" xr:uid="{00000000-0005-0000-0000-00008D680000}"/>
    <cellStyle name="Normal 335 2 3 2" xfId="27019" xr:uid="{00000000-0005-0000-0000-00008E680000}"/>
    <cellStyle name="Normal 335 2 3 2 2" xfId="27020" xr:uid="{00000000-0005-0000-0000-00008F680000}"/>
    <cellStyle name="Normal 335 2 3 3" xfId="27021" xr:uid="{00000000-0005-0000-0000-000090680000}"/>
    <cellStyle name="Normal 335 2 4" xfId="27022" xr:uid="{00000000-0005-0000-0000-000091680000}"/>
    <cellStyle name="Normal 335 2 4 2" xfId="27023" xr:uid="{00000000-0005-0000-0000-000092680000}"/>
    <cellStyle name="Normal 335 2 4 2 2" xfId="27024" xr:uid="{00000000-0005-0000-0000-000093680000}"/>
    <cellStyle name="Normal 335 2 4 3" xfId="27025" xr:uid="{00000000-0005-0000-0000-000094680000}"/>
    <cellStyle name="Normal 335 2 5" xfId="27026" xr:uid="{00000000-0005-0000-0000-000095680000}"/>
    <cellStyle name="Normal 335 3" xfId="27027" xr:uid="{00000000-0005-0000-0000-000096680000}"/>
    <cellStyle name="Normal 335 3 2" xfId="27028" xr:uid="{00000000-0005-0000-0000-000097680000}"/>
    <cellStyle name="Normal 335 3 2 2" xfId="27029" xr:uid="{00000000-0005-0000-0000-000098680000}"/>
    <cellStyle name="Normal 335 3 2 2 2" xfId="27030" xr:uid="{00000000-0005-0000-0000-000099680000}"/>
    <cellStyle name="Normal 335 3 2 3" xfId="27031" xr:uid="{00000000-0005-0000-0000-00009A680000}"/>
    <cellStyle name="Normal 335 3 2 3 2" xfId="27032" xr:uid="{00000000-0005-0000-0000-00009B680000}"/>
    <cellStyle name="Normal 335 3 2 3 2 2" xfId="27033" xr:uid="{00000000-0005-0000-0000-00009C680000}"/>
    <cellStyle name="Normal 335 3 2 3 3" xfId="27034" xr:uid="{00000000-0005-0000-0000-00009D680000}"/>
    <cellStyle name="Normal 335 3 2 4" xfId="27035" xr:uid="{00000000-0005-0000-0000-00009E680000}"/>
    <cellStyle name="Normal 335 3 3" xfId="27036" xr:uid="{00000000-0005-0000-0000-00009F680000}"/>
    <cellStyle name="Normal 335 3 3 2" xfId="27037" xr:uid="{00000000-0005-0000-0000-0000A0680000}"/>
    <cellStyle name="Normal 335 3 3 2 2" xfId="27038" xr:uid="{00000000-0005-0000-0000-0000A1680000}"/>
    <cellStyle name="Normal 335 3 3 3" xfId="27039" xr:uid="{00000000-0005-0000-0000-0000A2680000}"/>
    <cellStyle name="Normal 335 3 4" xfId="27040" xr:uid="{00000000-0005-0000-0000-0000A3680000}"/>
    <cellStyle name="Normal 335 3 4 2" xfId="27041" xr:uid="{00000000-0005-0000-0000-0000A4680000}"/>
    <cellStyle name="Normal 335 3 4 2 2" xfId="27042" xr:uid="{00000000-0005-0000-0000-0000A5680000}"/>
    <cellStyle name="Normal 335 3 4 3" xfId="27043" xr:uid="{00000000-0005-0000-0000-0000A6680000}"/>
    <cellStyle name="Normal 335 3 5" xfId="27044" xr:uid="{00000000-0005-0000-0000-0000A7680000}"/>
    <cellStyle name="Normal 335 3 5 2" xfId="27045" xr:uid="{00000000-0005-0000-0000-0000A8680000}"/>
    <cellStyle name="Normal 335 3 5 2 2" xfId="27046" xr:uid="{00000000-0005-0000-0000-0000A9680000}"/>
    <cellStyle name="Normal 335 3 5 3" xfId="27047" xr:uid="{00000000-0005-0000-0000-0000AA680000}"/>
    <cellStyle name="Normal 335 3 6" xfId="27048" xr:uid="{00000000-0005-0000-0000-0000AB680000}"/>
    <cellStyle name="Normal 335 4" xfId="27049" xr:uid="{00000000-0005-0000-0000-0000AC680000}"/>
    <cellStyle name="Normal 335 4 2" xfId="27050" xr:uid="{00000000-0005-0000-0000-0000AD680000}"/>
    <cellStyle name="Normal 335 4 2 2" xfId="27051" xr:uid="{00000000-0005-0000-0000-0000AE680000}"/>
    <cellStyle name="Normal 335 4 3" xfId="27052" xr:uid="{00000000-0005-0000-0000-0000AF680000}"/>
    <cellStyle name="Normal 335 5" xfId="27053" xr:uid="{00000000-0005-0000-0000-0000B0680000}"/>
    <cellStyle name="Normal 335 5 2" xfId="27054" xr:uid="{00000000-0005-0000-0000-0000B1680000}"/>
    <cellStyle name="Normal 335 5 2 2" xfId="27055" xr:uid="{00000000-0005-0000-0000-0000B2680000}"/>
    <cellStyle name="Normal 335 5 3" xfId="27056" xr:uid="{00000000-0005-0000-0000-0000B3680000}"/>
    <cellStyle name="Normal 335 6" xfId="27057" xr:uid="{00000000-0005-0000-0000-0000B4680000}"/>
    <cellStyle name="Normal 335 6 2" xfId="27058" xr:uid="{00000000-0005-0000-0000-0000B5680000}"/>
    <cellStyle name="Normal 335 6 2 2" xfId="27059" xr:uid="{00000000-0005-0000-0000-0000B6680000}"/>
    <cellStyle name="Normal 335 6 3" xfId="27060" xr:uid="{00000000-0005-0000-0000-0000B7680000}"/>
    <cellStyle name="Normal 335 7" xfId="27061" xr:uid="{00000000-0005-0000-0000-0000B8680000}"/>
    <cellStyle name="Normal 336" xfId="27062" xr:uid="{00000000-0005-0000-0000-0000B9680000}"/>
    <cellStyle name="Normal 336 2" xfId="27063" xr:uid="{00000000-0005-0000-0000-0000BA680000}"/>
    <cellStyle name="Normal 336 2 2" xfId="27064" xr:uid="{00000000-0005-0000-0000-0000BB680000}"/>
    <cellStyle name="Normal 336 2 2 2" xfId="27065" xr:uid="{00000000-0005-0000-0000-0000BC680000}"/>
    <cellStyle name="Normal 336 2 3" xfId="27066" xr:uid="{00000000-0005-0000-0000-0000BD680000}"/>
    <cellStyle name="Normal 336 2 3 2" xfId="27067" xr:uid="{00000000-0005-0000-0000-0000BE680000}"/>
    <cellStyle name="Normal 336 2 3 2 2" xfId="27068" xr:uid="{00000000-0005-0000-0000-0000BF680000}"/>
    <cellStyle name="Normal 336 2 3 3" xfId="27069" xr:uid="{00000000-0005-0000-0000-0000C0680000}"/>
    <cellStyle name="Normal 336 2 4" xfId="27070" xr:uid="{00000000-0005-0000-0000-0000C1680000}"/>
    <cellStyle name="Normal 336 2 4 2" xfId="27071" xr:uid="{00000000-0005-0000-0000-0000C2680000}"/>
    <cellStyle name="Normal 336 2 4 2 2" xfId="27072" xr:uid="{00000000-0005-0000-0000-0000C3680000}"/>
    <cellStyle name="Normal 336 2 4 3" xfId="27073" xr:uid="{00000000-0005-0000-0000-0000C4680000}"/>
    <cellStyle name="Normal 336 2 5" xfId="27074" xr:uid="{00000000-0005-0000-0000-0000C5680000}"/>
    <cellStyle name="Normal 336 3" xfId="27075" xr:uid="{00000000-0005-0000-0000-0000C6680000}"/>
    <cellStyle name="Normal 336 3 2" xfId="27076" xr:uid="{00000000-0005-0000-0000-0000C7680000}"/>
    <cellStyle name="Normal 336 3 2 2" xfId="27077" xr:uid="{00000000-0005-0000-0000-0000C8680000}"/>
    <cellStyle name="Normal 336 3 2 2 2" xfId="27078" xr:uid="{00000000-0005-0000-0000-0000C9680000}"/>
    <cellStyle name="Normal 336 3 2 3" xfId="27079" xr:uid="{00000000-0005-0000-0000-0000CA680000}"/>
    <cellStyle name="Normal 336 3 2 3 2" xfId="27080" xr:uid="{00000000-0005-0000-0000-0000CB680000}"/>
    <cellStyle name="Normal 336 3 2 3 2 2" xfId="27081" xr:uid="{00000000-0005-0000-0000-0000CC680000}"/>
    <cellStyle name="Normal 336 3 2 3 3" xfId="27082" xr:uid="{00000000-0005-0000-0000-0000CD680000}"/>
    <cellStyle name="Normal 336 3 2 4" xfId="27083" xr:uid="{00000000-0005-0000-0000-0000CE680000}"/>
    <cellStyle name="Normal 336 3 3" xfId="27084" xr:uid="{00000000-0005-0000-0000-0000CF680000}"/>
    <cellStyle name="Normal 336 3 3 2" xfId="27085" xr:uid="{00000000-0005-0000-0000-0000D0680000}"/>
    <cellStyle name="Normal 336 3 3 2 2" xfId="27086" xr:uid="{00000000-0005-0000-0000-0000D1680000}"/>
    <cellStyle name="Normal 336 3 3 3" xfId="27087" xr:uid="{00000000-0005-0000-0000-0000D2680000}"/>
    <cellStyle name="Normal 336 3 4" xfId="27088" xr:uid="{00000000-0005-0000-0000-0000D3680000}"/>
    <cellStyle name="Normal 336 3 4 2" xfId="27089" xr:uid="{00000000-0005-0000-0000-0000D4680000}"/>
    <cellStyle name="Normal 336 3 4 2 2" xfId="27090" xr:uid="{00000000-0005-0000-0000-0000D5680000}"/>
    <cellStyle name="Normal 336 3 4 3" xfId="27091" xr:uid="{00000000-0005-0000-0000-0000D6680000}"/>
    <cellStyle name="Normal 336 3 5" xfId="27092" xr:uid="{00000000-0005-0000-0000-0000D7680000}"/>
    <cellStyle name="Normal 336 3 5 2" xfId="27093" xr:uid="{00000000-0005-0000-0000-0000D8680000}"/>
    <cellStyle name="Normal 336 3 5 2 2" xfId="27094" xr:uid="{00000000-0005-0000-0000-0000D9680000}"/>
    <cellStyle name="Normal 336 3 5 3" xfId="27095" xr:uid="{00000000-0005-0000-0000-0000DA680000}"/>
    <cellStyle name="Normal 336 3 6" xfId="27096" xr:uid="{00000000-0005-0000-0000-0000DB680000}"/>
    <cellStyle name="Normal 336 4" xfId="27097" xr:uid="{00000000-0005-0000-0000-0000DC680000}"/>
    <cellStyle name="Normal 336 4 2" xfId="27098" xr:uid="{00000000-0005-0000-0000-0000DD680000}"/>
    <cellStyle name="Normal 336 4 2 2" xfId="27099" xr:uid="{00000000-0005-0000-0000-0000DE680000}"/>
    <cellStyle name="Normal 336 4 3" xfId="27100" xr:uid="{00000000-0005-0000-0000-0000DF680000}"/>
    <cellStyle name="Normal 336 5" xfId="27101" xr:uid="{00000000-0005-0000-0000-0000E0680000}"/>
    <cellStyle name="Normal 336 5 2" xfId="27102" xr:uid="{00000000-0005-0000-0000-0000E1680000}"/>
    <cellStyle name="Normal 336 5 2 2" xfId="27103" xr:uid="{00000000-0005-0000-0000-0000E2680000}"/>
    <cellStyle name="Normal 336 5 3" xfId="27104" xr:uid="{00000000-0005-0000-0000-0000E3680000}"/>
    <cellStyle name="Normal 336 6" xfId="27105" xr:uid="{00000000-0005-0000-0000-0000E4680000}"/>
    <cellStyle name="Normal 336 6 2" xfId="27106" xr:uid="{00000000-0005-0000-0000-0000E5680000}"/>
    <cellStyle name="Normal 336 6 2 2" xfId="27107" xr:uid="{00000000-0005-0000-0000-0000E6680000}"/>
    <cellStyle name="Normal 336 6 3" xfId="27108" xr:uid="{00000000-0005-0000-0000-0000E7680000}"/>
    <cellStyle name="Normal 336 7" xfId="27109" xr:uid="{00000000-0005-0000-0000-0000E8680000}"/>
    <cellStyle name="Normal 337" xfId="27110" xr:uid="{00000000-0005-0000-0000-0000E9680000}"/>
    <cellStyle name="Normal 337 2" xfId="27111" xr:uid="{00000000-0005-0000-0000-0000EA680000}"/>
    <cellStyle name="Normal 337 2 2" xfId="27112" xr:uid="{00000000-0005-0000-0000-0000EB680000}"/>
    <cellStyle name="Normal 337 2 2 2" xfId="27113" xr:uid="{00000000-0005-0000-0000-0000EC680000}"/>
    <cellStyle name="Normal 337 2 3" xfId="27114" xr:uid="{00000000-0005-0000-0000-0000ED680000}"/>
    <cellStyle name="Normal 337 2 3 2" xfId="27115" xr:uid="{00000000-0005-0000-0000-0000EE680000}"/>
    <cellStyle name="Normal 337 2 3 2 2" xfId="27116" xr:uid="{00000000-0005-0000-0000-0000EF680000}"/>
    <cellStyle name="Normal 337 2 3 3" xfId="27117" xr:uid="{00000000-0005-0000-0000-0000F0680000}"/>
    <cellStyle name="Normal 337 2 4" xfId="27118" xr:uid="{00000000-0005-0000-0000-0000F1680000}"/>
    <cellStyle name="Normal 337 2 4 2" xfId="27119" xr:uid="{00000000-0005-0000-0000-0000F2680000}"/>
    <cellStyle name="Normal 337 2 4 2 2" xfId="27120" xr:uid="{00000000-0005-0000-0000-0000F3680000}"/>
    <cellStyle name="Normal 337 2 4 3" xfId="27121" xr:uid="{00000000-0005-0000-0000-0000F4680000}"/>
    <cellStyle name="Normal 337 2 5" xfId="27122" xr:uid="{00000000-0005-0000-0000-0000F5680000}"/>
    <cellStyle name="Normal 337 3" xfId="27123" xr:uid="{00000000-0005-0000-0000-0000F6680000}"/>
    <cellStyle name="Normal 337 3 2" xfId="27124" xr:uid="{00000000-0005-0000-0000-0000F7680000}"/>
    <cellStyle name="Normal 337 3 2 2" xfId="27125" xr:uid="{00000000-0005-0000-0000-0000F8680000}"/>
    <cellStyle name="Normal 337 3 2 2 2" xfId="27126" xr:uid="{00000000-0005-0000-0000-0000F9680000}"/>
    <cellStyle name="Normal 337 3 2 3" xfId="27127" xr:uid="{00000000-0005-0000-0000-0000FA680000}"/>
    <cellStyle name="Normal 337 3 2 3 2" xfId="27128" xr:uid="{00000000-0005-0000-0000-0000FB680000}"/>
    <cellStyle name="Normal 337 3 2 3 2 2" xfId="27129" xr:uid="{00000000-0005-0000-0000-0000FC680000}"/>
    <cellStyle name="Normal 337 3 2 3 3" xfId="27130" xr:uid="{00000000-0005-0000-0000-0000FD680000}"/>
    <cellStyle name="Normal 337 3 2 4" xfId="27131" xr:uid="{00000000-0005-0000-0000-0000FE680000}"/>
    <cellStyle name="Normal 337 3 3" xfId="27132" xr:uid="{00000000-0005-0000-0000-0000FF680000}"/>
    <cellStyle name="Normal 337 3 3 2" xfId="27133" xr:uid="{00000000-0005-0000-0000-000000690000}"/>
    <cellStyle name="Normal 337 3 3 2 2" xfId="27134" xr:uid="{00000000-0005-0000-0000-000001690000}"/>
    <cellStyle name="Normal 337 3 3 3" xfId="27135" xr:uid="{00000000-0005-0000-0000-000002690000}"/>
    <cellStyle name="Normal 337 3 4" xfId="27136" xr:uid="{00000000-0005-0000-0000-000003690000}"/>
    <cellStyle name="Normal 337 3 4 2" xfId="27137" xr:uid="{00000000-0005-0000-0000-000004690000}"/>
    <cellStyle name="Normal 337 3 4 2 2" xfId="27138" xr:uid="{00000000-0005-0000-0000-000005690000}"/>
    <cellStyle name="Normal 337 3 4 3" xfId="27139" xr:uid="{00000000-0005-0000-0000-000006690000}"/>
    <cellStyle name="Normal 337 3 5" xfId="27140" xr:uid="{00000000-0005-0000-0000-000007690000}"/>
    <cellStyle name="Normal 337 3 5 2" xfId="27141" xr:uid="{00000000-0005-0000-0000-000008690000}"/>
    <cellStyle name="Normal 337 3 5 2 2" xfId="27142" xr:uid="{00000000-0005-0000-0000-000009690000}"/>
    <cellStyle name="Normal 337 3 5 3" xfId="27143" xr:uid="{00000000-0005-0000-0000-00000A690000}"/>
    <cellStyle name="Normal 337 3 6" xfId="27144" xr:uid="{00000000-0005-0000-0000-00000B690000}"/>
    <cellStyle name="Normal 337 4" xfId="27145" xr:uid="{00000000-0005-0000-0000-00000C690000}"/>
    <cellStyle name="Normal 337 4 2" xfId="27146" xr:uid="{00000000-0005-0000-0000-00000D690000}"/>
    <cellStyle name="Normal 337 4 2 2" xfId="27147" xr:uid="{00000000-0005-0000-0000-00000E690000}"/>
    <cellStyle name="Normal 337 4 3" xfId="27148" xr:uid="{00000000-0005-0000-0000-00000F690000}"/>
    <cellStyle name="Normal 337 5" xfId="27149" xr:uid="{00000000-0005-0000-0000-000010690000}"/>
    <cellStyle name="Normal 337 5 2" xfId="27150" xr:uid="{00000000-0005-0000-0000-000011690000}"/>
    <cellStyle name="Normal 337 5 2 2" xfId="27151" xr:uid="{00000000-0005-0000-0000-000012690000}"/>
    <cellStyle name="Normal 337 5 3" xfId="27152" xr:uid="{00000000-0005-0000-0000-000013690000}"/>
    <cellStyle name="Normal 337 6" xfId="27153" xr:uid="{00000000-0005-0000-0000-000014690000}"/>
    <cellStyle name="Normal 337 6 2" xfId="27154" xr:uid="{00000000-0005-0000-0000-000015690000}"/>
    <cellStyle name="Normal 337 6 2 2" xfId="27155" xr:uid="{00000000-0005-0000-0000-000016690000}"/>
    <cellStyle name="Normal 337 6 3" xfId="27156" xr:uid="{00000000-0005-0000-0000-000017690000}"/>
    <cellStyle name="Normal 337 7" xfId="27157" xr:uid="{00000000-0005-0000-0000-000018690000}"/>
    <cellStyle name="Normal 338" xfId="27158" xr:uid="{00000000-0005-0000-0000-000019690000}"/>
    <cellStyle name="Normal 338 2" xfId="27159" xr:uid="{00000000-0005-0000-0000-00001A690000}"/>
    <cellStyle name="Normal 338 2 2" xfId="27160" xr:uid="{00000000-0005-0000-0000-00001B690000}"/>
    <cellStyle name="Normal 338 2 2 2" xfId="27161" xr:uid="{00000000-0005-0000-0000-00001C690000}"/>
    <cellStyle name="Normal 338 2 3" xfId="27162" xr:uid="{00000000-0005-0000-0000-00001D690000}"/>
    <cellStyle name="Normal 338 2 3 2" xfId="27163" xr:uid="{00000000-0005-0000-0000-00001E690000}"/>
    <cellStyle name="Normal 338 2 3 2 2" xfId="27164" xr:uid="{00000000-0005-0000-0000-00001F690000}"/>
    <cellStyle name="Normal 338 2 3 3" xfId="27165" xr:uid="{00000000-0005-0000-0000-000020690000}"/>
    <cellStyle name="Normal 338 2 4" xfId="27166" xr:uid="{00000000-0005-0000-0000-000021690000}"/>
    <cellStyle name="Normal 338 2 4 2" xfId="27167" xr:uid="{00000000-0005-0000-0000-000022690000}"/>
    <cellStyle name="Normal 338 2 4 2 2" xfId="27168" xr:uid="{00000000-0005-0000-0000-000023690000}"/>
    <cellStyle name="Normal 338 2 4 3" xfId="27169" xr:uid="{00000000-0005-0000-0000-000024690000}"/>
    <cellStyle name="Normal 338 2 5" xfId="27170" xr:uid="{00000000-0005-0000-0000-000025690000}"/>
    <cellStyle name="Normal 338 3" xfId="27171" xr:uid="{00000000-0005-0000-0000-000026690000}"/>
    <cellStyle name="Normal 338 3 2" xfId="27172" xr:uid="{00000000-0005-0000-0000-000027690000}"/>
    <cellStyle name="Normal 338 3 2 2" xfId="27173" xr:uid="{00000000-0005-0000-0000-000028690000}"/>
    <cellStyle name="Normal 338 3 2 2 2" xfId="27174" xr:uid="{00000000-0005-0000-0000-000029690000}"/>
    <cellStyle name="Normal 338 3 2 3" xfId="27175" xr:uid="{00000000-0005-0000-0000-00002A690000}"/>
    <cellStyle name="Normal 338 3 2 3 2" xfId="27176" xr:uid="{00000000-0005-0000-0000-00002B690000}"/>
    <cellStyle name="Normal 338 3 2 3 2 2" xfId="27177" xr:uid="{00000000-0005-0000-0000-00002C690000}"/>
    <cellStyle name="Normal 338 3 2 3 3" xfId="27178" xr:uid="{00000000-0005-0000-0000-00002D690000}"/>
    <cellStyle name="Normal 338 3 2 4" xfId="27179" xr:uid="{00000000-0005-0000-0000-00002E690000}"/>
    <cellStyle name="Normal 338 3 3" xfId="27180" xr:uid="{00000000-0005-0000-0000-00002F690000}"/>
    <cellStyle name="Normal 338 3 3 2" xfId="27181" xr:uid="{00000000-0005-0000-0000-000030690000}"/>
    <cellStyle name="Normal 338 3 3 2 2" xfId="27182" xr:uid="{00000000-0005-0000-0000-000031690000}"/>
    <cellStyle name="Normal 338 3 3 3" xfId="27183" xr:uid="{00000000-0005-0000-0000-000032690000}"/>
    <cellStyle name="Normal 338 3 4" xfId="27184" xr:uid="{00000000-0005-0000-0000-000033690000}"/>
    <cellStyle name="Normal 338 3 4 2" xfId="27185" xr:uid="{00000000-0005-0000-0000-000034690000}"/>
    <cellStyle name="Normal 338 3 4 2 2" xfId="27186" xr:uid="{00000000-0005-0000-0000-000035690000}"/>
    <cellStyle name="Normal 338 3 4 3" xfId="27187" xr:uid="{00000000-0005-0000-0000-000036690000}"/>
    <cellStyle name="Normal 338 3 5" xfId="27188" xr:uid="{00000000-0005-0000-0000-000037690000}"/>
    <cellStyle name="Normal 338 3 5 2" xfId="27189" xr:uid="{00000000-0005-0000-0000-000038690000}"/>
    <cellStyle name="Normal 338 3 5 2 2" xfId="27190" xr:uid="{00000000-0005-0000-0000-000039690000}"/>
    <cellStyle name="Normal 338 3 5 3" xfId="27191" xr:uid="{00000000-0005-0000-0000-00003A690000}"/>
    <cellStyle name="Normal 338 3 6" xfId="27192" xr:uid="{00000000-0005-0000-0000-00003B690000}"/>
    <cellStyle name="Normal 338 4" xfId="27193" xr:uid="{00000000-0005-0000-0000-00003C690000}"/>
    <cellStyle name="Normal 338 4 2" xfId="27194" xr:uid="{00000000-0005-0000-0000-00003D690000}"/>
    <cellStyle name="Normal 338 4 2 2" xfId="27195" xr:uid="{00000000-0005-0000-0000-00003E690000}"/>
    <cellStyle name="Normal 338 4 3" xfId="27196" xr:uid="{00000000-0005-0000-0000-00003F690000}"/>
    <cellStyle name="Normal 338 5" xfId="27197" xr:uid="{00000000-0005-0000-0000-000040690000}"/>
    <cellStyle name="Normal 338 5 2" xfId="27198" xr:uid="{00000000-0005-0000-0000-000041690000}"/>
    <cellStyle name="Normal 338 5 2 2" xfId="27199" xr:uid="{00000000-0005-0000-0000-000042690000}"/>
    <cellStyle name="Normal 338 5 3" xfId="27200" xr:uid="{00000000-0005-0000-0000-000043690000}"/>
    <cellStyle name="Normal 338 6" xfId="27201" xr:uid="{00000000-0005-0000-0000-000044690000}"/>
    <cellStyle name="Normal 338 6 2" xfId="27202" xr:uid="{00000000-0005-0000-0000-000045690000}"/>
    <cellStyle name="Normal 338 6 2 2" xfId="27203" xr:uid="{00000000-0005-0000-0000-000046690000}"/>
    <cellStyle name="Normal 338 6 3" xfId="27204" xr:uid="{00000000-0005-0000-0000-000047690000}"/>
    <cellStyle name="Normal 338 7" xfId="27205" xr:uid="{00000000-0005-0000-0000-000048690000}"/>
    <cellStyle name="Normal 339" xfId="27206" xr:uid="{00000000-0005-0000-0000-000049690000}"/>
    <cellStyle name="Normal 339 2" xfId="27207" xr:uid="{00000000-0005-0000-0000-00004A690000}"/>
    <cellStyle name="Normal 339 2 2" xfId="27208" xr:uid="{00000000-0005-0000-0000-00004B690000}"/>
    <cellStyle name="Normal 339 2 2 2" xfId="27209" xr:uid="{00000000-0005-0000-0000-00004C690000}"/>
    <cellStyle name="Normal 339 2 3" xfId="27210" xr:uid="{00000000-0005-0000-0000-00004D690000}"/>
    <cellStyle name="Normal 339 2 3 2" xfId="27211" xr:uid="{00000000-0005-0000-0000-00004E690000}"/>
    <cellStyle name="Normal 339 2 3 2 2" xfId="27212" xr:uid="{00000000-0005-0000-0000-00004F690000}"/>
    <cellStyle name="Normal 339 2 3 3" xfId="27213" xr:uid="{00000000-0005-0000-0000-000050690000}"/>
    <cellStyle name="Normal 339 2 4" xfId="27214" xr:uid="{00000000-0005-0000-0000-000051690000}"/>
    <cellStyle name="Normal 339 2 4 2" xfId="27215" xr:uid="{00000000-0005-0000-0000-000052690000}"/>
    <cellStyle name="Normal 339 2 4 2 2" xfId="27216" xr:uid="{00000000-0005-0000-0000-000053690000}"/>
    <cellStyle name="Normal 339 2 4 3" xfId="27217" xr:uid="{00000000-0005-0000-0000-000054690000}"/>
    <cellStyle name="Normal 339 2 5" xfId="27218" xr:uid="{00000000-0005-0000-0000-000055690000}"/>
    <cellStyle name="Normal 339 3" xfId="27219" xr:uid="{00000000-0005-0000-0000-000056690000}"/>
    <cellStyle name="Normal 339 3 2" xfId="27220" xr:uid="{00000000-0005-0000-0000-000057690000}"/>
    <cellStyle name="Normal 339 3 2 2" xfId="27221" xr:uid="{00000000-0005-0000-0000-000058690000}"/>
    <cellStyle name="Normal 339 3 2 2 2" xfId="27222" xr:uid="{00000000-0005-0000-0000-000059690000}"/>
    <cellStyle name="Normal 339 3 2 3" xfId="27223" xr:uid="{00000000-0005-0000-0000-00005A690000}"/>
    <cellStyle name="Normal 339 3 2 3 2" xfId="27224" xr:uid="{00000000-0005-0000-0000-00005B690000}"/>
    <cellStyle name="Normal 339 3 2 3 2 2" xfId="27225" xr:uid="{00000000-0005-0000-0000-00005C690000}"/>
    <cellStyle name="Normal 339 3 2 3 3" xfId="27226" xr:uid="{00000000-0005-0000-0000-00005D690000}"/>
    <cellStyle name="Normal 339 3 2 4" xfId="27227" xr:uid="{00000000-0005-0000-0000-00005E690000}"/>
    <cellStyle name="Normal 339 3 3" xfId="27228" xr:uid="{00000000-0005-0000-0000-00005F690000}"/>
    <cellStyle name="Normal 339 3 3 2" xfId="27229" xr:uid="{00000000-0005-0000-0000-000060690000}"/>
    <cellStyle name="Normal 339 3 3 2 2" xfId="27230" xr:uid="{00000000-0005-0000-0000-000061690000}"/>
    <cellStyle name="Normal 339 3 3 3" xfId="27231" xr:uid="{00000000-0005-0000-0000-000062690000}"/>
    <cellStyle name="Normal 339 3 4" xfId="27232" xr:uid="{00000000-0005-0000-0000-000063690000}"/>
    <cellStyle name="Normal 339 3 4 2" xfId="27233" xr:uid="{00000000-0005-0000-0000-000064690000}"/>
    <cellStyle name="Normal 339 3 4 2 2" xfId="27234" xr:uid="{00000000-0005-0000-0000-000065690000}"/>
    <cellStyle name="Normal 339 3 4 3" xfId="27235" xr:uid="{00000000-0005-0000-0000-000066690000}"/>
    <cellStyle name="Normal 339 3 5" xfId="27236" xr:uid="{00000000-0005-0000-0000-000067690000}"/>
    <cellStyle name="Normal 339 3 5 2" xfId="27237" xr:uid="{00000000-0005-0000-0000-000068690000}"/>
    <cellStyle name="Normal 339 3 5 2 2" xfId="27238" xr:uid="{00000000-0005-0000-0000-000069690000}"/>
    <cellStyle name="Normal 339 3 5 3" xfId="27239" xr:uid="{00000000-0005-0000-0000-00006A690000}"/>
    <cellStyle name="Normal 339 3 6" xfId="27240" xr:uid="{00000000-0005-0000-0000-00006B690000}"/>
    <cellStyle name="Normal 339 4" xfId="27241" xr:uid="{00000000-0005-0000-0000-00006C690000}"/>
    <cellStyle name="Normal 339 4 2" xfId="27242" xr:uid="{00000000-0005-0000-0000-00006D690000}"/>
    <cellStyle name="Normal 339 4 2 2" xfId="27243" xr:uid="{00000000-0005-0000-0000-00006E690000}"/>
    <cellStyle name="Normal 339 4 3" xfId="27244" xr:uid="{00000000-0005-0000-0000-00006F690000}"/>
    <cellStyle name="Normal 339 5" xfId="27245" xr:uid="{00000000-0005-0000-0000-000070690000}"/>
    <cellStyle name="Normal 339 5 2" xfId="27246" xr:uid="{00000000-0005-0000-0000-000071690000}"/>
    <cellStyle name="Normal 339 5 2 2" xfId="27247" xr:uid="{00000000-0005-0000-0000-000072690000}"/>
    <cellStyle name="Normal 339 5 3" xfId="27248" xr:uid="{00000000-0005-0000-0000-000073690000}"/>
    <cellStyle name="Normal 339 6" xfId="27249" xr:uid="{00000000-0005-0000-0000-000074690000}"/>
    <cellStyle name="Normal 339 6 2" xfId="27250" xr:uid="{00000000-0005-0000-0000-000075690000}"/>
    <cellStyle name="Normal 339 6 2 2" xfId="27251" xr:uid="{00000000-0005-0000-0000-000076690000}"/>
    <cellStyle name="Normal 339 6 3" xfId="27252" xr:uid="{00000000-0005-0000-0000-000077690000}"/>
    <cellStyle name="Normal 339 7" xfId="27253" xr:uid="{00000000-0005-0000-0000-000078690000}"/>
    <cellStyle name="Normal 34" xfId="27254" xr:uid="{00000000-0005-0000-0000-000079690000}"/>
    <cellStyle name="Normal 34 2" xfId="27255" xr:uid="{00000000-0005-0000-0000-00007A690000}"/>
    <cellStyle name="Normal 34 2 2" xfId="27256" xr:uid="{00000000-0005-0000-0000-00007B690000}"/>
    <cellStyle name="Normal 34 2 2 2" xfId="27257" xr:uid="{00000000-0005-0000-0000-00007C690000}"/>
    <cellStyle name="Normal 34 2 2 2 2" xfId="27258" xr:uid="{00000000-0005-0000-0000-00007D690000}"/>
    <cellStyle name="Normal 34 2 2 3" xfId="27259" xr:uid="{00000000-0005-0000-0000-00007E690000}"/>
    <cellStyle name="Normal 34 2 2 3 2" xfId="27260" xr:uid="{00000000-0005-0000-0000-00007F690000}"/>
    <cellStyle name="Normal 34 2 2 3 2 2" xfId="27261" xr:uid="{00000000-0005-0000-0000-000080690000}"/>
    <cellStyle name="Normal 34 2 2 3 3" xfId="27262" xr:uid="{00000000-0005-0000-0000-000081690000}"/>
    <cellStyle name="Normal 34 2 2 4" xfId="27263" xr:uid="{00000000-0005-0000-0000-000082690000}"/>
    <cellStyle name="Normal 34 2 2 4 2" xfId="27264" xr:uid="{00000000-0005-0000-0000-000083690000}"/>
    <cellStyle name="Normal 34 2 2 4 2 2" xfId="27265" xr:uid="{00000000-0005-0000-0000-000084690000}"/>
    <cellStyle name="Normal 34 2 2 4 3" xfId="27266" xr:uid="{00000000-0005-0000-0000-000085690000}"/>
    <cellStyle name="Normal 34 2 2 5" xfId="27267" xr:uid="{00000000-0005-0000-0000-000086690000}"/>
    <cellStyle name="Normal 34 2 3" xfId="27268" xr:uid="{00000000-0005-0000-0000-000087690000}"/>
    <cellStyle name="Normal 34 2 3 2" xfId="27269" xr:uid="{00000000-0005-0000-0000-000088690000}"/>
    <cellStyle name="Normal 34 2 3 2 2" xfId="27270" xr:uid="{00000000-0005-0000-0000-000089690000}"/>
    <cellStyle name="Normal 34 2 3 3" xfId="27271" xr:uid="{00000000-0005-0000-0000-00008A690000}"/>
    <cellStyle name="Normal 34 2 4" xfId="27272" xr:uid="{00000000-0005-0000-0000-00008B690000}"/>
    <cellStyle name="Normal 34 2 4 2" xfId="27273" xr:uid="{00000000-0005-0000-0000-00008C690000}"/>
    <cellStyle name="Normal 34 2 4 2 2" xfId="27274" xr:uid="{00000000-0005-0000-0000-00008D690000}"/>
    <cellStyle name="Normal 34 2 4 3" xfId="27275" xr:uid="{00000000-0005-0000-0000-00008E690000}"/>
    <cellStyle name="Normal 34 2 5" xfId="27276" xr:uid="{00000000-0005-0000-0000-00008F690000}"/>
    <cellStyle name="Normal 34 2 5 2" xfId="27277" xr:uid="{00000000-0005-0000-0000-000090690000}"/>
    <cellStyle name="Normal 34 2 5 2 2" xfId="27278" xr:uid="{00000000-0005-0000-0000-000091690000}"/>
    <cellStyle name="Normal 34 2 5 3" xfId="27279" xr:uid="{00000000-0005-0000-0000-000092690000}"/>
    <cellStyle name="Normal 34 2 6" xfId="27280" xr:uid="{00000000-0005-0000-0000-000093690000}"/>
    <cellStyle name="Normal 34 3" xfId="27281" xr:uid="{00000000-0005-0000-0000-000094690000}"/>
    <cellStyle name="Normal 34 3 2" xfId="27282" xr:uid="{00000000-0005-0000-0000-000095690000}"/>
    <cellStyle name="Normal 34 3 2 2" xfId="27283" xr:uid="{00000000-0005-0000-0000-000096690000}"/>
    <cellStyle name="Normal 34 3 3" xfId="27284" xr:uid="{00000000-0005-0000-0000-000097690000}"/>
    <cellStyle name="Normal 34 3 3 2" xfId="27285" xr:uid="{00000000-0005-0000-0000-000098690000}"/>
    <cellStyle name="Normal 34 3 3 2 2" xfId="27286" xr:uid="{00000000-0005-0000-0000-000099690000}"/>
    <cellStyle name="Normal 34 3 3 3" xfId="27287" xr:uid="{00000000-0005-0000-0000-00009A690000}"/>
    <cellStyle name="Normal 34 3 4" xfId="27288" xr:uid="{00000000-0005-0000-0000-00009B690000}"/>
    <cellStyle name="Normal 34 3 4 2" xfId="27289" xr:uid="{00000000-0005-0000-0000-00009C690000}"/>
    <cellStyle name="Normal 34 3 4 2 2" xfId="27290" xr:uid="{00000000-0005-0000-0000-00009D690000}"/>
    <cellStyle name="Normal 34 3 4 3" xfId="27291" xr:uid="{00000000-0005-0000-0000-00009E690000}"/>
    <cellStyle name="Normal 34 3 5" xfId="27292" xr:uid="{00000000-0005-0000-0000-00009F690000}"/>
    <cellStyle name="Normal 34 4" xfId="27293" xr:uid="{00000000-0005-0000-0000-0000A0690000}"/>
    <cellStyle name="Normal 34 4 2" xfId="27294" xr:uid="{00000000-0005-0000-0000-0000A1690000}"/>
    <cellStyle name="Normal 34 4 2 2" xfId="27295" xr:uid="{00000000-0005-0000-0000-0000A2690000}"/>
    <cellStyle name="Normal 34 4 3" xfId="27296" xr:uid="{00000000-0005-0000-0000-0000A3690000}"/>
    <cellStyle name="Normal 34 5" xfId="27297" xr:uid="{00000000-0005-0000-0000-0000A4690000}"/>
    <cellStyle name="Normal 34 5 2" xfId="27298" xr:uid="{00000000-0005-0000-0000-0000A5690000}"/>
    <cellStyle name="Normal 34 5 2 2" xfId="27299" xr:uid="{00000000-0005-0000-0000-0000A6690000}"/>
    <cellStyle name="Normal 34 5 3" xfId="27300" xr:uid="{00000000-0005-0000-0000-0000A7690000}"/>
    <cellStyle name="Normal 34 6" xfId="27301" xr:uid="{00000000-0005-0000-0000-0000A8690000}"/>
    <cellStyle name="Normal 34 6 2" xfId="27302" xr:uid="{00000000-0005-0000-0000-0000A9690000}"/>
    <cellStyle name="Normal 34 6 2 2" xfId="27303" xr:uid="{00000000-0005-0000-0000-0000AA690000}"/>
    <cellStyle name="Normal 34 6 3" xfId="27304" xr:uid="{00000000-0005-0000-0000-0000AB690000}"/>
    <cellStyle name="Normal 34 7" xfId="27305" xr:uid="{00000000-0005-0000-0000-0000AC690000}"/>
    <cellStyle name="Normal 340" xfId="27306" xr:uid="{00000000-0005-0000-0000-0000AD690000}"/>
    <cellStyle name="Normal 340 2" xfId="27307" xr:uid="{00000000-0005-0000-0000-0000AE690000}"/>
    <cellStyle name="Normal 340 2 2" xfId="27308" xr:uid="{00000000-0005-0000-0000-0000AF690000}"/>
    <cellStyle name="Normal 340 2 2 2" xfId="27309" xr:uid="{00000000-0005-0000-0000-0000B0690000}"/>
    <cellStyle name="Normal 340 2 3" xfId="27310" xr:uid="{00000000-0005-0000-0000-0000B1690000}"/>
    <cellStyle name="Normal 340 2 3 2" xfId="27311" xr:uid="{00000000-0005-0000-0000-0000B2690000}"/>
    <cellStyle name="Normal 340 2 3 2 2" xfId="27312" xr:uid="{00000000-0005-0000-0000-0000B3690000}"/>
    <cellStyle name="Normal 340 2 3 3" xfId="27313" xr:uid="{00000000-0005-0000-0000-0000B4690000}"/>
    <cellStyle name="Normal 340 2 4" xfId="27314" xr:uid="{00000000-0005-0000-0000-0000B5690000}"/>
    <cellStyle name="Normal 340 2 4 2" xfId="27315" xr:uid="{00000000-0005-0000-0000-0000B6690000}"/>
    <cellStyle name="Normal 340 2 4 2 2" xfId="27316" xr:uid="{00000000-0005-0000-0000-0000B7690000}"/>
    <cellStyle name="Normal 340 2 4 3" xfId="27317" xr:uid="{00000000-0005-0000-0000-0000B8690000}"/>
    <cellStyle name="Normal 340 2 5" xfId="27318" xr:uid="{00000000-0005-0000-0000-0000B9690000}"/>
    <cellStyle name="Normal 340 3" xfId="27319" xr:uid="{00000000-0005-0000-0000-0000BA690000}"/>
    <cellStyle name="Normal 340 3 2" xfId="27320" xr:uid="{00000000-0005-0000-0000-0000BB690000}"/>
    <cellStyle name="Normal 340 3 2 2" xfId="27321" xr:uid="{00000000-0005-0000-0000-0000BC690000}"/>
    <cellStyle name="Normal 340 3 2 2 2" xfId="27322" xr:uid="{00000000-0005-0000-0000-0000BD690000}"/>
    <cellStyle name="Normal 340 3 2 3" xfId="27323" xr:uid="{00000000-0005-0000-0000-0000BE690000}"/>
    <cellStyle name="Normal 340 3 2 3 2" xfId="27324" xr:uid="{00000000-0005-0000-0000-0000BF690000}"/>
    <cellStyle name="Normal 340 3 2 3 2 2" xfId="27325" xr:uid="{00000000-0005-0000-0000-0000C0690000}"/>
    <cellStyle name="Normal 340 3 2 3 3" xfId="27326" xr:uid="{00000000-0005-0000-0000-0000C1690000}"/>
    <cellStyle name="Normal 340 3 2 4" xfId="27327" xr:uid="{00000000-0005-0000-0000-0000C2690000}"/>
    <cellStyle name="Normal 340 3 3" xfId="27328" xr:uid="{00000000-0005-0000-0000-0000C3690000}"/>
    <cellStyle name="Normal 340 3 3 2" xfId="27329" xr:uid="{00000000-0005-0000-0000-0000C4690000}"/>
    <cellStyle name="Normal 340 3 3 2 2" xfId="27330" xr:uid="{00000000-0005-0000-0000-0000C5690000}"/>
    <cellStyle name="Normal 340 3 3 3" xfId="27331" xr:uid="{00000000-0005-0000-0000-0000C6690000}"/>
    <cellStyle name="Normal 340 3 4" xfId="27332" xr:uid="{00000000-0005-0000-0000-0000C7690000}"/>
    <cellStyle name="Normal 340 3 4 2" xfId="27333" xr:uid="{00000000-0005-0000-0000-0000C8690000}"/>
    <cellStyle name="Normal 340 3 4 2 2" xfId="27334" xr:uid="{00000000-0005-0000-0000-0000C9690000}"/>
    <cellStyle name="Normal 340 3 4 3" xfId="27335" xr:uid="{00000000-0005-0000-0000-0000CA690000}"/>
    <cellStyle name="Normal 340 3 5" xfId="27336" xr:uid="{00000000-0005-0000-0000-0000CB690000}"/>
    <cellStyle name="Normal 340 3 5 2" xfId="27337" xr:uid="{00000000-0005-0000-0000-0000CC690000}"/>
    <cellStyle name="Normal 340 3 5 2 2" xfId="27338" xr:uid="{00000000-0005-0000-0000-0000CD690000}"/>
    <cellStyle name="Normal 340 3 5 3" xfId="27339" xr:uid="{00000000-0005-0000-0000-0000CE690000}"/>
    <cellStyle name="Normal 340 3 6" xfId="27340" xr:uid="{00000000-0005-0000-0000-0000CF690000}"/>
    <cellStyle name="Normal 340 4" xfId="27341" xr:uid="{00000000-0005-0000-0000-0000D0690000}"/>
    <cellStyle name="Normal 340 4 2" xfId="27342" xr:uid="{00000000-0005-0000-0000-0000D1690000}"/>
    <cellStyle name="Normal 340 4 2 2" xfId="27343" xr:uid="{00000000-0005-0000-0000-0000D2690000}"/>
    <cellStyle name="Normal 340 4 3" xfId="27344" xr:uid="{00000000-0005-0000-0000-0000D3690000}"/>
    <cellStyle name="Normal 340 5" xfId="27345" xr:uid="{00000000-0005-0000-0000-0000D4690000}"/>
    <cellStyle name="Normal 340 5 2" xfId="27346" xr:uid="{00000000-0005-0000-0000-0000D5690000}"/>
    <cellStyle name="Normal 340 5 2 2" xfId="27347" xr:uid="{00000000-0005-0000-0000-0000D6690000}"/>
    <cellStyle name="Normal 340 5 3" xfId="27348" xr:uid="{00000000-0005-0000-0000-0000D7690000}"/>
    <cellStyle name="Normal 340 6" xfId="27349" xr:uid="{00000000-0005-0000-0000-0000D8690000}"/>
    <cellStyle name="Normal 340 6 2" xfId="27350" xr:uid="{00000000-0005-0000-0000-0000D9690000}"/>
    <cellStyle name="Normal 340 6 2 2" xfId="27351" xr:uid="{00000000-0005-0000-0000-0000DA690000}"/>
    <cellStyle name="Normal 340 6 3" xfId="27352" xr:uid="{00000000-0005-0000-0000-0000DB690000}"/>
    <cellStyle name="Normal 340 7" xfId="27353" xr:uid="{00000000-0005-0000-0000-0000DC690000}"/>
    <cellStyle name="Normal 341" xfId="27354" xr:uid="{00000000-0005-0000-0000-0000DD690000}"/>
    <cellStyle name="Normal 341 2" xfId="27355" xr:uid="{00000000-0005-0000-0000-0000DE690000}"/>
    <cellStyle name="Normal 341 2 2" xfId="27356" xr:uid="{00000000-0005-0000-0000-0000DF690000}"/>
    <cellStyle name="Normal 341 2 2 2" xfId="27357" xr:uid="{00000000-0005-0000-0000-0000E0690000}"/>
    <cellStyle name="Normal 341 2 3" xfId="27358" xr:uid="{00000000-0005-0000-0000-0000E1690000}"/>
    <cellStyle name="Normal 341 2 3 2" xfId="27359" xr:uid="{00000000-0005-0000-0000-0000E2690000}"/>
    <cellStyle name="Normal 341 2 3 2 2" xfId="27360" xr:uid="{00000000-0005-0000-0000-0000E3690000}"/>
    <cellStyle name="Normal 341 2 3 3" xfId="27361" xr:uid="{00000000-0005-0000-0000-0000E4690000}"/>
    <cellStyle name="Normal 341 2 4" xfId="27362" xr:uid="{00000000-0005-0000-0000-0000E5690000}"/>
    <cellStyle name="Normal 341 2 4 2" xfId="27363" xr:uid="{00000000-0005-0000-0000-0000E6690000}"/>
    <cellStyle name="Normal 341 2 4 2 2" xfId="27364" xr:uid="{00000000-0005-0000-0000-0000E7690000}"/>
    <cellStyle name="Normal 341 2 4 3" xfId="27365" xr:uid="{00000000-0005-0000-0000-0000E8690000}"/>
    <cellStyle name="Normal 341 2 5" xfId="27366" xr:uid="{00000000-0005-0000-0000-0000E9690000}"/>
    <cellStyle name="Normal 341 3" xfId="27367" xr:uid="{00000000-0005-0000-0000-0000EA690000}"/>
    <cellStyle name="Normal 341 3 2" xfId="27368" xr:uid="{00000000-0005-0000-0000-0000EB690000}"/>
    <cellStyle name="Normal 341 3 2 2" xfId="27369" xr:uid="{00000000-0005-0000-0000-0000EC690000}"/>
    <cellStyle name="Normal 341 3 2 2 2" xfId="27370" xr:uid="{00000000-0005-0000-0000-0000ED690000}"/>
    <cellStyle name="Normal 341 3 2 3" xfId="27371" xr:uid="{00000000-0005-0000-0000-0000EE690000}"/>
    <cellStyle name="Normal 341 3 2 3 2" xfId="27372" xr:uid="{00000000-0005-0000-0000-0000EF690000}"/>
    <cellStyle name="Normal 341 3 2 3 2 2" xfId="27373" xr:uid="{00000000-0005-0000-0000-0000F0690000}"/>
    <cellStyle name="Normal 341 3 2 3 3" xfId="27374" xr:uid="{00000000-0005-0000-0000-0000F1690000}"/>
    <cellStyle name="Normal 341 3 2 4" xfId="27375" xr:uid="{00000000-0005-0000-0000-0000F2690000}"/>
    <cellStyle name="Normal 341 3 3" xfId="27376" xr:uid="{00000000-0005-0000-0000-0000F3690000}"/>
    <cellStyle name="Normal 341 3 3 2" xfId="27377" xr:uid="{00000000-0005-0000-0000-0000F4690000}"/>
    <cellStyle name="Normal 341 3 3 2 2" xfId="27378" xr:uid="{00000000-0005-0000-0000-0000F5690000}"/>
    <cellStyle name="Normal 341 3 3 3" xfId="27379" xr:uid="{00000000-0005-0000-0000-0000F6690000}"/>
    <cellStyle name="Normal 341 3 4" xfId="27380" xr:uid="{00000000-0005-0000-0000-0000F7690000}"/>
    <cellStyle name="Normal 341 3 4 2" xfId="27381" xr:uid="{00000000-0005-0000-0000-0000F8690000}"/>
    <cellStyle name="Normal 341 3 4 2 2" xfId="27382" xr:uid="{00000000-0005-0000-0000-0000F9690000}"/>
    <cellStyle name="Normal 341 3 4 3" xfId="27383" xr:uid="{00000000-0005-0000-0000-0000FA690000}"/>
    <cellStyle name="Normal 341 3 5" xfId="27384" xr:uid="{00000000-0005-0000-0000-0000FB690000}"/>
    <cellStyle name="Normal 341 3 5 2" xfId="27385" xr:uid="{00000000-0005-0000-0000-0000FC690000}"/>
    <cellStyle name="Normal 341 3 5 2 2" xfId="27386" xr:uid="{00000000-0005-0000-0000-0000FD690000}"/>
    <cellStyle name="Normal 341 3 5 3" xfId="27387" xr:uid="{00000000-0005-0000-0000-0000FE690000}"/>
    <cellStyle name="Normal 341 3 6" xfId="27388" xr:uid="{00000000-0005-0000-0000-0000FF690000}"/>
    <cellStyle name="Normal 341 4" xfId="27389" xr:uid="{00000000-0005-0000-0000-0000006A0000}"/>
    <cellStyle name="Normal 341 4 2" xfId="27390" xr:uid="{00000000-0005-0000-0000-0000016A0000}"/>
    <cellStyle name="Normal 341 4 2 2" xfId="27391" xr:uid="{00000000-0005-0000-0000-0000026A0000}"/>
    <cellStyle name="Normal 341 4 3" xfId="27392" xr:uid="{00000000-0005-0000-0000-0000036A0000}"/>
    <cellStyle name="Normal 341 5" xfId="27393" xr:uid="{00000000-0005-0000-0000-0000046A0000}"/>
    <cellStyle name="Normal 341 5 2" xfId="27394" xr:uid="{00000000-0005-0000-0000-0000056A0000}"/>
    <cellStyle name="Normal 341 5 2 2" xfId="27395" xr:uid="{00000000-0005-0000-0000-0000066A0000}"/>
    <cellStyle name="Normal 341 5 3" xfId="27396" xr:uid="{00000000-0005-0000-0000-0000076A0000}"/>
    <cellStyle name="Normal 341 6" xfId="27397" xr:uid="{00000000-0005-0000-0000-0000086A0000}"/>
    <cellStyle name="Normal 341 6 2" xfId="27398" xr:uid="{00000000-0005-0000-0000-0000096A0000}"/>
    <cellStyle name="Normal 341 6 2 2" xfId="27399" xr:uid="{00000000-0005-0000-0000-00000A6A0000}"/>
    <cellStyle name="Normal 341 6 3" xfId="27400" xr:uid="{00000000-0005-0000-0000-00000B6A0000}"/>
    <cellStyle name="Normal 341 7" xfId="27401" xr:uid="{00000000-0005-0000-0000-00000C6A0000}"/>
    <cellStyle name="Normal 342" xfId="27402" xr:uid="{00000000-0005-0000-0000-00000D6A0000}"/>
    <cellStyle name="Normal 342 2" xfId="27403" xr:uid="{00000000-0005-0000-0000-00000E6A0000}"/>
    <cellStyle name="Normal 342 2 2" xfId="27404" xr:uid="{00000000-0005-0000-0000-00000F6A0000}"/>
    <cellStyle name="Normal 342 2 2 2" xfId="27405" xr:uid="{00000000-0005-0000-0000-0000106A0000}"/>
    <cellStyle name="Normal 342 2 3" xfId="27406" xr:uid="{00000000-0005-0000-0000-0000116A0000}"/>
    <cellStyle name="Normal 342 2 3 2" xfId="27407" xr:uid="{00000000-0005-0000-0000-0000126A0000}"/>
    <cellStyle name="Normal 342 2 3 2 2" xfId="27408" xr:uid="{00000000-0005-0000-0000-0000136A0000}"/>
    <cellStyle name="Normal 342 2 3 3" xfId="27409" xr:uid="{00000000-0005-0000-0000-0000146A0000}"/>
    <cellStyle name="Normal 342 2 4" xfId="27410" xr:uid="{00000000-0005-0000-0000-0000156A0000}"/>
    <cellStyle name="Normal 342 2 4 2" xfId="27411" xr:uid="{00000000-0005-0000-0000-0000166A0000}"/>
    <cellStyle name="Normal 342 2 4 2 2" xfId="27412" xr:uid="{00000000-0005-0000-0000-0000176A0000}"/>
    <cellStyle name="Normal 342 2 4 3" xfId="27413" xr:uid="{00000000-0005-0000-0000-0000186A0000}"/>
    <cellStyle name="Normal 342 2 5" xfId="27414" xr:uid="{00000000-0005-0000-0000-0000196A0000}"/>
    <cellStyle name="Normal 342 3" xfId="27415" xr:uid="{00000000-0005-0000-0000-00001A6A0000}"/>
    <cellStyle name="Normal 342 3 2" xfId="27416" xr:uid="{00000000-0005-0000-0000-00001B6A0000}"/>
    <cellStyle name="Normal 342 3 2 2" xfId="27417" xr:uid="{00000000-0005-0000-0000-00001C6A0000}"/>
    <cellStyle name="Normal 342 3 2 2 2" xfId="27418" xr:uid="{00000000-0005-0000-0000-00001D6A0000}"/>
    <cellStyle name="Normal 342 3 2 3" xfId="27419" xr:uid="{00000000-0005-0000-0000-00001E6A0000}"/>
    <cellStyle name="Normal 342 3 2 3 2" xfId="27420" xr:uid="{00000000-0005-0000-0000-00001F6A0000}"/>
    <cellStyle name="Normal 342 3 2 3 2 2" xfId="27421" xr:uid="{00000000-0005-0000-0000-0000206A0000}"/>
    <cellStyle name="Normal 342 3 2 3 3" xfId="27422" xr:uid="{00000000-0005-0000-0000-0000216A0000}"/>
    <cellStyle name="Normal 342 3 2 4" xfId="27423" xr:uid="{00000000-0005-0000-0000-0000226A0000}"/>
    <cellStyle name="Normal 342 3 3" xfId="27424" xr:uid="{00000000-0005-0000-0000-0000236A0000}"/>
    <cellStyle name="Normal 342 3 3 2" xfId="27425" xr:uid="{00000000-0005-0000-0000-0000246A0000}"/>
    <cellStyle name="Normal 342 3 3 2 2" xfId="27426" xr:uid="{00000000-0005-0000-0000-0000256A0000}"/>
    <cellStyle name="Normal 342 3 3 3" xfId="27427" xr:uid="{00000000-0005-0000-0000-0000266A0000}"/>
    <cellStyle name="Normal 342 3 4" xfId="27428" xr:uid="{00000000-0005-0000-0000-0000276A0000}"/>
    <cellStyle name="Normal 342 3 4 2" xfId="27429" xr:uid="{00000000-0005-0000-0000-0000286A0000}"/>
    <cellStyle name="Normal 342 3 4 2 2" xfId="27430" xr:uid="{00000000-0005-0000-0000-0000296A0000}"/>
    <cellStyle name="Normal 342 3 4 3" xfId="27431" xr:uid="{00000000-0005-0000-0000-00002A6A0000}"/>
    <cellStyle name="Normal 342 3 5" xfId="27432" xr:uid="{00000000-0005-0000-0000-00002B6A0000}"/>
    <cellStyle name="Normal 342 3 5 2" xfId="27433" xr:uid="{00000000-0005-0000-0000-00002C6A0000}"/>
    <cellStyle name="Normal 342 3 5 2 2" xfId="27434" xr:uid="{00000000-0005-0000-0000-00002D6A0000}"/>
    <cellStyle name="Normal 342 3 5 3" xfId="27435" xr:uid="{00000000-0005-0000-0000-00002E6A0000}"/>
    <cellStyle name="Normal 342 3 6" xfId="27436" xr:uid="{00000000-0005-0000-0000-00002F6A0000}"/>
    <cellStyle name="Normal 342 4" xfId="27437" xr:uid="{00000000-0005-0000-0000-0000306A0000}"/>
    <cellStyle name="Normal 342 4 2" xfId="27438" xr:uid="{00000000-0005-0000-0000-0000316A0000}"/>
    <cellStyle name="Normal 342 4 2 2" xfId="27439" xr:uid="{00000000-0005-0000-0000-0000326A0000}"/>
    <cellStyle name="Normal 342 4 3" xfId="27440" xr:uid="{00000000-0005-0000-0000-0000336A0000}"/>
    <cellStyle name="Normal 342 5" xfId="27441" xr:uid="{00000000-0005-0000-0000-0000346A0000}"/>
    <cellStyle name="Normal 342 5 2" xfId="27442" xr:uid="{00000000-0005-0000-0000-0000356A0000}"/>
    <cellStyle name="Normal 342 5 2 2" xfId="27443" xr:uid="{00000000-0005-0000-0000-0000366A0000}"/>
    <cellStyle name="Normal 342 5 3" xfId="27444" xr:uid="{00000000-0005-0000-0000-0000376A0000}"/>
    <cellStyle name="Normal 342 6" xfId="27445" xr:uid="{00000000-0005-0000-0000-0000386A0000}"/>
    <cellStyle name="Normal 342 6 2" xfId="27446" xr:uid="{00000000-0005-0000-0000-0000396A0000}"/>
    <cellStyle name="Normal 342 6 2 2" xfId="27447" xr:uid="{00000000-0005-0000-0000-00003A6A0000}"/>
    <cellStyle name="Normal 342 6 3" xfId="27448" xr:uid="{00000000-0005-0000-0000-00003B6A0000}"/>
    <cellStyle name="Normal 342 7" xfId="27449" xr:uid="{00000000-0005-0000-0000-00003C6A0000}"/>
    <cellStyle name="Normal 343" xfId="27450" xr:uid="{00000000-0005-0000-0000-00003D6A0000}"/>
    <cellStyle name="Normal 343 2" xfId="27451" xr:uid="{00000000-0005-0000-0000-00003E6A0000}"/>
    <cellStyle name="Normal 343 2 2" xfId="27452" xr:uid="{00000000-0005-0000-0000-00003F6A0000}"/>
    <cellStyle name="Normal 343 2 2 2" xfId="27453" xr:uid="{00000000-0005-0000-0000-0000406A0000}"/>
    <cellStyle name="Normal 343 2 3" xfId="27454" xr:uid="{00000000-0005-0000-0000-0000416A0000}"/>
    <cellStyle name="Normal 343 2 3 2" xfId="27455" xr:uid="{00000000-0005-0000-0000-0000426A0000}"/>
    <cellStyle name="Normal 343 2 3 2 2" xfId="27456" xr:uid="{00000000-0005-0000-0000-0000436A0000}"/>
    <cellStyle name="Normal 343 2 3 3" xfId="27457" xr:uid="{00000000-0005-0000-0000-0000446A0000}"/>
    <cellStyle name="Normal 343 2 4" xfId="27458" xr:uid="{00000000-0005-0000-0000-0000456A0000}"/>
    <cellStyle name="Normal 343 2 4 2" xfId="27459" xr:uid="{00000000-0005-0000-0000-0000466A0000}"/>
    <cellStyle name="Normal 343 2 4 2 2" xfId="27460" xr:uid="{00000000-0005-0000-0000-0000476A0000}"/>
    <cellStyle name="Normal 343 2 4 3" xfId="27461" xr:uid="{00000000-0005-0000-0000-0000486A0000}"/>
    <cellStyle name="Normal 343 2 5" xfId="27462" xr:uid="{00000000-0005-0000-0000-0000496A0000}"/>
    <cellStyle name="Normal 343 3" xfId="27463" xr:uid="{00000000-0005-0000-0000-00004A6A0000}"/>
    <cellStyle name="Normal 343 3 2" xfId="27464" xr:uid="{00000000-0005-0000-0000-00004B6A0000}"/>
    <cellStyle name="Normal 343 3 2 2" xfId="27465" xr:uid="{00000000-0005-0000-0000-00004C6A0000}"/>
    <cellStyle name="Normal 343 3 2 2 2" xfId="27466" xr:uid="{00000000-0005-0000-0000-00004D6A0000}"/>
    <cellStyle name="Normal 343 3 2 3" xfId="27467" xr:uid="{00000000-0005-0000-0000-00004E6A0000}"/>
    <cellStyle name="Normal 343 3 2 3 2" xfId="27468" xr:uid="{00000000-0005-0000-0000-00004F6A0000}"/>
    <cellStyle name="Normal 343 3 2 3 2 2" xfId="27469" xr:uid="{00000000-0005-0000-0000-0000506A0000}"/>
    <cellStyle name="Normal 343 3 2 3 3" xfId="27470" xr:uid="{00000000-0005-0000-0000-0000516A0000}"/>
    <cellStyle name="Normal 343 3 2 4" xfId="27471" xr:uid="{00000000-0005-0000-0000-0000526A0000}"/>
    <cellStyle name="Normal 343 3 3" xfId="27472" xr:uid="{00000000-0005-0000-0000-0000536A0000}"/>
    <cellStyle name="Normal 343 3 3 2" xfId="27473" xr:uid="{00000000-0005-0000-0000-0000546A0000}"/>
    <cellStyle name="Normal 343 3 3 2 2" xfId="27474" xr:uid="{00000000-0005-0000-0000-0000556A0000}"/>
    <cellStyle name="Normal 343 3 3 3" xfId="27475" xr:uid="{00000000-0005-0000-0000-0000566A0000}"/>
    <cellStyle name="Normal 343 3 4" xfId="27476" xr:uid="{00000000-0005-0000-0000-0000576A0000}"/>
    <cellStyle name="Normal 343 3 4 2" xfId="27477" xr:uid="{00000000-0005-0000-0000-0000586A0000}"/>
    <cellStyle name="Normal 343 3 4 2 2" xfId="27478" xr:uid="{00000000-0005-0000-0000-0000596A0000}"/>
    <cellStyle name="Normal 343 3 4 3" xfId="27479" xr:uid="{00000000-0005-0000-0000-00005A6A0000}"/>
    <cellStyle name="Normal 343 3 5" xfId="27480" xr:uid="{00000000-0005-0000-0000-00005B6A0000}"/>
    <cellStyle name="Normal 343 3 5 2" xfId="27481" xr:uid="{00000000-0005-0000-0000-00005C6A0000}"/>
    <cellStyle name="Normal 343 3 5 2 2" xfId="27482" xr:uid="{00000000-0005-0000-0000-00005D6A0000}"/>
    <cellStyle name="Normal 343 3 5 3" xfId="27483" xr:uid="{00000000-0005-0000-0000-00005E6A0000}"/>
    <cellStyle name="Normal 343 3 6" xfId="27484" xr:uid="{00000000-0005-0000-0000-00005F6A0000}"/>
    <cellStyle name="Normal 343 4" xfId="27485" xr:uid="{00000000-0005-0000-0000-0000606A0000}"/>
    <cellStyle name="Normal 343 4 2" xfId="27486" xr:uid="{00000000-0005-0000-0000-0000616A0000}"/>
    <cellStyle name="Normal 343 4 2 2" xfId="27487" xr:uid="{00000000-0005-0000-0000-0000626A0000}"/>
    <cellStyle name="Normal 343 4 3" xfId="27488" xr:uid="{00000000-0005-0000-0000-0000636A0000}"/>
    <cellStyle name="Normal 343 5" xfId="27489" xr:uid="{00000000-0005-0000-0000-0000646A0000}"/>
    <cellStyle name="Normal 343 5 2" xfId="27490" xr:uid="{00000000-0005-0000-0000-0000656A0000}"/>
    <cellStyle name="Normal 343 5 2 2" xfId="27491" xr:uid="{00000000-0005-0000-0000-0000666A0000}"/>
    <cellStyle name="Normal 343 5 3" xfId="27492" xr:uid="{00000000-0005-0000-0000-0000676A0000}"/>
    <cellStyle name="Normal 343 6" xfId="27493" xr:uid="{00000000-0005-0000-0000-0000686A0000}"/>
    <cellStyle name="Normal 343 6 2" xfId="27494" xr:uid="{00000000-0005-0000-0000-0000696A0000}"/>
    <cellStyle name="Normal 343 6 2 2" xfId="27495" xr:uid="{00000000-0005-0000-0000-00006A6A0000}"/>
    <cellStyle name="Normal 343 6 3" xfId="27496" xr:uid="{00000000-0005-0000-0000-00006B6A0000}"/>
    <cellStyle name="Normal 343 7" xfId="27497" xr:uid="{00000000-0005-0000-0000-00006C6A0000}"/>
    <cellStyle name="Normal 344" xfId="27498" xr:uid="{00000000-0005-0000-0000-00006D6A0000}"/>
    <cellStyle name="Normal 344 2" xfId="27499" xr:uid="{00000000-0005-0000-0000-00006E6A0000}"/>
    <cellStyle name="Normal 344 2 2" xfId="27500" xr:uid="{00000000-0005-0000-0000-00006F6A0000}"/>
    <cellStyle name="Normal 344 2 2 2" xfId="27501" xr:uid="{00000000-0005-0000-0000-0000706A0000}"/>
    <cellStyle name="Normal 344 2 3" xfId="27502" xr:uid="{00000000-0005-0000-0000-0000716A0000}"/>
    <cellStyle name="Normal 344 2 3 2" xfId="27503" xr:uid="{00000000-0005-0000-0000-0000726A0000}"/>
    <cellStyle name="Normal 344 2 3 2 2" xfId="27504" xr:uid="{00000000-0005-0000-0000-0000736A0000}"/>
    <cellStyle name="Normal 344 2 3 3" xfId="27505" xr:uid="{00000000-0005-0000-0000-0000746A0000}"/>
    <cellStyle name="Normal 344 2 4" xfId="27506" xr:uid="{00000000-0005-0000-0000-0000756A0000}"/>
    <cellStyle name="Normal 344 2 4 2" xfId="27507" xr:uid="{00000000-0005-0000-0000-0000766A0000}"/>
    <cellStyle name="Normal 344 2 4 2 2" xfId="27508" xr:uid="{00000000-0005-0000-0000-0000776A0000}"/>
    <cellStyle name="Normal 344 2 4 3" xfId="27509" xr:uid="{00000000-0005-0000-0000-0000786A0000}"/>
    <cellStyle name="Normal 344 2 5" xfId="27510" xr:uid="{00000000-0005-0000-0000-0000796A0000}"/>
    <cellStyle name="Normal 344 3" xfId="27511" xr:uid="{00000000-0005-0000-0000-00007A6A0000}"/>
    <cellStyle name="Normal 344 3 2" xfId="27512" xr:uid="{00000000-0005-0000-0000-00007B6A0000}"/>
    <cellStyle name="Normal 344 3 2 2" xfId="27513" xr:uid="{00000000-0005-0000-0000-00007C6A0000}"/>
    <cellStyle name="Normal 344 3 2 2 2" xfId="27514" xr:uid="{00000000-0005-0000-0000-00007D6A0000}"/>
    <cellStyle name="Normal 344 3 2 3" xfId="27515" xr:uid="{00000000-0005-0000-0000-00007E6A0000}"/>
    <cellStyle name="Normal 344 3 2 3 2" xfId="27516" xr:uid="{00000000-0005-0000-0000-00007F6A0000}"/>
    <cellStyle name="Normal 344 3 2 3 2 2" xfId="27517" xr:uid="{00000000-0005-0000-0000-0000806A0000}"/>
    <cellStyle name="Normal 344 3 2 3 3" xfId="27518" xr:uid="{00000000-0005-0000-0000-0000816A0000}"/>
    <cellStyle name="Normal 344 3 2 4" xfId="27519" xr:uid="{00000000-0005-0000-0000-0000826A0000}"/>
    <cellStyle name="Normal 344 3 3" xfId="27520" xr:uid="{00000000-0005-0000-0000-0000836A0000}"/>
    <cellStyle name="Normal 344 3 3 2" xfId="27521" xr:uid="{00000000-0005-0000-0000-0000846A0000}"/>
    <cellStyle name="Normal 344 3 3 2 2" xfId="27522" xr:uid="{00000000-0005-0000-0000-0000856A0000}"/>
    <cellStyle name="Normal 344 3 3 3" xfId="27523" xr:uid="{00000000-0005-0000-0000-0000866A0000}"/>
    <cellStyle name="Normal 344 3 4" xfId="27524" xr:uid="{00000000-0005-0000-0000-0000876A0000}"/>
    <cellStyle name="Normal 344 3 4 2" xfId="27525" xr:uid="{00000000-0005-0000-0000-0000886A0000}"/>
    <cellStyle name="Normal 344 3 4 2 2" xfId="27526" xr:uid="{00000000-0005-0000-0000-0000896A0000}"/>
    <cellStyle name="Normal 344 3 4 3" xfId="27527" xr:uid="{00000000-0005-0000-0000-00008A6A0000}"/>
    <cellStyle name="Normal 344 3 5" xfId="27528" xr:uid="{00000000-0005-0000-0000-00008B6A0000}"/>
    <cellStyle name="Normal 344 3 5 2" xfId="27529" xr:uid="{00000000-0005-0000-0000-00008C6A0000}"/>
    <cellStyle name="Normal 344 3 5 2 2" xfId="27530" xr:uid="{00000000-0005-0000-0000-00008D6A0000}"/>
    <cellStyle name="Normal 344 3 5 3" xfId="27531" xr:uid="{00000000-0005-0000-0000-00008E6A0000}"/>
    <cellStyle name="Normal 344 3 6" xfId="27532" xr:uid="{00000000-0005-0000-0000-00008F6A0000}"/>
    <cellStyle name="Normal 344 4" xfId="27533" xr:uid="{00000000-0005-0000-0000-0000906A0000}"/>
    <cellStyle name="Normal 344 4 2" xfId="27534" xr:uid="{00000000-0005-0000-0000-0000916A0000}"/>
    <cellStyle name="Normal 344 4 2 2" xfId="27535" xr:uid="{00000000-0005-0000-0000-0000926A0000}"/>
    <cellStyle name="Normal 344 4 3" xfId="27536" xr:uid="{00000000-0005-0000-0000-0000936A0000}"/>
    <cellStyle name="Normal 344 5" xfId="27537" xr:uid="{00000000-0005-0000-0000-0000946A0000}"/>
    <cellStyle name="Normal 344 5 2" xfId="27538" xr:uid="{00000000-0005-0000-0000-0000956A0000}"/>
    <cellStyle name="Normal 344 5 2 2" xfId="27539" xr:uid="{00000000-0005-0000-0000-0000966A0000}"/>
    <cellStyle name="Normal 344 5 3" xfId="27540" xr:uid="{00000000-0005-0000-0000-0000976A0000}"/>
    <cellStyle name="Normal 344 6" xfId="27541" xr:uid="{00000000-0005-0000-0000-0000986A0000}"/>
    <cellStyle name="Normal 344 6 2" xfId="27542" xr:uid="{00000000-0005-0000-0000-0000996A0000}"/>
    <cellStyle name="Normal 344 6 2 2" xfId="27543" xr:uid="{00000000-0005-0000-0000-00009A6A0000}"/>
    <cellStyle name="Normal 344 6 3" xfId="27544" xr:uid="{00000000-0005-0000-0000-00009B6A0000}"/>
    <cellStyle name="Normal 344 7" xfId="27545" xr:uid="{00000000-0005-0000-0000-00009C6A0000}"/>
    <cellStyle name="Normal 345" xfId="27546" xr:uid="{00000000-0005-0000-0000-00009D6A0000}"/>
    <cellStyle name="Normal 345 2" xfId="27547" xr:uid="{00000000-0005-0000-0000-00009E6A0000}"/>
    <cellStyle name="Normal 345 2 2" xfId="27548" xr:uid="{00000000-0005-0000-0000-00009F6A0000}"/>
    <cellStyle name="Normal 345 2 2 2" xfId="27549" xr:uid="{00000000-0005-0000-0000-0000A06A0000}"/>
    <cellStyle name="Normal 345 2 3" xfId="27550" xr:uid="{00000000-0005-0000-0000-0000A16A0000}"/>
    <cellStyle name="Normal 345 2 3 2" xfId="27551" xr:uid="{00000000-0005-0000-0000-0000A26A0000}"/>
    <cellStyle name="Normal 345 2 3 2 2" xfId="27552" xr:uid="{00000000-0005-0000-0000-0000A36A0000}"/>
    <cellStyle name="Normal 345 2 3 3" xfId="27553" xr:uid="{00000000-0005-0000-0000-0000A46A0000}"/>
    <cellStyle name="Normal 345 2 4" xfId="27554" xr:uid="{00000000-0005-0000-0000-0000A56A0000}"/>
    <cellStyle name="Normal 345 2 4 2" xfId="27555" xr:uid="{00000000-0005-0000-0000-0000A66A0000}"/>
    <cellStyle name="Normal 345 2 4 2 2" xfId="27556" xr:uid="{00000000-0005-0000-0000-0000A76A0000}"/>
    <cellStyle name="Normal 345 2 4 3" xfId="27557" xr:uid="{00000000-0005-0000-0000-0000A86A0000}"/>
    <cellStyle name="Normal 345 2 5" xfId="27558" xr:uid="{00000000-0005-0000-0000-0000A96A0000}"/>
    <cellStyle name="Normal 345 3" xfId="27559" xr:uid="{00000000-0005-0000-0000-0000AA6A0000}"/>
    <cellStyle name="Normal 345 3 2" xfId="27560" xr:uid="{00000000-0005-0000-0000-0000AB6A0000}"/>
    <cellStyle name="Normal 345 3 2 2" xfId="27561" xr:uid="{00000000-0005-0000-0000-0000AC6A0000}"/>
    <cellStyle name="Normal 345 3 2 2 2" xfId="27562" xr:uid="{00000000-0005-0000-0000-0000AD6A0000}"/>
    <cellStyle name="Normal 345 3 2 3" xfId="27563" xr:uid="{00000000-0005-0000-0000-0000AE6A0000}"/>
    <cellStyle name="Normal 345 3 2 3 2" xfId="27564" xr:uid="{00000000-0005-0000-0000-0000AF6A0000}"/>
    <cellStyle name="Normal 345 3 2 3 2 2" xfId="27565" xr:uid="{00000000-0005-0000-0000-0000B06A0000}"/>
    <cellStyle name="Normal 345 3 2 3 3" xfId="27566" xr:uid="{00000000-0005-0000-0000-0000B16A0000}"/>
    <cellStyle name="Normal 345 3 2 4" xfId="27567" xr:uid="{00000000-0005-0000-0000-0000B26A0000}"/>
    <cellStyle name="Normal 345 3 3" xfId="27568" xr:uid="{00000000-0005-0000-0000-0000B36A0000}"/>
    <cellStyle name="Normal 345 3 3 2" xfId="27569" xr:uid="{00000000-0005-0000-0000-0000B46A0000}"/>
    <cellStyle name="Normal 345 3 3 2 2" xfId="27570" xr:uid="{00000000-0005-0000-0000-0000B56A0000}"/>
    <cellStyle name="Normal 345 3 3 3" xfId="27571" xr:uid="{00000000-0005-0000-0000-0000B66A0000}"/>
    <cellStyle name="Normal 345 3 4" xfId="27572" xr:uid="{00000000-0005-0000-0000-0000B76A0000}"/>
    <cellStyle name="Normal 345 3 4 2" xfId="27573" xr:uid="{00000000-0005-0000-0000-0000B86A0000}"/>
    <cellStyle name="Normal 345 3 4 2 2" xfId="27574" xr:uid="{00000000-0005-0000-0000-0000B96A0000}"/>
    <cellStyle name="Normal 345 3 4 3" xfId="27575" xr:uid="{00000000-0005-0000-0000-0000BA6A0000}"/>
    <cellStyle name="Normal 345 3 5" xfId="27576" xr:uid="{00000000-0005-0000-0000-0000BB6A0000}"/>
    <cellStyle name="Normal 345 3 5 2" xfId="27577" xr:uid="{00000000-0005-0000-0000-0000BC6A0000}"/>
    <cellStyle name="Normal 345 3 5 2 2" xfId="27578" xr:uid="{00000000-0005-0000-0000-0000BD6A0000}"/>
    <cellStyle name="Normal 345 3 5 3" xfId="27579" xr:uid="{00000000-0005-0000-0000-0000BE6A0000}"/>
    <cellStyle name="Normal 345 3 6" xfId="27580" xr:uid="{00000000-0005-0000-0000-0000BF6A0000}"/>
    <cellStyle name="Normal 345 4" xfId="27581" xr:uid="{00000000-0005-0000-0000-0000C06A0000}"/>
    <cellStyle name="Normal 345 4 2" xfId="27582" xr:uid="{00000000-0005-0000-0000-0000C16A0000}"/>
    <cellStyle name="Normal 345 4 2 2" xfId="27583" xr:uid="{00000000-0005-0000-0000-0000C26A0000}"/>
    <cellStyle name="Normal 345 4 3" xfId="27584" xr:uid="{00000000-0005-0000-0000-0000C36A0000}"/>
    <cellStyle name="Normal 345 5" xfId="27585" xr:uid="{00000000-0005-0000-0000-0000C46A0000}"/>
    <cellStyle name="Normal 345 5 2" xfId="27586" xr:uid="{00000000-0005-0000-0000-0000C56A0000}"/>
    <cellStyle name="Normal 345 5 2 2" xfId="27587" xr:uid="{00000000-0005-0000-0000-0000C66A0000}"/>
    <cellStyle name="Normal 345 5 3" xfId="27588" xr:uid="{00000000-0005-0000-0000-0000C76A0000}"/>
    <cellStyle name="Normal 345 6" xfId="27589" xr:uid="{00000000-0005-0000-0000-0000C86A0000}"/>
    <cellStyle name="Normal 345 6 2" xfId="27590" xr:uid="{00000000-0005-0000-0000-0000C96A0000}"/>
    <cellStyle name="Normal 345 6 2 2" xfId="27591" xr:uid="{00000000-0005-0000-0000-0000CA6A0000}"/>
    <cellStyle name="Normal 345 6 3" xfId="27592" xr:uid="{00000000-0005-0000-0000-0000CB6A0000}"/>
    <cellStyle name="Normal 345 7" xfId="27593" xr:uid="{00000000-0005-0000-0000-0000CC6A0000}"/>
    <cellStyle name="Normal 346" xfId="27594" xr:uid="{00000000-0005-0000-0000-0000CD6A0000}"/>
    <cellStyle name="Normal 346 2" xfId="27595" xr:uid="{00000000-0005-0000-0000-0000CE6A0000}"/>
    <cellStyle name="Normal 346 2 2" xfId="27596" xr:uid="{00000000-0005-0000-0000-0000CF6A0000}"/>
    <cellStyle name="Normal 346 2 2 2" xfId="27597" xr:uid="{00000000-0005-0000-0000-0000D06A0000}"/>
    <cellStyle name="Normal 346 2 3" xfId="27598" xr:uid="{00000000-0005-0000-0000-0000D16A0000}"/>
    <cellStyle name="Normal 346 2 3 2" xfId="27599" xr:uid="{00000000-0005-0000-0000-0000D26A0000}"/>
    <cellStyle name="Normal 346 2 3 2 2" xfId="27600" xr:uid="{00000000-0005-0000-0000-0000D36A0000}"/>
    <cellStyle name="Normal 346 2 3 3" xfId="27601" xr:uid="{00000000-0005-0000-0000-0000D46A0000}"/>
    <cellStyle name="Normal 346 2 4" xfId="27602" xr:uid="{00000000-0005-0000-0000-0000D56A0000}"/>
    <cellStyle name="Normal 346 2 4 2" xfId="27603" xr:uid="{00000000-0005-0000-0000-0000D66A0000}"/>
    <cellStyle name="Normal 346 2 4 2 2" xfId="27604" xr:uid="{00000000-0005-0000-0000-0000D76A0000}"/>
    <cellStyle name="Normal 346 2 4 3" xfId="27605" xr:uid="{00000000-0005-0000-0000-0000D86A0000}"/>
    <cellStyle name="Normal 346 2 5" xfId="27606" xr:uid="{00000000-0005-0000-0000-0000D96A0000}"/>
    <cellStyle name="Normal 346 3" xfId="27607" xr:uid="{00000000-0005-0000-0000-0000DA6A0000}"/>
    <cellStyle name="Normal 346 3 2" xfId="27608" xr:uid="{00000000-0005-0000-0000-0000DB6A0000}"/>
    <cellStyle name="Normal 346 3 2 2" xfId="27609" xr:uid="{00000000-0005-0000-0000-0000DC6A0000}"/>
    <cellStyle name="Normal 346 3 2 2 2" xfId="27610" xr:uid="{00000000-0005-0000-0000-0000DD6A0000}"/>
    <cellStyle name="Normal 346 3 2 3" xfId="27611" xr:uid="{00000000-0005-0000-0000-0000DE6A0000}"/>
    <cellStyle name="Normal 346 3 2 3 2" xfId="27612" xr:uid="{00000000-0005-0000-0000-0000DF6A0000}"/>
    <cellStyle name="Normal 346 3 2 3 2 2" xfId="27613" xr:uid="{00000000-0005-0000-0000-0000E06A0000}"/>
    <cellStyle name="Normal 346 3 2 3 3" xfId="27614" xr:uid="{00000000-0005-0000-0000-0000E16A0000}"/>
    <cellStyle name="Normal 346 3 2 4" xfId="27615" xr:uid="{00000000-0005-0000-0000-0000E26A0000}"/>
    <cellStyle name="Normal 346 3 3" xfId="27616" xr:uid="{00000000-0005-0000-0000-0000E36A0000}"/>
    <cellStyle name="Normal 346 3 3 2" xfId="27617" xr:uid="{00000000-0005-0000-0000-0000E46A0000}"/>
    <cellStyle name="Normal 346 3 3 2 2" xfId="27618" xr:uid="{00000000-0005-0000-0000-0000E56A0000}"/>
    <cellStyle name="Normal 346 3 3 3" xfId="27619" xr:uid="{00000000-0005-0000-0000-0000E66A0000}"/>
    <cellStyle name="Normal 346 3 4" xfId="27620" xr:uid="{00000000-0005-0000-0000-0000E76A0000}"/>
    <cellStyle name="Normal 346 3 4 2" xfId="27621" xr:uid="{00000000-0005-0000-0000-0000E86A0000}"/>
    <cellStyle name="Normal 346 3 4 2 2" xfId="27622" xr:uid="{00000000-0005-0000-0000-0000E96A0000}"/>
    <cellStyle name="Normal 346 3 4 3" xfId="27623" xr:uid="{00000000-0005-0000-0000-0000EA6A0000}"/>
    <cellStyle name="Normal 346 3 5" xfId="27624" xr:uid="{00000000-0005-0000-0000-0000EB6A0000}"/>
    <cellStyle name="Normal 346 3 5 2" xfId="27625" xr:uid="{00000000-0005-0000-0000-0000EC6A0000}"/>
    <cellStyle name="Normal 346 3 5 2 2" xfId="27626" xr:uid="{00000000-0005-0000-0000-0000ED6A0000}"/>
    <cellStyle name="Normal 346 3 5 3" xfId="27627" xr:uid="{00000000-0005-0000-0000-0000EE6A0000}"/>
    <cellStyle name="Normal 346 3 6" xfId="27628" xr:uid="{00000000-0005-0000-0000-0000EF6A0000}"/>
    <cellStyle name="Normal 346 4" xfId="27629" xr:uid="{00000000-0005-0000-0000-0000F06A0000}"/>
    <cellStyle name="Normal 346 4 2" xfId="27630" xr:uid="{00000000-0005-0000-0000-0000F16A0000}"/>
    <cellStyle name="Normal 346 4 2 2" xfId="27631" xr:uid="{00000000-0005-0000-0000-0000F26A0000}"/>
    <cellStyle name="Normal 346 4 3" xfId="27632" xr:uid="{00000000-0005-0000-0000-0000F36A0000}"/>
    <cellStyle name="Normal 346 5" xfId="27633" xr:uid="{00000000-0005-0000-0000-0000F46A0000}"/>
    <cellStyle name="Normal 346 5 2" xfId="27634" xr:uid="{00000000-0005-0000-0000-0000F56A0000}"/>
    <cellStyle name="Normal 346 5 2 2" xfId="27635" xr:uid="{00000000-0005-0000-0000-0000F66A0000}"/>
    <cellStyle name="Normal 346 5 3" xfId="27636" xr:uid="{00000000-0005-0000-0000-0000F76A0000}"/>
    <cellStyle name="Normal 346 6" xfId="27637" xr:uid="{00000000-0005-0000-0000-0000F86A0000}"/>
    <cellStyle name="Normal 346 6 2" xfId="27638" xr:uid="{00000000-0005-0000-0000-0000F96A0000}"/>
    <cellStyle name="Normal 346 6 2 2" xfId="27639" xr:uid="{00000000-0005-0000-0000-0000FA6A0000}"/>
    <cellStyle name="Normal 346 6 3" xfId="27640" xr:uid="{00000000-0005-0000-0000-0000FB6A0000}"/>
    <cellStyle name="Normal 346 7" xfId="27641" xr:uid="{00000000-0005-0000-0000-0000FC6A0000}"/>
    <cellStyle name="Normal 347" xfId="27642" xr:uid="{00000000-0005-0000-0000-0000FD6A0000}"/>
    <cellStyle name="Normal 347 2" xfId="27643" xr:uid="{00000000-0005-0000-0000-0000FE6A0000}"/>
    <cellStyle name="Normal 347 2 2" xfId="27644" xr:uid="{00000000-0005-0000-0000-0000FF6A0000}"/>
    <cellStyle name="Normal 347 2 2 2" xfId="27645" xr:uid="{00000000-0005-0000-0000-0000006B0000}"/>
    <cellStyle name="Normal 347 2 3" xfId="27646" xr:uid="{00000000-0005-0000-0000-0000016B0000}"/>
    <cellStyle name="Normal 347 2 3 2" xfId="27647" xr:uid="{00000000-0005-0000-0000-0000026B0000}"/>
    <cellStyle name="Normal 347 2 3 2 2" xfId="27648" xr:uid="{00000000-0005-0000-0000-0000036B0000}"/>
    <cellStyle name="Normal 347 2 3 3" xfId="27649" xr:uid="{00000000-0005-0000-0000-0000046B0000}"/>
    <cellStyle name="Normal 347 2 4" xfId="27650" xr:uid="{00000000-0005-0000-0000-0000056B0000}"/>
    <cellStyle name="Normal 347 2 4 2" xfId="27651" xr:uid="{00000000-0005-0000-0000-0000066B0000}"/>
    <cellStyle name="Normal 347 2 4 2 2" xfId="27652" xr:uid="{00000000-0005-0000-0000-0000076B0000}"/>
    <cellStyle name="Normal 347 2 4 3" xfId="27653" xr:uid="{00000000-0005-0000-0000-0000086B0000}"/>
    <cellStyle name="Normal 347 2 5" xfId="27654" xr:uid="{00000000-0005-0000-0000-0000096B0000}"/>
    <cellStyle name="Normal 347 3" xfId="27655" xr:uid="{00000000-0005-0000-0000-00000A6B0000}"/>
    <cellStyle name="Normal 347 3 2" xfId="27656" xr:uid="{00000000-0005-0000-0000-00000B6B0000}"/>
    <cellStyle name="Normal 347 3 2 2" xfId="27657" xr:uid="{00000000-0005-0000-0000-00000C6B0000}"/>
    <cellStyle name="Normal 347 3 2 2 2" xfId="27658" xr:uid="{00000000-0005-0000-0000-00000D6B0000}"/>
    <cellStyle name="Normal 347 3 2 3" xfId="27659" xr:uid="{00000000-0005-0000-0000-00000E6B0000}"/>
    <cellStyle name="Normal 347 3 2 3 2" xfId="27660" xr:uid="{00000000-0005-0000-0000-00000F6B0000}"/>
    <cellStyle name="Normal 347 3 2 3 2 2" xfId="27661" xr:uid="{00000000-0005-0000-0000-0000106B0000}"/>
    <cellStyle name="Normal 347 3 2 3 3" xfId="27662" xr:uid="{00000000-0005-0000-0000-0000116B0000}"/>
    <cellStyle name="Normal 347 3 2 4" xfId="27663" xr:uid="{00000000-0005-0000-0000-0000126B0000}"/>
    <cellStyle name="Normal 347 3 3" xfId="27664" xr:uid="{00000000-0005-0000-0000-0000136B0000}"/>
    <cellStyle name="Normal 347 3 3 2" xfId="27665" xr:uid="{00000000-0005-0000-0000-0000146B0000}"/>
    <cellStyle name="Normal 347 3 3 2 2" xfId="27666" xr:uid="{00000000-0005-0000-0000-0000156B0000}"/>
    <cellStyle name="Normal 347 3 3 3" xfId="27667" xr:uid="{00000000-0005-0000-0000-0000166B0000}"/>
    <cellStyle name="Normal 347 3 4" xfId="27668" xr:uid="{00000000-0005-0000-0000-0000176B0000}"/>
    <cellStyle name="Normal 347 3 4 2" xfId="27669" xr:uid="{00000000-0005-0000-0000-0000186B0000}"/>
    <cellStyle name="Normal 347 3 4 2 2" xfId="27670" xr:uid="{00000000-0005-0000-0000-0000196B0000}"/>
    <cellStyle name="Normal 347 3 4 3" xfId="27671" xr:uid="{00000000-0005-0000-0000-00001A6B0000}"/>
    <cellStyle name="Normal 347 3 5" xfId="27672" xr:uid="{00000000-0005-0000-0000-00001B6B0000}"/>
    <cellStyle name="Normal 347 3 5 2" xfId="27673" xr:uid="{00000000-0005-0000-0000-00001C6B0000}"/>
    <cellStyle name="Normal 347 3 5 2 2" xfId="27674" xr:uid="{00000000-0005-0000-0000-00001D6B0000}"/>
    <cellStyle name="Normal 347 3 5 3" xfId="27675" xr:uid="{00000000-0005-0000-0000-00001E6B0000}"/>
    <cellStyle name="Normal 347 3 6" xfId="27676" xr:uid="{00000000-0005-0000-0000-00001F6B0000}"/>
    <cellStyle name="Normal 347 4" xfId="27677" xr:uid="{00000000-0005-0000-0000-0000206B0000}"/>
    <cellStyle name="Normal 347 4 2" xfId="27678" xr:uid="{00000000-0005-0000-0000-0000216B0000}"/>
    <cellStyle name="Normal 347 4 2 2" xfId="27679" xr:uid="{00000000-0005-0000-0000-0000226B0000}"/>
    <cellStyle name="Normal 347 4 3" xfId="27680" xr:uid="{00000000-0005-0000-0000-0000236B0000}"/>
    <cellStyle name="Normal 347 5" xfId="27681" xr:uid="{00000000-0005-0000-0000-0000246B0000}"/>
    <cellStyle name="Normal 347 5 2" xfId="27682" xr:uid="{00000000-0005-0000-0000-0000256B0000}"/>
    <cellStyle name="Normal 347 5 2 2" xfId="27683" xr:uid="{00000000-0005-0000-0000-0000266B0000}"/>
    <cellStyle name="Normal 347 5 3" xfId="27684" xr:uid="{00000000-0005-0000-0000-0000276B0000}"/>
    <cellStyle name="Normal 347 6" xfId="27685" xr:uid="{00000000-0005-0000-0000-0000286B0000}"/>
    <cellStyle name="Normal 347 6 2" xfId="27686" xr:uid="{00000000-0005-0000-0000-0000296B0000}"/>
    <cellStyle name="Normal 347 6 2 2" xfId="27687" xr:uid="{00000000-0005-0000-0000-00002A6B0000}"/>
    <cellStyle name="Normal 347 6 3" xfId="27688" xr:uid="{00000000-0005-0000-0000-00002B6B0000}"/>
    <cellStyle name="Normal 347 7" xfId="27689" xr:uid="{00000000-0005-0000-0000-00002C6B0000}"/>
    <cellStyle name="Normal 348" xfId="27690" xr:uid="{00000000-0005-0000-0000-00002D6B0000}"/>
    <cellStyle name="Normal 348 2" xfId="27691" xr:uid="{00000000-0005-0000-0000-00002E6B0000}"/>
    <cellStyle name="Normal 348 2 2" xfId="27692" xr:uid="{00000000-0005-0000-0000-00002F6B0000}"/>
    <cellStyle name="Normal 348 2 2 2" xfId="27693" xr:uid="{00000000-0005-0000-0000-0000306B0000}"/>
    <cellStyle name="Normal 348 2 3" xfId="27694" xr:uid="{00000000-0005-0000-0000-0000316B0000}"/>
    <cellStyle name="Normal 348 2 3 2" xfId="27695" xr:uid="{00000000-0005-0000-0000-0000326B0000}"/>
    <cellStyle name="Normal 348 2 3 2 2" xfId="27696" xr:uid="{00000000-0005-0000-0000-0000336B0000}"/>
    <cellStyle name="Normal 348 2 3 3" xfId="27697" xr:uid="{00000000-0005-0000-0000-0000346B0000}"/>
    <cellStyle name="Normal 348 2 4" xfId="27698" xr:uid="{00000000-0005-0000-0000-0000356B0000}"/>
    <cellStyle name="Normal 348 2 4 2" xfId="27699" xr:uid="{00000000-0005-0000-0000-0000366B0000}"/>
    <cellStyle name="Normal 348 2 4 2 2" xfId="27700" xr:uid="{00000000-0005-0000-0000-0000376B0000}"/>
    <cellStyle name="Normal 348 2 4 3" xfId="27701" xr:uid="{00000000-0005-0000-0000-0000386B0000}"/>
    <cellStyle name="Normal 348 2 5" xfId="27702" xr:uid="{00000000-0005-0000-0000-0000396B0000}"/>
    <cellStyle name="Normal 348 3" xfId="27703" xr:uid="{00000000-0005-0000-0000-00003A6B0000}"/>
    <cellStyle name="Normal 348 3 2" xfId="27704" xr:uid="{00000000-0005-0000-0000-00003B6B0000}"/>
    <cellStyle name="Normal 348 3 2 2" xfId="27705" xr:uid="{00000000-0005-0000-0000-00003C6B0000}"/>
    <cellStyle name="Normal 348 3 2 2 2" xfId="27706" xr:uid="{00000000-0005-0000-0000-00003D6B0000}"/>
    <cellStyle name="Normal 348 3 2 3" xfId="27707" xr:uid="{00000000-0005-0000-0000-00003E6B0000}"/>
    <cellStyle name="Normal 348 3 2 3 2" xfId="27708" xr:uid="{00000000-0005-0000-0000-00003F6B0000}"/>
    <cellStyle name="Normal 348 3 2 3 2 2" xfId="27709" xr:uid="{00000000-0005-0000-0000-0000406B0000}"/>
    <cellStyle name="Normal 348 3 2 3 3" xfId="27710" xr:uid="{00000000-0005-0000-0000-0000416B0000}"/>
    <cellStyle name="Normal 348 3 2 4" xfId="27711" xr:uid="{00000000-0005-0000-0000-0000426B0000}"/>
    <cellStyle name="Normal 348 3 3" xfId="27712" xr:uid="{00000000-0005-0000-0000-0000436B0000}"/>
    <cellStyle name="Normal 348 3 3 2" xfId="27713" xr:uid="{00000000-0005-0000-0000-0000446B0000}"/>
    <cellStyle name="Normal 348 3 3 2 2" xfId="27714" xr:uid="{00000000-0005-0000-0000-0000456B0000}"/>
    <cellStyle name="Normal 348 3 3 3" xfId="27715" xr:uid="{00000000-0005-0000-0000-0000466B0000}"/>
    <cellStyle name="Normal 348 3 4" xfId="27716" xr:uid="{00000000-0005-0000-0000-0000476B0000}"/>
    <cellStyle name="Normal 348 3 4 2" xfId="27717" xr:uid="{00000000-0005-0000-0000-0000486B0000}"/>
    <cellStyle name="Normal 348 3 4 2 2" xfId="27718" xr:uid="{00000000-0005-0000-0000-0000496B0000}"/>
    <cellStyle name="Normal 348 3 4 3" xfId="27719" xr:uid="{00000000-0005-0000-0000-00004A6B0000}"/>
    <cellStyle name="Normal 348 3 5" xfId="27720" xr:uid="{00000000-0005-0000-0000-00004B6B0000}"/>
    <cellStyle name="Normal 348 3 5 2" xfId="27721" xr:uid="{00000000-0005-0000-0000-00004C6B0000}"/>
    <cellStyle name="Normal 348 3 5 2 2" xfId="27722" xr:uid="{00000000-0005-0000-0000-00004D6B0000}"/>
    <cellStyle name="Normal 348 3 5 3" xfId="27723" xr:uid="{00000000-0005-0000-0000-00004E6B0000}"/>
    <cellStyle name="Normal 348 3 6" xfId="27724" xr:uid="{00000000-0005-0000-0000-00004F6B0000}"/>
    <cellStyle name="Normal 348 4" xfId="27725" xr:uid="{00000000-0005-0000-0000-0000506B0000}"/>
    <cellStyle name="Normal 348 4 2" xfId="27726" xr:uid="{00000000-0005-0000-0000-0000516B0000}"/>
    <cellStyle name="Normal 348 4 2 2" xfId="27727" xr:uid="{00000000-0005-0000-0000-0000526B0000}"/>
    <cellStyle name="Normal 348 4 3" xfId="27728" xr:uid="{00000000-0005-0000-0000-0000536B0000}"/>
    <cellStyle name="Normal 348 5" xfId="27729" xr:uid="{00000000-0005-0000-0000-0000546B0000}"/>
    <cellStyle name="Normal 348 5 2" xfId="27730" xr:uid="{00000000-0005-0000-0000-0000556B0000}"/>
    <cellStyle name="Normal 348 5 2 2" xfId="27731" xr:uid="{00000000-0005-0000-0000-0000566B0000}"/>
    <cellStyle name="Normal 348 5 3" xfId="27732" xr:uid="{00000000-0005-0000-0000-0000576B0000}"/>
    <cellStyle name="Normal 348 6" xfId="27733" xr:uid="{00000000-0005-0000-0000-0000586B0000}"/>
    <cellStyle name="Normal 348 6 2" xfId="27734" xr:uid="{00000000-0005-0000-0000-0000596B0000}"/>
    <cellStyle name="Normal 348 6 2 2" xfId="27735" xr:uid="{00000000-0005-0000-0000-00005A6B0000}"/>
    <cellStyle name="Normal 348 6 3" xfId="27736" xr:uid="{00000000-0005-0000-0000-00005B6B0000}"/>
    <cellStyle name="Normal 348 7" xfId="27737" xr:uid="{00000000-0005-0000-0000-00005C6B0000}"/>
    <cellStyle name="Normal 349" xfId="27738" xr:uid="{00000000-0005-0000-0000-00005D6B0000}"/>
    <cellStyle name="Normal 349 2" xfId="27739" xr:uid="{00000000-0005-0000-0000-00005E6B0000}"/>
    <cellStyle name="Normal 349 2 2" xfId="27740" xr:uid="{00000000-0005-0000-0000-00005F6B0000}"/>
    <cellStyle name="Normal 349 2 2 2" xfId="27741" xr:uid="{00000000-0005-0000-0000-0000606B0000}"/>
    <cellStyle name="Normal 349 2 3" xfId="27742" xr:uid="{00000000-0005-0000-0000-0000616B0000}"/>
    <cellStyle name="Normal 349 2 3 2" xfId="27743" xr:uid="{00000000-0005-0000-0000-0000626B0000}"/>
    <cellStyle name="Normal 349 2 3 2 2" xfId="27744" xr:uid="{00000000-0005-0000-0000-0000636B0000}"/>
    <cellStyle name="Normal 349 2 3 3" xfId="27745" xr:uid="{00000000-0005-0000-0000-0000646B0000}"/>
    <cellStyle name="Normal 349 2 4" xfId="27746" xr:uid="{00000000-0005-0000-0000-0000656B0000}"/>
    <cellStyle name="Normal 349 2 4 2" xfId="27747" xr:uid="{00000000-0005-0000-0000-0000666B0000}"/>
    <cellStyle name="Normal 349 2 4 2 2" xfId="27748" xr:uid="{00000000-0005-0000-0000-0000676B0000}"/>
    <cellStyle name="Normal 349 2 4 3" xfId="27749" xr:uid="{00000000-0005-0000-0000-0000686B0000}"/>
    <cellStyle name="Normal 349 2 5" xfId="27750" xr:uid="{00000000-0005-0000-0000-0000696B0000}"/>
    <cellStyle name="Normal 349 3" xfId="27751" xr:uid="{00000000-0005-0000-0000-00006A6B0000}"/>
    <cellStyle name="Normal 349 3 2" xfId="27752" xr:uid="{00000000-0005-0000-0000-00006B6B0000}"/>
    <cellStyle name="Normal 349 3 2 2" xfId="27753" xr:uid="{00000000-0005-0000-0000-00006C6B0000}"/>
    <cellStyle name="Normal 349 3 2 2 2" xfId="27754" xr:uid="{00000000-0005-0000-0000-00006D6B0000}"/>
    <cellStyle name="Normal 349 3 2 3" xfId="27755" xr:uid="{00000000-0005-0000-0000-00006E6B0000}"/>
    <cellStyle name="Normal 349 3 2 3 2" xfId="27756" xr:uid="{00000000-0005-0000-0000-00006F6B0000}"/>
    <cellStyle name="Normal 349 3 2 3 2 2" xfId="27757" xr:uid="{00000000-0005-0000-0000-0000706B0000}"/>
    <cellStyle name="Normal 349 3 2 3 3" xfId="27758" xr:uid="{00000000-0005-0000-0000-0000716B0000}"/>
    <cellStyle name="Normal 349 3 2 4" xfId="27759" xr:uid="{00000000-0005-0000-0000-0000726B0000}"/>
    <cellStyle name="Normal 349 3 3" xfId="27760" xr:uid="{00000000-0005-0000-0000-0000736B0000}"/>
    <cellStyle name="Normal 349 3 3 2" xfId="27761" xr:uid="{00000000-0005-0000-0000-0000746B0000}"/>
    <cellStyle name="Normal 349 3 3 2 2" xfId="27762" xr:uid="{00000000-0005-0000-0000-0000756B0000}"/>
    <cellStyle name="Normal 349 3 3 3" xfId="27763" xr:uid="{00000000-0005-0000-0000-0000766B0000}"/>
    <cellStyle name="Normal 349 3 4" xfId="27764" xr:uid="{00000000-0005-0000-0000-0000776B0000}"/>
    <cellStyle name="Normal 349 3 4 2" xfId="27765" xr:uid="{00000000-0005-0000-0000-0000786B0000}"/>
    <cellStyle name="Normal 349 3 4 2 2" xfId="27766" xr:uid="{00000000-0005-0000-0000-0000796B0000}"/>
    <cellStyle name="Normal 349 3 4 3" xfId="27767" xr:uid="{00000000-0005-0000-0000-00007A6B0000}"/>
    <cellStyle name="Normal 349 3 5" xfId="27768" xr:uid="{00000000-0005-0000-0000-00007B6B0000}"/>
    <cellStyle name="Normal 349 3 5 2" xfId="27769" xr:uid="{00000000-0005-0000-0000-00007C6B0000}"/>
    <cellStyle name="Normal 349 3 5 2 2" xfId="27770" xr:uid="{00000000-0005-0000-0000-00007D6B0000}"/>
    <cellStyle name="Normal 349 3 5 3" xfId="27771" xr:uid="{00000000-0005-0000-0000-00007E6B0000}"/>
    <cellStyle name="Normal 349 3 6" xfId="27772" xr:uid="{00000000-0005-0000-0000-00007F6B0000}"/>
    <cellStyle name="Normal 349 4" xfId="27773" xr:uid="{00000000-0005-0000-0000-0000806B0000}"/>
    <cellStyle name="Normal 349 4 2" xfId="27774" xr:uid="{00000000-0005-0000-0000-0000816B0000}"/>
    <cellStyle name="Normal 349 4 2 2" xfId="27775" xr:uid="{00000000-0005-0000-0000-0000826B0000}"/>
    <cellStyle name="Normal 349 4 3" xfId="27776" xr:uid="{00000000-0005-0000-0000-0000836B0000}"/>
    <cellStyle name="Normal 349 5" xfId="27777" xr:uid="{00000000-0005-0000-0000-0000846B0000}"/>
    <cellStyle name="Normal 349 5 2" xfId="27778" xr:uid="{00000000-0005-0000-0000-0000856B0000}"/>
    <cellStyle name="Normal 349 5 2 2" xfId="27779" xr:uid="{00000000-0005-0000-0000-0000866B0000}"/>
    <cellStyle name="Normal 349 5 3" xfId="27780" xr:uid="{00000000-0005-0000-0000-0000876B0000}"/>
    <cellStyle name="Normal 349 6" xfId="27781" xr:uid="{00000000-0005-0000-0000-0000886B0000}"/>
    <cellStyle name="Normal 349 6 2" xfId="27782" xr:uid="{00000000-0005-0000-0000-0000896B0000}"/>
    <cellStyle name="Normal 349 6 2 2" xfId="27783" xr:uid="{00000000-0005-0000-0000-00008A6B0000}"/>
    <cellStyle name="Normal 349 6 3" xfId="27784" xr:uid="{00000000-0005-0000-0000-00008B6B0000}"/>
    <cellStyle name="Normal 349 7" xfId="27785" xr:uid="{00000000-0005-0000-0000-00008C6B0000}"/>
    <cellStyle name="Normal 35" xfId="27786" xr:uid="{00000000-0005-0000-0000-00008D6B0000}"/>
    <cellStyle name="Normal 35 2" xfId="27787" xr:uid="{00000000-0005-0000-0000-00008E6B0000}"/>
    <cellStyle name="Normal 35 2 2" xfId="27788" xr:uid="{00000000-0005-0000-0000-00008F6B0000}"/>
    <cellStyle name="Normal 35 2 2 2" xfId="27789" xr:uid="{00000000-0005-0000-0000-0000906B0000}"/>
    <cellStyle name="Normal 35 2 2 2 2" xfId="27790" xr:uid="{00000000-0005-0000-0000-0000916B0000}"/>
    <cellStyle name="Normal 35 2 2 3" xfId="27791" xr:uid="{00000000-0005-0000-0000-0000926B0000}"/>
    <cellStyle name="Normal 35 2 2 3 2" xfId="27792" xr:uid="{00000000-0005-0000-0000-0000936B0000}"/>
    <cellStyle name="Normal 35 2 2 3 2 2" xfId="27793" xr:uid="{00000000-0005-0000-0000-0000946B0000}"/>
    <cellStyle name="Normal 35 2 2 3 3" xfId="27794" xr:uid="{00000000-0005-0000-0000-0000956B0000}"/>
    <cellStyle name="Normal 35 2 2 4" xfId="27795" xr:uid="{00000000-0005-0000-0000-0000966B0000}"/>
    <cellStyle name="Normal 35 2 2 4 2" xfId="27796" xr:uid="{00000000-0005-0000-0000-0000976B0000}"/>
    <cellStyle name="Normal 35 2 2 4 2 2" xfId="27797" xr:uid="{00000000-0005-0000-0000-0000986B0000}"/>
    <cellStyle name="Normal 35 2 2 4 3" xfId="27798" xr:uid="{00000000-0005-0000-0000-0000996B0000}"/>
    <cellStyle name="Normal 35 2 2 5" xfId="27799" xr:uid="{00000000-0005-0000-0000-00009A6B0000}"/>
    <cellStyle name="Normal 35 2 3" xfId="27800" xr:uid="{00000000-0005-0000-0000-00009B6B0000}"/>
    <cellStyle name="Normal 35 2 3 2" xfId="27801" xr:uid="{00000000-0005-0000-0000-00009C6B0000}"/>
    <cellStyle name="Normal 35 2 3 2 2" xfId="27802" xr:uid="{00000000-0005-0000-0000-00009D6B0000}"/>
    <cellStyle name="Normal 35 2 3 3" xfId="27803" xr:uid="{00000000-0005-0000-0000-00009E6B0000}"/>
    <cellStyle name="Normal 35 2 4" xfId="27804" xr:uid="{00000000-0005-0000-0000-00009F6B0000}"/>
    <cellStyle name="Normal 35 2 4 2" xfId="27805" xr:uid="{00000000-0005-0000-0000-0000A06B0000}"/>
    <cellStyle name="Normal 35 2 4 2 2" xfId="27806" xr:uid="{00000000-0005-0000-0000-0000A16B0000}"/>
    <cellStyle name="Normal 35 2 4 3" xfId="27807" xr:uid="{00000000-0005-0000-0000-0000A26B0000}"/>
    <cellStyle name="Normal 35 2 5" xfId="27808" xr:uid="{00000000-0005-0000-0000-0000A36B0000}"/>
    <cellStyle name="Normal 35 2 5 2" xfId="27809" xr:uid="{00000000-0005-0000-0000-0000A46B0000}"/>
    <cellStyle name="Normal 35 2 5 2 2" xfId="27810" xr:uid="{00000000-0005-0000-0000-0000A56B0000}"/>
    <cellStyle name="Normal 35 2 5 3" xfId="27811" xr:uid="{00000000-0005-0000-0000-0000A66B0000}"/>
    <cellStyle name="Normal 35 2 6" xfId="27812" xr:uid="{00000000-0005-0000-0000-0000A76B0000}"/>
    <cellStyle name="Normal 35 3" xfId="27813" xr:uid="{00000000-0005-0000-0000-0000A86B0000}"/>
    <cellStyle name="Normal 35 3 2" xfId="27814" xr:uid="{00000000-0005-0000-0000-0000A96B0000}"/>
    <cellStyle name="Normal 35 3 2 2" xfId="27815" xr:uid="{00000000-0005-0000-0000-0000AA6B0000}"/>
    <cellStyle name="Normal 35 3 3" xfId="27816" xr:uid="{00000000-0005-0000-0000-0000AB6B0000}"/>
    <cellStyle name="Normal 35 3 3 2" xfId="27817" xr:uid="{00000000-0005-0000-0000-0000AC6B0000}"/>
    <cellStyle name="Normal 35 3 3 2 2" xfId="27818" xr:uid="{00000000-0005-0000-0000-0000AD6B0000}"/>
    <cellStyle name="Normal 35 3 3 3" xfId="27819" xr:uid="{00000000-0005-0000-0000-0000AE6B0000}"/>
    <cellStyle name="Normal 35 3 4" xfId="27820" xr:uid="{00000000-0005-0000-0000-0000AF6B0000}"/>
    <cellStyle name="Normal 35 3 4 2" xfId="27821" xr:uid="{00000000-0005-0000-0000-0000B06B0000}"/>
    <cellStyle name="Normal 35 3 4 2 2" xfId="27822" xr:uid="{00000000-0005-0000-0000-0000B16B0000}"/>
    <cellStyle name="Normal 35 3 4 3" xfId="27823" xr:uid="{00000000-0005-0000-0000-0000B26B0000}"/>
    <cellStyle name="Normal 35 3 5" xfId="27824" xr:uid="{00000000-0005-0000-0000-0000B36B0000}"/>
    <cellStyle name="Normal 35 4" xfId="27825" xr:uid="{00000000-0005-0000-0000-0000B46B0000}"/>
    <cellStyle name="Normal 35 4 2" xfId="27826" xr:uid="{00000000-0005-0000-0000-0000B56B0000}"/>
    <cellStyle name="Normal 35 4 2 2" xfId="27827" xr:uid="{00000000-0005-0000-0000-0000B66B0000}"/>
    <cellStyle name="Normal 35 4 3" xfId="27828" xr:uid="{00000000-0005-0000-0000-0000B76B0000}"/>
    <cellStyle name="Normal 35 5" xfId="27829" xr:uid="{00000000-0005-0000-0000-0000B86B0000}"/>
    <cellStyle name="Normal 35 5 2" xfId="27830" xr:uid="{00000000-0005-0000-0000-0000B96B0000}"/>
    <cellStyle name="Normal 35 5 2 2" xfId="27831" xr:uid="{00000000-0005-0000-0000-0000BA6B0000}"/>
    <cellStyle name="Normal 35 5 3" xfId="27832" xr:uid="{00000000-0005-0000-0000-0000BB6B0000}"/>
    <cellStyle name="Normal 35 6" xfId="27833" xr:uid="{00000000-0005-0000-0000-0000BC6B0000}"/>
    <cellStyle name="Normal 35 6 2" xfId="27834" xr:uid="{00000000-0005-0000-0000-0000BD6B0000}"/>
    <cellStyle name="Normal 35 6 2 2" xfId="27835" xr:uid="{00000000-0005-0000-0000-0000BE6B0000}"/>
    <cellStyle name="Normal 35 6 3" xfId="27836" xr:uid="{00000000-0005-0000-0000-0000BF6B0000}"/>
    <cellStyle name="Normal 35 7" xfId="27837" xr:uid="{00000000-0005-0000-0000-0000C06B0000}"/>
    <cellStyle name="Normal 350" xfId="27838" xr:uid="{00000000-0005-0000-0000-0000C16B0000}"/>
    <cellStyle name="Normal 350 2" xfId="27839" xr:uid="{00000000-0005-0000-0000-0000C26B0000}"/>
    <cellStyle name="Normal 350 2 2" xfId="27840" xr:uid="{00000000-0005-0000-0000-0000C36B0000}"/>
    <cellStyle name="Normal 350 2 2 2" xfId="27841" xr:uid="{00000000-0005-0000-0000-0000C46B0000}"/>
    <cellStyle name="Normal 350 2 3" xfId="27842" xr:uid="{00000000-0005-0000-0000-0000C56B0000}"/>
    <cellStyle name="Normal 350 2 3 2" xfId="27843" xr:uid="{00000000-0005-0000-0000-0000C66B0000}"/>
    <cellStyle name="Normal 350 2 3 2 2" xfId="27844" xr:uid="{00000000-0005-0000-0000-0000C76B0000}"/>
    <cellStyle name="Normal 350 2 3 3" xfId="27845" xr:uid="{00000000-0005-0000-0000-0000C86B0000}"/>
    <cellStyle name="Normal 350 2 4" xfId="27846" xr:uid="{00000000-0005-0000-0000-0000C96B0000}"/>
    <cellStyle name="Normal 350 2 4 2" xfId="27847" xr:uid="{00000000-0005-0000-0000-0000CA6B0000}"/>
    <cellStyle name="Normal 350 2 4 2 2" xfId="27848" xr:uid="{00000000-0005-0000-0000-0000CB6B0000}"/>
    <cellStyle name="Normal 350 2 4 3" xfId="27849" xr:uid="{00000000-0005-0000-0000-0000CC6B0000}"/>
    <cellStyle name="Normal 350 2 5" xfId="27850" xr:uid="{00000000-0005-0000-0000-0000CD6B0000}"/>
    <cellStyle name="Normal 350 3" xfId="27851" xr:uid="{00000000-0005-0000-0000-0000CE6B0000}"/>
    <cellStyle name="Normal 350 3 2" xfId="27852" xr:uid="{00000000-0005-0000-0000-0000CF6B0000}"/>
    <cellStyle name="Normal 350 3 2 2" xfId="27853" xr:uid="{00000000-0005-0000-0000-0000D06B0000}"/>
    <cellStyle name="Normal 350 3 2 2 2" xfId="27854" xr:uid="{00000000-0005-0000-0000-0000D16B0000}"/>
    <cellStyle name="Normal 350 3 2 3" xfId="27855" xr:uid="{00000000-0005-0000-0000-0000D26B0000}"/>
    <cellStyle name="Normal 350 3 2 3 2" xfId="27856" xr:uid="{00000000-0005-0000-0000-0000D36B0000}"/>
    <cellStyle name="Normal 350 3 2 3 2 2" xfId="27857" xr:uid="{00000000-0005-0000-0000-0000D46B0000}"/>
    <cellStyle name="Normal 350 3 2 3 3" xfId="27858" xr:uid="{00000000-0005-0000-0000-0000D56B0000}"/>
    <cellStyle name="Normal 350 3 2 4" xfId="27859" xr:uid="{00000000-0005-0000-0000-0000D66B0000}"/>
    <cellStyle name="Normal 350 3 3" xfId="27860" xr:uid="{00000000-0005-0000-0000-0000D76B0000}"/>
    <cellStyle name="Normal 350 3 3 2" xfId="27861" xr:uid="{00000000-0005-0000-0000-0000D86B0000}"/>
    <cellStyle name="Normal 350 3 3 2 2" xfId="27862" xr:uid="{00000000-0005-0000-0000-0000D96B0000}"/>
    <cellStyle name="Normal 350 3 3 3" xfId="27863" xr:uid="{00000000-0005-0000-0000-0000DA6B0000}"/>
    <cellStyle name="Normal 350 3 4" xfId="27864" xr:uid="{00000000-0005-0000-0000-0000DB6B0000}"/>
    <cellStyle name="Normal 350 3 4 2" xfId="27865" xr:uid="{00000000-0005-0000-0000-0000DC6B0000}"/>
    <cellStyle name="Normal 350 3 4 2 2" xfId="27866" xr:uid="{00000000-0005-0000-0000-0000DD6B0000}"/>
    <cellStyle name="Normal 350 3 4 3" xfId="27867" xr:uid="{00000000-0005-0000-0000-0000DE6B0000}"/>
    <cellStyle name="Normal 350 3 5" xfId="27868" xr:uid="{00000000-0005-0000-0000-0000DF6B0000}"/>
    <cellStyle name="Normal 350 3 5 2" xfId="27869" xr:uid="{00000000-0005-0000-0000-0000E06B0000}"/>
    <cellStyle name="Normal 350 3 5 2 2" xfId="27870" xr:uid="{00000000-0005-0000-0000-0000E16B0000}"/>
    <cellStyle name="Normal 350 3 5 3" xfId="27871" xr:uid="{00000000-0005-0000-0000-0000E26B0000}"/>
    <cellStyle name="Normal 350 3 6" xfId="27872" xr:uid="{00000000-0005-0000-0000-0000E36B0000}"/>
    <cellStyle name="Normal 350 4" xfId="27873" xr:uid="{00000000-0005-0000-0000-0000E46B0000}"/>
    <cellStyle name="Normal 350 4 2" xfId="27874" xr:uid="{00000000-0005-0000-0000-0000E56B0000}"/>
    <cellStyle name="Normal 350 4 2 2" xfId="27875" xr:uid="{00000000-0005-0000-0000-0000E66B0000}"/>
    <cellStyle name="Normal 350 4 3" xfId="27876" xr:uid="{00000000-0005-0000-0000-0000E76B0000}"/>
    <cellStyle name="Normal 350 5" xfId="27877" xr:uid="{00000000-0005-0000-0000-0000E86B0000}"/>
    <cellStyle name="Normal 350 5 2" xfId="27878" xr:uid="{00000000-0005-0000-0000-0000E96B0000}"/>
    <cellStyle name="Normal 350 5 2 2" xfId="27879" xr:uid="{00000000-0005-0000-0000-0000EA6B0000}"/>
    <cellStyle name="Normal 350 5 3" xfId="27880" xr:uid="{00000000-0005-0000-0000-0000EB6B0000}"/>
    <cellStyle name="Normal 350 6" xfId="27881" xr:uid="{00000000-0005-0000-0000-0000EC6B0000}"/>
    <cellStyle name="Normal 350 6 2" xfId="27882" xr:uid="{00000000-0005-0000-0000-0000ED6B0000}"/>
    <cellStyle name="Normal 350 6 2 2" xfId="27883" xr:uid="{00000000-0005-0000-0000-0000EE6B0000}"/>
    <cellStyle name="Normal 350 6 3" xfId="27884" xr:uid="{00000000-0005-0000-0000-0000EF6B0000}"/>
    <cellStyle name="Normal 350 7" xfId="27885" xr:uid="{00000000-0005-0000-0000-0000F06B0000}"/>
    <cellStyle name="Normal 351" xfId="27886" xr:uid="{00000000-0005-0000-0000-0000F16B0000}"/>
    <cellStyle name="Normal 351 2" xfId="27887" xr:uid="{00000000-0005-0000-0000-0000F26B0000}"/>
    <cellStyle name="Normal 351 2 2" xfId="27888" xr:uid="{00000000-0005-0000-0000-0000F36B0000}"/>
    <cellStyle name="Normal 351 2 2 2" xfId="27889" xr:uid="{00000000-0005-0000-0000-0000F46B0000}"/>
    <cellStyle name="Normal 351 2 3" xfId="27890" xr:uid="{00000000-0005-0000-0000-0000F56B0000}"/>
    <cellStyle name="Normal 351 2 3 2" xfId="27891" xr:uid="{00000000-0005-0000-0000-0000F66B0000}"/>
    <cellStyle name="Normal 351 2 3 2 2" xfId="27892" xr:uid="{00000000-0005-0000-0000-0000F76B0000}"/>
    <cellStyle name="Normal 351 2 3 3" xfId="27893" xr:uid="{00000000-0005-0000-0000-0000F86B0000}"/>
    <cellStyle name="Normal 351 2 4" xfId="27894" xr:uid="{00000000-0005-0000-0000-0000F96B0000}"/>
    <cellStyle name="Normal 351 2 4 2" xfId="27895" xr:uid="{00000000-0005-0000-0000-0000FA6B0000}"/>
    <cellStyle name="Normal 351 2 4 2 2" xfId="27896" xr:uid="{00000000-0005-0000-0000-0000FB6B0000}"/>
    <cellStyle name="Normal 351 2 4 3" xfId="27897" xr:uid="{00000000-0005-0000-0000-0000FC6B0000}"/>
    <cellStyle name="Normal 351 2 5" xfId="27898" xr:uid="{00000000-0005-0000-0000-0000FD6B0000}"/>
    <cellStyle name="Normal 351 3" xfId="27899" xr:uid="{00000000-0005-0000-0000-0000FE6B0000}"/>
    <cellStyle name="Normal 351 3 2" xfId="27900" xr:uid="{00000000-0005-0000-0000-0000FF6B0000}"/>
    <cellStyle name="Normal 351 3 2 2" xfId="27901" xr:uid="{00000000-0005-0000-0000-0000006C0000}"/>
    <cellStyle name="Normal 351 3 2 2 2" xfId="27902" xr:uid="{00000000-0005-0000-0000-0000016C0000}"/>
    <cellStyle name="Normal 351 3 2 3" xfId="27903" xr:uid="{00000000-0005-0000-0000-0000026C0000}"/>
    <cellStyle name="Normal 351 3 2 3 2" xfId="27904" xr:uid="{00000000-0005-0000-0000-0000036C0000}"/>
    <cellStyle name="Normal 351 3 2 3 2 2" xfId="27905" xr:uid="{00000000-0005-0000-0000-0000046C0000}"/>
    <cellStyle name="Normal 351 3 2 3 3" xfId="27906" xr:uid="{00000000-0005-0000-0000-0000056C0000}"/>
    <cellStyle name="Normal 351 3 2 4" xfId="27907" xr:uid="{00000000-0005-0000-0000-0000066C0000}"/>
    <cellStyle name="Normal 351 3 3" xfId="27908" xr:uid="{00000000-0005-0000-0000-0000076C0000}"/>
    <cellStyle name="Normal 351 3 3 2" xfId="27909" xr:uid="{00000000-0005-0000-0000-0000086C0000}"/>
    <cellStyle name="Normal 351 3 3 2 2" xfId="27910" xr:uid="{00000000-0005-0000-0000-0000096C0000}"/>
    <cellStyle name="Normal 351 3 3 3" xfId="27911" xr:uid="{00000000-0005-0000-0000-00000A6C0000}"/>
    <cellStyle name="Normal 351 3 4" xfId="27912" xr:uid="{00000000-0005-0000-0000-00000B6C0000}"/>
    <cellStyle name="Normal 351 3 4 2" xfId="27913" xr:uid="{00000000-0005-0000-0000-00000C6C0000}"/>
    <cellStyle name="Normal 351 3 4 2 2" xfId="27914" xr:uid="{00000000-0005-0000-0000-00000D6C0000}"/>
    <cellStyle name="Normal 351 3 4 3" xfId="27915" xr:uid="{00000000-0005-0000-0000-00000E6C0000}"/>
    <cellStyle name="Normal 351 3 5" xfId="27916" xr:uid="{00000000-0005-0000-0000-00000F6C0000}"/>
    <cellStyle name="Normal 351 3 5 2" xfId="27917" xr:uid="{00000000-0005-0000-0000-0000106C0000}"/>
    <cellStyle name="Normal 351 3 5 2 2" xfId="27918" xr:uid="{00000000-0005-0000-0000-0000116C0000}"/>
    <cellStyle name="Normal 351 3 5 3" xfId="27919" xr:uid="{00000000-0005-0000-0000-0000126C0000}"/>
    <cellStyle name="Normal 351 3 6" xfId="27920" xr:uid="{00000000-0005-0000-0000-0000136C0000}"/>
    <cellStyle name="Normal 351 4" xfId="27921" xr:uid="{00000000-0005-0000-0000-0000146C0000}"/>
    <cellStyle name="Normal 351 4 2" xfId="27922" xr:uid="{00000000-0005-0000-0000-0000156C0000}"/>
    <cellStyle name="Normal 351 4 2 2" xfId="27923" xr:uid="{00000000-0005-0000-0000-0000166C0000}"/>
    <cellStyle name="Normal 351 4 3" xfId="27924" xr:uid="{00000000-0005-0000-0000-0000176C0000}"/>
    <cellStyle name="Normal 351 5" xfId="27925" xr:uid="{00000000-0005-0000-0000-0000186C0000}"/>
    <cellStyle name="Normal 351 5 2" xfId="27926" xr:uid="{00000000-0005-0000-0000-0000196C0000}"/>
    <cellStyle name="Normal 351 5 2 2" xfId="27927" xr:uid="{00000000-0005-0000-0000-00001A6C0000}"/>
    <cellStyle name="Normal 351 5 3" xfId="27928" xr:uid="{00000000-0005-0000-0000-00001B6C0000}"/>
    <cellStyle name="Normal 351 6" xfId="27929" xr:uid="{00000000-0005-0000-0000-00001C6C0000}"/>
    <cellStyle name="Normal 351 6 2" xfId="27930" xr:uid="{00000000-0005-0000-0000-00001D6C0000}"/>
    <cellStyle name="Normal 351 6 2 2" xfId="27931" xr:uid="{00000000-0005-0000-0000-00001E6C0000}"/>
    <cellStyle name="Normal 351 6 3" xfId="27932" xr:uid="{00000000-0005-0000-0000-00001F6C0000}"/>
    <cellStyle name="Normal 351 7" xfId="27933" xr:uid="{00000000-0005-0000-0000-0000206C0000}"/>
    <cellStyle name="Normal 352" xfId="27934" xr:uid="{00000000-0005-0000-0000-0000216C0000}"/>
    <cellStyle name="Normal 352 2" xfId="27935" xr:uid="{00000000-0005-0000-0000-0000226C0000}"/>
    <cellStyle name="Normal 352 2 2" xfId="27936" xr:uid="{00000000-0005-0000-0000-0000236C0000}"/>
    <cellStyle name="Normal 352 2 2 2" xfId="27937" xr:uid="{00000000-0005-0000-0000-0000246C0000}"/>
    <cellStyle name="Normal 352 2 3" xfId="27938" xr:uid="{00000000-0005-0000-0000-0000256C0000}"/>
    <cellStyle name="Normal 352 2 3 2" xfId="27939" xr:uid="{00000000-0005-0000-0000-0000266C0000}"/>
    <cellStyle name="Normal 352 2 3 2 2" xfId="27940" xr:uid="{00000000-0005-0000-0000-0000276C0000}"/>
    <cellStyle name="Normal 352 2 3 3" xfId="27941" xr:uid="{00000000-0005-0000-0000-0000286C0000}"/>
    <cellStyle name="Normal 352 2 4" xfId="27942" xr:uid="{00000000-0005-0000-0000-0000296C0000}"/>
    <cellStyle name="Normal 352 2 4 2" xfId="27943" xr:uid="{00000000-0005-0000-0000-00002A6C0000}"/>
    <cellStyle name="Normal 352 2 4 2 2" xfId="27944" xr:uid="{00000000-0005-0000-0000-00002B6C0000}"/>
    <cellStyle name="Normal 352 2 4 3" xfId="27945" xr:uid="{00000000-0005-0000-0000-00002C6C0000}"/>
    <cellStyle name="Normal 352 2 5" xfId="27946" xr:uid="{00000000-0005-0000-0000-00002D6C0000}"/>
    <cellStyle name="Normal 352 3" xfId="27947" xr:uid="{00000000-0005-0000-0000-00002E6C0000}"/>
    <cellStyle name="Normal 352 3 2" xfId="27948" xr:uid="{00000000-0005-0000-0000-00002F6C0000}"/>
    <cellStyle name="Normal 352 3 2 2" xfId="27949" xr:uid="{00000000-0005-0000-0000-0000306C0000}"/>
    <cellStyle name="Normal 352 3 2 2 2" xfId="27950" xr:uid="{00000000-0005-0000-0000-0000316C0000}"/>
    <cellStyle name="Normal 352 3 2 3" xfId="27951" xr:uid="{00000000-0005-0000-0000-0000326C0000}"/>
    <cellStyle name="Normal 352 3 2 3 2" xfId="27952" xr:uid="{00000000-0005-0000-0000-0000336C0000}"/>
    <cellStyle name="Normal 352 3 2 3 2 2" xfId="27953" xr:uid="{00000000-0005-0000-0000-0000346C0000}"/>
    <cellStyle name="Normal 352 3 2 3 3" xfId="27954" xr:uid="{00000000-0005-0000-0000-0000356C0000}"/>
    <cellStyle name="Normal 352 3 2 4" xfId="27955" xr:uid="{00000000-0005-0000-0000-0000366C0000}"/>
    <cellStyle name="Normal 352 3 3" xfId="27956" xr:uid="{00000000-0005-0000-0000-0000376C0000}"/>
    <cellStyle name="Normal 352 3 3 2" xfId="27957" xr:uid="{00000000-0005-0000-0000-0000386C0000}"/>
    <cellStyle name="Normal 352 3 3 2 2" xfId="27958" xr:uid="{00000000-0005-0000-0000-0000396C0000}"/>
    <cellStyle name="Normal 352 3 3 3" xfId="27959" xr:uid="{00000000-0005-0000-0000-00003A6C0000}"/>
    <cellStyle name="Normal 352 3 4" xfId="27960" xr:uid="{00000000-0005-0000-0000-00003B6C0000}"/>
    <cellStyle name="Normal 352 3 4 2" xfId="27961" xr:uid="{00000000-0005-0000-0000-00003C6C0000}"/>
    <cellStyle name="Normal 352 3 4 2 2" xfId="27962" xr:uid="{00000000-0005-0000-0000-00003D6C0000}"/>
    <cellStyle name="Normal 352 3 4 3" xfId="27963" xr:uid="{00000000-0005-0000-0000-00003E6C0000}"/>
    <cellStyle name="Normal 352 3 5" xfId="27964" xr:uid="{00000000-0005-0000-0000-00003F6C0000}"/>
    <cellStyle name="Normal 352 3 5 2" xfId="27965" xr:uid="{00000000-0005-0000-0000-0000406C0000}"/>
    <cellStyle name="Normal 352 3 5 2 2" xfId="27966" xr:uid="{00000000-0005-0000-0000-0000416C0000}"/>
    <cellStyle name="Normal 352 3 5 3" xfId="27967" xr:uid="{00000000-0005-0000-0000-0000426C0000}"/>
    <cellStyle name="Normal 352 3 6" xfId="27968" xr:uid="{00000000-0005-0000-0000-0000436C0000}"/>
    <cellStyle name="Normal 352 4" xfId="27969" xr:uid="{00000000-0005-0000-0000-0000446C0000}"/>
    <cellStyle name="Normal 352 4 2" xfId="27970" xr:uid="{00000000-0005-0000-0000-0000456C0000}"/>
    <cellStyle name="Normal 352 4 2 2" xfId="27971" xr:uid="{00000000-0005-0000-0000-0000466C0000}"/>
    <cellStyle name="Normal 352 4 3" xfId="27972" xr:uid="{00000000-0005-0000-0000-0000476C0000}"/>
    <cellStyle name="Normal 352 5" xfId="27973" xr:uid="{00000000-0005-0000-0000-0000486C0000}"/>
    <cellStyle name="Normal 352 5 2" xfId="27974" xr:uid="{00000000-0005-0000-0000-0000496C0000}"/>
    <cellStyle name="Normal 352 5 2 2" xfId="27975" xr:uid="{00000000-0005-0000-0000-00004A6C0000}"/>
    <cellStyle name="Normal 352 5 3" xfId="27976" xr:uid="{00000000-0005-0000-0000-00004B6C0000}"/>
    <cellStyle name="Normal 352 6" xfId="27977" xr:uid="{00000000-0005-0000-0000-00004C6C0000}"/>
    <cellStyle name="Normal 352 6 2" xfId="27978" xr:uid="{00000000-0005-0000-0000-00004D6C0000}"/>
    <cellStyle name="Normal 352 6 2 2" xfId="27979" xr:uid="{00000000-0005-0000-0000-00004E6C0000}"/>
    <cellStyle name="Normal 352 6 3" xfId="27980" xr:uid="{00000000-0005-0000-0000-00004F6C0000}"/>
    <cellStyle name="Normal 352 7" xfId="27981" xr:uid="{00000000-0005-0000-0000-0000506C0000}"/>
    <cellStyle name="Normal 353" xfId="27982" xr:uid="{00000000-0005-0000-0000-0000516C0000}"/>
    <cellStyle name="Normal 353 2" xfId="27983" xr:uid="{00000000-0005-0000-0000-0000526C0000}"/>
    <cellStyle name="Normal 353 2 2" xfId="27984" xr:uid="{00000000-0005-0000-0000-0000536C0000}"/>
    <cellStyle name="Normal 353 2 2 2" xfId="27985" xr:uid="{00000000-0005-0000-0000-0000546C0000}"/>
    <cellStyle name="Normal 353 2 3" xfId="27986" xr:uid="{00000000-0005-0000-0000-0000556C0000}"/>
    <cellStyle name="Normal 353 2 3 2" xfId="27987" xr:uid="{00000000-0005-0000-0000-0000566C0000}"/>
    <cellStyle name="Normal 353 2 3 2 2" xfId="27988" xr:uid="{00000000-0005-0000-0000-0000576C0000}"/>
    <cellStyle name="Normal 353 2 3 3" xfId="27989" xr:uid="{00000000-0005-0000-0000-0000586C0000}"/>
    <cellStyle name="Normal 353 2 4" xfId="27990" xr:uid="{00000000-0005-0000-0000-0000596C0000}"/>
    <cellStyle name="Normal 353 2 4 2" xfId="27991" xr:uid="{00000000-0005-0000-0000-00005A6C0000}"/>
    <cellStyle name="Normal 353 2 4 2 2" xfId="27992" xr:uid="{00000000-0005-0000-0000-00005B6C0000}"/>
    <cellStyle name="Normal 353 2 4 3" xfId="27993" xr:uid="{00000000-0005-0000-0000-00005C6C0000}"/>
    <cellStyle name="Normal 353 2 5" xfId="27994" xr:uid="{00000000-0005-0000-0000-00005D6C0000}"/>
    <cellStyle name="Normal 353 3" xfId="27995" xr:uid="{00000000-0005-0000-0000-00005E6C0000}"/>
    <cellStyle name="Normal 353 3 2" xfId="27996" xr:uid="{00000000-0005-0000-0000-00005F6C0000}"/>
    <cellStyle name="Normal 353 3 2 2" xfId="27997" xr:uid="{00000000-0005-0000-0000-0000606C0000}"/>
    <cellStyle name="Normal 353 3 2 2 2" xfId="27998" xr:uid="{00000000-0005-0000-0000-0000616C0000}"/>
    <cellStyle name="Normal 353 3 2 3" xfId="27999" xr:uid="{00000000-0005-0000-0000-0000626C0000}"/>
    <cellStyle name="Normal 353 3 2 3 2" xfId="28000" xr:uid="{00000000-0005-0000-0000-0000636C0000}"/>
    <cellStyle name="Normal 353 3 2 3 2 2" xfId="28001" xr:uid="{00000000-0005-0000-0000-0000646C0000}"/>
    <cellStyle name="Normal 353 3 2 3 3" xfId="28002" xr:uid="{00000000-0005-0000-0000-0000656C0000}"/>
    <cellStyle name="Normal 353 3 2 4" xfId="28003" xr:uid="{00000000-0005-0000-0000-0000666C0000}"/>
    <cellStyle name="Normal 353 3 3" xfId="28004" xr:uid="{00000000-0005-0000-0000-0000676C0000}"/>
    <cellStyle name="Normal 353 3 3 2" xfId="28005" xr:uid="{00000000-0005-0000-0000-0000686C0000}"/>
    <cellStyle name="Normal 353 3 3 2 2" xfId="28006" xr:uid="{00000000-0005-0000-0000-0000696C0000}"/>
    <cellStyle name="Normal 353 3 3 3" xfId="28007" xr:uid="{00000000-0005-0000-0000-00006A6C0000}"/>
    <cellStyle name="Normal 353 3 4" xfId="28008" xr:uid="{00000000-0005-0000-0000-00006B6C0000}"/>
    <cellStyle name="Normal 353 3 4 2" xfId="28009" xr:uid="{00000000-0005-0000-0000-00006C6C0000}"/>
    <cellStyle name="Normal 353 3 4 2 2" xfId="28010" xr:uid="{00000000-0005-0000-0000-00006D6C0000}"/>
    <cellStyle name="Normal 353 3 4 3" xfId="28011" xr:uid="{00000000-0005-0000-0000-00006E6C0000}"/>
    <cellStyle name="Normal 353 3 5" xfId="28012" xr:uid="{00000000-0005-0000-0000-00006F6C0000}"/>
    <cellStyle name="Normal 353 3 5 2" xfId="28013" xr:uid="{00000000-0005-0000-0000-0000706C0000}"/>
    <cellStyle name="Normal 353 3 5 2 2" xfId="28014" xr:uid="{00000000-0005-0000-0000-0000716C0000}"/>
    <cellStyle name="Normal 353 3 5 3" xfId="28015" xr:uid="{00000000-0005-0000-0000-0000726C0000}"/>
    <cellStyle name="Normal 353 3 6" xfId="28016" xr:uid="{00000000-0005-0000-0000-0000736C0000}"/>
    <cellStyle name="Normal 353 4" xfId="28017" xr:uid="{00000000-0005-0000-0000-0000746C0000}"/>
    <cellStyle name="Normal 353 4 2" xfId="28018" xr:uid="{00000000-0005-0000-0000-0000756C0000}"/>
    <cellStyle name="Normal 353 4 2 2" xfId="28019" xr:uid="{00000000-0005-0000-0000-0000766C0000}"/>
    <cellStyle name="Normal 353 4 3" xfId="28020" xr:uid="{00000000-0005-0000-0000-0000776C0000}"/>
    <cellStyle name="Normal 353 5" xfId="28021" xr:uid="{00000000-0005-0000-0000-0000786C0000}"/>
    <cellStyle name="Normal 353 5 2" xfId="28022" xr:uid="{00000000-0005-0000-0000-0000796C0000}"/>
    <cellStyle name="Normal 353 5 2 2" xfId="28023" xr:uid="{00000000-0005-0000-0000-00007A6C0000}"/>
    <cellStyle name="Normal 353 5 3" xfId="28024" xr:uid="{00000000-0005-0000-0000-00007B6C0000}"/>
    <cellStyle name="Normal 353 6" xfId="28025" xr:uid="{00000000-0005-0000-0000-00007C6C0000}"/>
    <cellStyle name="Normal 353 6 2" xfId="28026" xr:uid="{00000000-0005-0000-0000-00007D6C0000}"/>
    <cellStyle name="Normal 353 6 2 2" xfId="28027" xr:uid="{00000000-0005-0000-0000-00007E6C0000}"/>
    <cellStyle name="Normal 353 6 3" xfId="28028" xr:uid="{00000000-0005-0000-0000-00007F6C0000}"/>
    <cellStyle name="Normal 353 7" xfId="28029" xr:uid="{00000000-0005-0000-0000-0000806C0000}"/>
    <cellStyle name="Normal 354" xfId="28030" xr:uid="{00000000-0005-0000-0000-0000816C0000}"/>
    <cellStyle name="Normal 354 2" xfId="28031" xr:uid="{00000000-0005-0000-0000-0000826C0000}"/>
    <cellStyle name="Normal 354 2 2" xfId="28032" xr:uid="{00000000-0005-0000-0000-0000836C0000}"/>
    <cellStyle name="Normal 354 2 2 2" xfId="28033" xr:uid="{00000000-0005-0000-0000-0000846C0000}"/>
    <cellStyle name="Normal 354 2 3" xfId="28034" xr:uid="{00000000-0005-0000-0000-0000856C0000}"/>
    <cellStyle name="Normal 354 2 3 2" xfId="28035" xr:uid="{00000000-0005-0000-0000-0000866C0000}"/>
    <cellStyle name="Normal 354 2 3 2 2" xfId="28036" xr:uid="{00000000-0005-0000-0000-0000876C0000}"/>
    <cellStyle name="Normal 354 2 3 3" xfId="28037" xr:uid="{00000000-0005-0000-0000-0000886C0000}"/>
    <cellStyle name="Normal 354 2 4" xfId="28038" xr:uid="{00000000-0005-0000-0000-0000896C0000}"/>
    <cellStyle name="Normal 354 2 4 2" xfId="28039" xr:uid="{00000000-0005-0000-0000-00008A6C0000}"/>
    <cellStyle name="Normal 354 2 4 2 2" xfId="28040" xr:uid="{00000000-0005-0000-0000-00008B6C0000}"/>
    <cellStyle name="Normal 354 2 4 3" xfId="28041" xr:uid="{00000000-0005-0000-0000-00008C6C0000}"/>
    <cellStyle name="Normal 354 2 5" xfId="28042" xr:uid="{00000000-0005-0000-0000-00008D6C0000}"/>
    <cellStyle name="Normal 354 3" xfId="28043" xr:uid="{00000000-0005-0000-0000-00008E6C0000}"/>
    <cellStyle name="Normal 354 3 2" xfId="28044" xr:uid="{00000000-0005-0000-0000-00008F6C0000}"/>
    <cellStyle name="Normal 354 3 2 2" xfId="28045" xr:uid="{00000000-0005-0000-0000-0000906C0000}"/>
    <cellStyle name="Normal 354 3 2 2 2" xfId="28046" xr:uid="{00000000-0005-0000-0000-0000916C0000}"/>
    <cellStyle name="Normal 354 3 2 3" xfId="28047" xr:uid="{00000000-0005-0000-0000-0000926C0000}"/>
    <cellStyle name="Normal 354 3 2 3 2" xfId="28048" xr:uid="{00000000-0005-0000-0000-0000936C0000}"/>
    <cellStyle name="Normal 354 3 2 3 2 2" xfId="28049" xr:uid="{00000000-0005-0000-0000-0000946C0000}"/>
    <cellStyle name="Normal 354 3 2 3 3" xfId="28050" xr:uid="{00000000-0005-0000-0000-0000956C0000}"/>
    <cellStyle name="Normal 354 3 2 4" xfId="28051" xr:uid="{00000000-0005-0000-0000-0000966C0000}"/>
    <cellStyle name="Normal 354 3 3" xfId="28052" xr:uid="{00000000-0005-0000-0000-0000976C0000}"/>
    <cellStyle name="Normal 354 3 3 2" xfId="28053" xr:uid="{00000000-0005-0000-0000-0000986C0000}"/>
    <cellStyle name="Normal 354 3 3 2 2" xfId="28054" xr:uid="{00000000-0005-0000-0000-0000996C0000}"/>
    <cellStyle name="Normal 354 3 3 3" xfId="28055" xr:uid="{00000000-0005-0000-0000-00009A6C0000}"/>
    <cellStyle name="Normal 354 3 4" xfId="28056" xr:uid="{00000000-0005-0000-0000-00009B6C0000}"/>
    <cellStyle name="Normal 354 3 4 2" xfId="28057" xr:uid="{00000000-0005-0000-0000-00009C6C0000}"/>
    <cellStyle name="Normal 354 3 4 2 2" xfId="28058" xr:uid="{00000000-0005-0000-0000-00009D6C0000}"/>
    <cellStyle name="Normal 354 3 4 3" xfId="28059" xr:uid="{00000000-0005-0000-0000-00009E6C0000}"/>
    <cellStyle name="Normal 354 3 5" xfId="28060" xr:uid="{00000000-0005-0000-0000-00009F6C0000}"/>
    <cellStyle name="Normal 354 3 5 2" xfId="28061" xr:uid="{00000000-0005-0000-0000-0000A06C0000}"/>
    <cellStyle name="Normal 354 3 5 2 2" xfId="28062" xr:uid="{00000000-0005-0000-0000-0000A16C0000}"/>
    <cellStyle name="Normal 354 3 5 3" xfId="28063" xr:uid="{00000000-0005-0000-0000-0000A26C0000}"/>
    <cellStyle name="Normal 354 3 6" xfId="28064" xr:uid="{00000000-0005-0000-0000-0000A36C0000}"/>
    <cellStyle name="Normal 354 4" xfId="28065" xr:uid="{00000000-0005-0000-0000-0000A46C0000}"/>
    <cellStyle name="Normal 354 4 2" xfId="28066" xr:uid="{00000000-0005-0000-0000-0000A56C0000}"/>
    <cellStyle name="Normal 354 4 2 2" xfId="28067" xr:uid="{00000000-0005-0000-0000-0000A66C0000}"/>
    <cellStyle name="Normal 354 4 3" xfId="28068" xr:uid="{00000000-0005-0000-0000-0000A76C0000}"/>
    <cellStyle name="Normal 354 5" xfId="28069" xr:uid="{00000000-0005-0000-0000-0000A86C0000}"/>
    <cellStyle name="Normal 354 5 2" xfId="28070" xr:uid="{00000000-0005-0000-0000-0000A96C0000}"/>
    <cellStyle name="Normal 354 5 2 2" xfId="28071" xr:uid="{00000000-0005-0000-0000-0000AA6C0000}"/>
    <cellStyle name="Normal 354 5 3" xfId="28072" xr:uid="{00000000-0005-0000-0000-0000AB6C0000}"/>
    <cellStyle name="Normal 354 6" xfId="28073" xr:uid="{00000000-0005-0000-0000-0000AC6C0000}"/>
    <cellStyle name="Normal 354 6 2" xfId="28074" xr:uid="{00000000-0005-0000-0000-0000AD6C0000}"/>
    <cellStyle name="Normal 354 6 2 2" xfId="28075" xr:uid="{00000000-0005-0000-0000-0000AE6C0000}"/>
    <cellStyle name="Normal 354 6 3" xfId="28076" xr:uid="{00000000-0005-0000-0000-0000AF6C0000}"/>
    <cellStyle name="Normal 354 7" xfId="28077" xr:uid="{00000000-0005-0000-0000-0000B06C0000}"/>
    <cellStyle name="Normal 355" xfId="28078" xr:uid="{00000000-0005-0000-0000-0000B16C0000}"/>
    <cellStyle name="Normal 355 2" xfId="28079" xr:uid="{00000000-0005-0000-0000-0000B26C0000}"/>
    <cellStyle name="Normal 355 2 2" xfId="28080" xr:uid="{00000000-0005-0000-0000-0000B36C0000}"/>
    <cellStyle name="Normal 355 2 2 2" xfId="28081" xr:uid="{00000000-0005-0000-0000-0000B46C0000}"/>
    <cellStyle name="Normal 355 2 3" xfId="28082" xr:uid="{00000000-0005-0000-0000-0000B56C0000}"/>
    <cellStyle name="Normal 355 2 3 2" xfId="28083" xr:uid="{00000000-0005-0000-0000-0000B66C0000}"/>
    <cellStyle name="Normal 355 2 3 2 2" xfId="28084" xr:uid="{00000000-0005-0000-0000-0000B76C0000}"/>
    <cellStyle name="Normal 355 2 3 3" xfId="28085" xr:uid="{00000000-0005-0000-0000-0000B86C0000}"/>
    <cellStyle name="Normal 355 2 4" xfId="28086" xr:uid="{00000000-0005-0000-0000-0000B96C0000}"/>
    <cellStyle name="Normal 355 2 4 2" xfId="28087" xr:uid="{00000000-0005-0000-0000-0000BA6C0000}"/>
    <cellStyle name="Normal 355 2 4 2 2" xfId="28088" xr:uid="{00000000-0005-0000-0000-0000BB6C0000}"/>
    <cellStyle name="Normal 355 2 4 3" xfId="28089" xr:uid="{00000000-0005-0000-0000-0000BC6C0000}"/>
    <cellStyle name="Normal 355 2 5" xfId="28090" xr:uid="{00000000-0005-0000-0000-0000BD6C0000}"/>
    <cellStyle name="Normal 355 3" xfId="28091" xr:uid="{00000000-0005-0000-0000-0000BE6C0000}"/>
    <cellStyle name="Normal 355 3 2" xfId="28092" xr:uid="{00000000-0005-0000-0000-0000BF6C0000}"/>
    <cellStyle name="Normal 355 3 2 2" xfId="28093" xr:uid="{00000000-0005-0000-0000-0000C06C0000}"/>
    <cellStyle name="Normal 355 3 2 2 2" xfId="28094" xr:uid="{00000000-0005-0000-0000-0000C16C0000}"/>
    <cellStyle name="Normal 355 3 2 3" xfId="28095" xr:uid="{00000000-0005-0000-0000-0000C26C0000}"/>
    <cellStyle name="Normal 355 3 2 3 2" xfId="28096" xr:uid="{00000000-0005-0000-0000-0000C36C0000}"/>
    <cellStyle name="Normal 355 3 2 3 2 2" xfId="28097" xr:uid="{00000000-0005-0000-0000-0000C46C0000}"/>
    <cellStyle name="Normal 355 3 2 3 3" xfId="28098" xr:uid="{00000000-0005-0000-0000-0000C56C0000}"/>
    <cellStyle name="Normal 355 3 2 4" xfId="28099" xr:uid="{00000000-0005-0000-0000-0000C66C0000}"/>
    <cellStyle name="Normal 355 3 3" xfId="28100" xr:uid="{00000000-0005-0000-0000-0000C76C0000}"/>
    <cellStyle name="Normal 355 3 3 2" xfId="28101" xr:uid="{00000000-0005-0000-0000-0000C86C0000}"/>
    <cellStyle name="Normal 355 3 3 2 2" xfId="28102" xr:uid="{00000000-0005-0000-0000-0000C96C0000}"/>
    <cellStyle name="Normal 355 3 3 3" xfId="28103" xr:uid="{00000000-0005-0000-0000-0000CA6C0000}"/>
    <cellStyle name="Normal 355 3 4" xfId="28104" xr:uid="{00000000-0005-0000-0000-0000CB6C0000}"/>
    <cellStyle name="Normal 355 3 4 2" xfId="28105" xr:uid="{00000000-0005-0000-0000-0000CC6C0000}"/>
    <cellStyle name="Normal 355 3 4 2 2" xfId="28106" xr:uid="{00000000-0005-0000-0000-0000CD6C0000}"/>
    <cellStyle name="Normal 355 3 4 3" xfId="28107" xr:uid="{00000000-0005-0000-0000-0000CE6C0000}"/>
    <cellStyle name="Normal 355 3 5" xfId="28108" xr:uid="{00000000-0005-0000-0000-0000CF6C0000}"/>
    <cellStyle name="Normal 355 3 5 2" xfId="28109" xr:uid="{00000000-0005-0000-0000-0000D06C0000}"/>
    <cellStyle name="Normal 355 3 5 2 2" xfId="28110" xr:uid="{00000000-0005-0000-0000-0000D16C0000}"/>
    <cellStyle name="Normal 355 3 5 3" xfId="28111" xr:uid="{00000000-0005-0000-0000-0000D26C0000}"/>
    <cellStyle name="Normal 355 3 6" xfId="28112" xr:uid="{00000000-0005-0000-0000-0000D36C0000}"/>
    <cellStyle name="Normal 355 4" xfId="28113" xr:uid="{00000000-0005-0000-0000-0000D46C0000}"/>
    <cellStyle name="Normal 355 4 2" xfId="28114" xr:uid="{00000000-0005-0000-0000-0000D56C0000}"/>
    <cellStyle name="Normal 355 4 2 2" xfId="28115" xr:uid="{00000000-0005-0000-0000-0000D66C0000}"/>
    <cellStyle name="Normal 355 4 3" xfId="28116" xr:uid="{00000000-0005-0000-0000-0000D76C0000}"/>
    <cellStyle name="Normal 355 5" xfId="28117" xr:uid="{00000000-0005-0000-0000-0000D86C0000}"/>
    <cellStyle name="Normal 355 5 2" xfId="28118" xr:uid="{00000000-0005-0000-0000-0000D96C0000}"/>
    <cellStyle name="Normal 355 5 2 2" xfId="28119" xr:uid="{00000000-0005-0000-0000-0000DA6C0000}"/>
    <cellStyle name="Normal 355 5 3" xfId="28120" xr:uid="{00000000-0005-0000-0000-0000DB6C0000}"/>
    <cellStyle name="Normal 355 6" xfId="28121" xr:uid="{00000000-0005-0000-0000-0000DC6C0000}"/>
    <cellStyle name="Normal 355 6 2" xfId="28122" xr:uid="{00000000-0005-0000-0000-0000DD6C0000}"/>
    <cellStyle name="Normal 355 6 2 2" xfId="28123" xr:uid="{00000000-0005-0000-0000-0000DE6C0000}"/>
    <cellStyle name="Normal 355 6 3" xfId="28124" xr:uid="{00000000-0005-0000-0000-0000DF6C0000}"/>
    <cellStyle name="Normal 355 7" xfId="28125" xr:uid="{00000000-0005-0000-0000-0000E06C0000}"/>
    <cellStyle name="Normal 356" xfId="28126" xr:uid="{00000000-0005-0000-0000-0000E16C0000}"/>
    <cellStyle name="Normal 356 2" xfId="28127" xr:uid="{00000000-0005-0000-0000-0000E26C0000}"/>
    <cellStyle name="Normal 356 2 2" xfId="28128" xr:uid="{00000000-0005-0000-0000-0000E36C0000}"/>
    <cellStyle name="Normal 356 2 2 2" xfId="28129" xr:uid="{00000000-0005-0000-0000-0000E46C0000}"/>
    <cellStyle name="Normal 356 2 3" xfId="28130" xr:uid="{00000000-0005-0000-0000-0000E56C0000}"/>
    <cellStyle name="Normal 356 2 3 2" xfId="28131" xr:uid="{00000000-0005-0000-0000-0000E66C0000}"/>
    <cellStyle name="Normal 356 2 3 2 2" xfId="28132" xr:uid="{00000000-0005-0000-0000-0000E76C0000}"/>
    <cellStyle name="Normal 356 2 3 3" xfId="28133" xr:uid="{00000000-0005-0000-0000-0000E86C0000}"/>
    <cellStyle name="Normal 356 2 4" xfId="28134" xr:uid="{00000000-0005-0000-0000-0000E96C0000}"/>
    <cellStyle name="Normal 356 2 4 2" xfId="28135" xr:uid="{00000000-0005-0000-0000-0000EA6C0000}"/>
    <cellStyle name="Normal 356 2 4 2 2" xfId="28136" xr:uid="{00000000-0005-0000-0000-0000EB6C0000}"/>
    <cellStyle name="Normal 356 2 4 3" xfId="28137" xr:uid="{00000000-0005-0000-0000-0000EC6C0000}"/>
    <cellStyle name="Normal 356 2 5" xfId="28138" xr:uid="{00000000-0005-0000-0000-0000ED6C0000}"/>
    <cellStyle name="Normal 356 3" xfId="28139" xr:uid="{00000000-0005-0000-0000-0000EE6C0000}"/>
    <cellStyle name="Normal 356 3 2" xfId="28140" xr:uid="{00000000-0005-0000-0000-0000EF6C0000}"/>
    <cellStyle name="Normal 356 3 2 2" xfId="28141" xr:uid="{00000000-0005-0000-0000-0000F06C0000}"/>
    <cellStyle name="Normal 356 3 2 2 2" xfId="28142" xr:uid="{00000000-0005-0000-0000-0000F16C0000}"/>
    <cellStyle name="Normal 356 3 2 3" xfId="28143" xr:uid="{00000000-0005-0000-0000-0000F26C0000}"/>
    <cellStyle name="Normal 356 3 2 3 2" xfId="28144" xr:uid="{00000000-0005-0000-0000-0000F36C0000}"/>
    <cellStyle name="Normal 356 3 2 3 2 2" xfId="28145" xr:uid="{00000000-0005-0000-0000-0000F46C0000}"/>
    <cellStyle name="Normal 356 3 2 3 3" xfId="28146" xr:uid="{00000000-0005-0000-0000-0000F56C0000}"/>
    <cellStyle name="Normal 356 3 2 4" xfId="28147" xr:uid="{00000000-0005-0000-0000-0000F66C0000}"/>
    <cellStyle name="Normal 356 3 3" xfId="28148" xr:uid="{00000000-0005-0000-0000-0000F76C0000}"/>
    <cellStyle name="Normal 356 3 3 2" xfId="28149" xr:uid="{00000000-0005-0000-0000-0000F86C0000}"/>
    <cellStyle name="Normal 356 3 3 2 2" xfId="28150" xr:uid="{00000000-0005-0000-0000-0000F96C0000}"/>
    <cellStyle name="Normal 356 3 3 3" xfId="28151" xr:uid="{00000000-0005-0000-0000-0000FA6C0000}"/>
    <cellStyle name="Normal 356 3 4" xfId="28152" xr:uid="{00000000-0005-0000-0000-0000FB6C0000}"/>
    <cellStyle name="Normal 356 3 4 2" xfId="28153" xr:uid="{00000000-0005-0000-0000-0000FC6C0000}"/>
    <cellStyle name="Normal 356 3 4 2 2" xfId="28154" xr:uid="{00000000-0005-0000-0000-0000FD6C0000}"/>
    <cellStyle name="Normal 356 3 4 3" xfId="28155" xr:uid="{00000000-0005-0000-0000-0000FE6C0000}"/>
    <cellStyle name="Normal 356 3 5" xfId="28156" xr:uid="{00000000-0005-0000-0000-0000FF6C0000}"/>
    <cellStyle name="Normal 356 3 5 2" xfId="28157" xr:uid="{00000000-0005-0000-0000-0000006D0000}"/>
    <cellStyle name="Normal 356 3 5 2 2" xfId="28158" xr:uid="{00000000-0005-0000-0000-0000016D0000}"/>
    <cellStyle name="Normal 356 3 5 3" xfId="28159" xr:uid="{00000000-0005-0000-0000-0000026D0000}"/>
    <cellStyle name="Normal 356 3 6" xfId="28160" xr:uid="{00000000-0005-0000-0000-0000036D0000}"/>
    <cellStyle name="Normal 356 4" xfId="28161" xr:uid="{00000000-0005-0000-0000-0000046D0000}"/>
    <cellStyle name="Normal 356 4 2" xfId="28162" xr:uid="{00000000-0005-0000-0000-0000056D0000}"/>
    <cellStyle name="Normal 356 4 2 2" xfId="28163" xr:uid="{00000000-0005-0000-0000-0000066D0000}"/>
    <cellStyle name="Normal 356 4 3" xfId="28164" xr:uid="{00000000-0005-0000-0000-0000076D0000}"/>
    <cellStyle name="Normal 356 5" xfId="28165" xr:uid="{00000000-0005-0000-0000-0000086D0000}"/>
    <cellStyle name="Normal 356 5 2" xfId="28166" xr:uid="{00000000-0005-0000-0000-0000096D0000}"/>
    <cellStyle name="Normal 356 5 2 2" xfId="28167" xr:uid="{00000000-0005-0000-0000-00000A6D0000}"/>
    <cellStyle name="Normal 356 5 3" xfId="28168" xr:uid="{00000000-0005-0000-0000-00000B6D0000}"/>
    <cellStyle name="Normal 356 6" xfId="28169" xr:uid="{00000000-0005-0000-0000-00000C6D0000}"/>
    <cellStyle name="Normal 356 6 2" xfId="28170" xr:uid="{00000000-0005-0000-0000-00000D6D0000}"/>
    <cellStyle name="Normal 356 6 2 2" xfId="28171" xr:uid="{00000000-0005-0000-0000-00000E6D0000}"/>
    <cellStyle name="Normal 356 6 3" xfId="28172" xr:uid="{00000000-0005-0000-0000-00000F6D0000}"/>
    <cellStyle name="Normal 356 7" xfId="28173" xr:uid="{00000000-0005-0000-0000-0000106D0000}"/>
    <cellStyle name="Normal 357" xfId="28174" xr:uid="{00000000-0005-0000-0000-0000116D0000}"/>
    <cellStyle name="Normal 357 2" xfId="28175" xr:uid="{00000000-0005-0000-0000-0000126D0000}"/>
    <cellStyle name="Normal 357 2 2" xfId="28176" xr:uid="{00000000-0005-0000-0000-0000136D0000}"/>
    <cellStyle name="Normal 357 2 2 2" xfId="28177" xr:uid="{00000000-0005-0000-0000-0000146D0000}"/>
    <cellStyle name="Normal 357 2 3" xfId="28178" xr:uid="{00000000-0005-0000-0000-0000156D0000}"/>
    <cellStyle name="Normal 357 2 3 2" xfId="28179" xr:uid="{00000000-0005-0000-0000-0000166D0000}"/>
    <cellStyle name="Normal 357 2 3 2 2" xfId="28180" xr:uid="{00000000-0005-0000-0000-0000176D0000}"/>
    <cellStyle name="Normal 357 2 3 3" xfId="28181" xr:uid="{00000000-0005-0000-0000-0000186D0000}"/>
    <cellStyle name="Normal 357 2 4" xfId="28182" xr:uid="{00000000-0005-0000-0000-0000196D0000}"/>
    <cellStyle name="Normal 357 2 4 2" xfId="28183" xr:uid="{00000000-0005-0000-0000-00001A6D0000}"/>
    <cellStyle name="Normal 357 2 4 2 2" xfId="28184" xr:uid="{00000000-0005-0000-0000-00001B6D0000}"/>
    <cellStyle name="Normal 357 2 4 3" xfId="28185" xr:uid="{00000000-0005-0000-0000-00001C6D0000}"/>
    <cellStyle name="Normal 357 2 5" xfId="28186" xr:uid="{00000000-0005-0000-0000-00001D6D0000}"/>
    <cellStyle name="Normal 357 3" xfId="28187" xr:uid="{00000000-0005-0000-0000-00001E6D0000}"/>
    <cellStyle name="Normal 357 3 2" xfId="28188" xr:uid="{00000000-0005-0000-0000-00001F6D0000}"/>
    <cellStyle name="Normal 357 3 2 2" xfId="28189" xr:uid="{00000000-0005-0000-0000-0000206D0000}"/>
    <cellStyle name="Normal 357 3 2 2 2" xfId="28190" xr:uid="{00000000-0005-0000-0000-0000216D0000}"/>
    <cellStyle name="Normal 357 3 2 3" xfId="28191" xr:uid="{00000000-0005-0000-0000-0000226D0000}"/>
    <cellStyle name="Normal 357 3 2 3 2" xfId="28192" xr:uid="{00000000-0005-0000-0000-0000236D0000}"/>
    <cellStyle name="Normal 357 3 2 3 2 2" xfId="28193" xr:uid="{00000000-0005-0000-0000-0000246D0000}"/>
    <cellStyle name="Normal 357 3 2 3 3" xfId="28194" xr:uid="{00000000-0005-0000-0000-0000256D0000}"/>
    <cellStyle name="Normal 357 3 2 4" xfId="28195" xr:uid="{00000000-0005-0000-0000-0000266D0000}"/>
    <cellStyle name="Normal 357 3 3" xfId="28196" xr:uid="{00000000-0005-0000-0000-0000276D0000}"/>
    <cellStyle name="Normal 357 3 3 2" xfId="28197" xr:uid="{00000000-0005-0000-0000-0000286D0000}"/>
    <cellStyle name="Normal 357 3 3 2 2" xfId="28198" xr:uid="{00000000-0005-0000-0000-0000296D0000}"/>
    <cellStyle name="Normal 357 3 3 3" xfId="28199" xr:uid="{00000000-0005-0000-0000-00002A6D0000}"/>
    <cellStyle name="Normal 357 3 4" xfId="28200" xr:uid="{00000000-0005-0000-0000-00002B6D0000}"/>
    <cellStyle name="Normal 357 3 4 2" xfId="28201" xr:uid="{00000000-0005-0000-0000-00002C6D0000}"/>
    <cellStyle name="Normal 357 3 4 2 2" xfId="28202" xr:uid="{00000000-0005-0000-0000-00002D6D0000}"/>
    <cellStyle name="Normal 357 3 4 3" xfId="28203" xr:uid="{00000000-0005-0000-0000-00002E6D0000}"/>
    <cellStyle name="Normal 357 3 5" xfId="28204" xr:uid="{00000000-0005-0000-0000-00002F6D0000}"/>
    <cellStyle name="Normal 357 3 5 2" xfId="28205" xr:uid="{00000000-0005-0000-0000-0000306D0000}"/>
    <cellStyle name="Normal 357 3 5 2 2" xfId="28206" xr:uid="{00000000-0005-0000-0000-0000316D0000}"/>
    <cellStyle name="Normal 357 3 5 3" xfId="28207" xr:uid="{00000000-0005-0000-0000-0000326D0000}"/>
    <cellStyle name="Normal 357 3 6" xfId="28208" xr:uid="{00000000-0005-0000-0000-0000336D0000}"/>
    <cellStyle name="Normal 357 4" xfId="28209" xr:uid="{00000000-0005-0000-0000-0000346D0000}"/>
    <cellStyle name="Normal 357 4 2" xfId="28210" xr:uid="{00000000-0005-0000-0000-0000356D0000}"/>
    <cellStyle name="Normal 357 4 2 2" xfId="28211" xr:uid="{00000000-0005-0000-0000-0000366D0000}"/>
    <cellStyle name="Normal 357 4 3" xfId="28212" xr:uid="{00000000-0005-0000-0000-0000376D0000}"/>
    <cellStyle name="Normal 357 5" xfId="28213" xr:uid="{00000000-0005-0000-0000-0000386D0000}"/>
    <cellStyle name="Normal 357 5 2" xfId="28214" xr:uid="{00000000-0005-0000-0000-0000396D0000}"/>
    <cellStyle name="Normal 357 5 2 2" xfId="28215" xr:uid="{00000000-0005-0000-0000-00003A6D0000}"/>
    <cellStyle name="Normal 357 5 3" xfId="28216" xr:uid="{00000000-0005-0000-0000-00003B6D0000}"/>
    <cellStyle name="Normal 357 6" xfId="28217" xr:uid="{00000000-0005-0000-0000-00003C6D0000}"/>
    <cellStyle name="Normal 357 6 2" xfId="28218" xr:uid="{00000000-0005-0000-0000-00003D6D0000}"/>
    <cellStyle name="Normal 357 6 2 2" xfId="28219" xr:uid="{00000000-0005-0000-0000-00003E6D0000}"/>
    <cellStyle name="Normal 357 6 3" xfId="28220" xr:uid="{00000000-0005-0000-0000-00003F6D0000}"/>
    <cellStyle name="Normal 357 7" xfId="28221" xr:uid="{00000000-0005-0000-0000-0000406D0000}"/>
    <cellStyle name="Normal 358" xfId="28222" xr:uid="{00000000-0005-0000-0000-0000416D0000}"/>
    <cellStyle name="Normal 358 2" xfId="28223" xr:uid="{00000000-0005-0000-0000-0000426D0000}"/>
    <cellStyle name="Normal 358 2 2" xfId="28224" xr:uid="{00000000-0005-0000-0000-0000436D0000}"/>
    <cellStyle name="Normal 358 2 2 2" xfId="28225" xr:uid="{00000000-0005-0000-0000-0000446D0000}"/>
    <cellStyle name="Normal 358 2 3" xfId="28226" xr:uid="{00000000-0005-0000-0000-0000456D0000}"/>
    <cellStyle name="Normal 358 2 3 2" xfId="28227" xr:uid="{00000000-0005-0000-0000-0000466D0000}"/>
    <cellStyle name="Normal 358 2 3 2 2" xfId="28228" xr:uid="{00000000-0005-0000-0000-0000476D0000}"/>
    <cellStyle name="Normal 358 2 3 3" xfId="28229" xr:uid="{00000000-0005-0000-0000-0000486D0000}"/>
    <cellStyle name="Normal 358 2 4" xfId="28230" xr:uid="{00000000-0005-0000-0000-0000496D0000}"/>
    <cellStyle name="Normal 358 2 4 2" xfId="28231" xr:uid="{00000000-0005-0000-0000-00004A6D0000}"/>
    <cellStyle name="Normal 358 2 4 2 2" xfId="28232" xr:uid="{00000000-0005-0000-0000-00004B6D0000}"/>
    <cellStyle name="Normal 358 2 4 3" xfId="28233" xr:uid="{00000000-0005-0000-0000-00004C6D0000}"/>
    <cellStyle name="Normal 358 2 5" xfId="28234" xr:uid="{00000000-0005-0000-0000-00004D6D0000}"/>
    <cellStyle name="Normal 358 3" xfId="28235" xr:uid="{00000000-0005-0000-0000-00004E6D0000}"/>
    <cellStyle name="Normal 358 3 2" xfId="28236" xr:uid="{00000000-0005-0000-0000-00004F6D0000}"/>
    <cellStyle name="Normal 358 3 2 2" xfId="28237" xr:uid="{00000000-0005-0000-0000-0000506D0000}"/>
    <cellStyle name="Normal 358 3 2 2 2" xfId="28238" xr:uid="{00000000-0005-0000-0000-0000516D0000}"/>
    <cellStyle name="Normal 358 3 2 3" xfId="28239" xr:uid="{00000000-0005-0000-0000-0000526D0000}"/>
    <cellStyle name="Normal 358 3 2 3 2" xfId="28240" xr:uid="{00000000-0005-0000-0000-0000536D0000}"/>
    <cellStyle name="Normal 358 3 2 3 2 2" xfId="28241" xr:uid="{00000000-0005-0000-0000-0000546D0000}"/>
    <cellStyle name="Normal 358 3 2 3 3" xfId="28242" xr:uid="{00000000-0005-0000-0000-0000556D0000}"/>
    <cellStyle name="Normal 358 3 2 4" xfId="28243" xr:uid="{00000000-0005-0000-0000-0000566D0000}"/>
    <cellStyle name="Normal 358 3 3" xfId="28244" xr:uid="{00000000-0005-0000-0000-0000576D0000}"/>
    <cellStyle name="Normal 358 3 3 2" xfId="28245" xr:uid="{00000000-0005-0000-0000-0000586D0000}"/>
    <cellStyle name="Normal 358 3 3 2 2" xfId="28246" xr:uid="{00000000-0005-0000-0000-0000596D0000}"/>
    <cellStyle name="Normal 358 3 3 3" xfId="28247" xr:uid="{00000000-0005-0000-0000-00005A6D0000}"/>
    <cellStyle name="Normal 358 3 4" xfId="28248" xr:uid="{00000000-0005-0000-0000-00005B6D0000}"/>
    <cellStyle name="Normal 358 3 4 2" xfId="28249" xr:uid="{00000000-0005-0000-0000-00005C6D0000}"/>
    <cellStyle name="Normal 358 3 4 2 2" xfId="28250" xr:uid="{00000000-0005-0000-0000-00005D6D0000}"/>
    <cellStyle name="Normal 358 3 4 3" xfId="28251" xr:uid="{00000000-0005-0000-0000-00005E6D0000}"/>
    <cellStyle name="Normal 358 3 5" xfId="28252" xr:uid="{00000000-0005-0000-0000-00005F6D0000}"/>
    <cellStyle name="Normal 358 3 5 2" xfId="28253" xr:uid="{00000000-0005-0000-0000-0000606D0000}"/>
    <cellStyle name="Normal 358 3 5 2 2" xfId="28254" xr:uid="{00000000-0005-0000-0000-0000616D0000}"/>
    <cellStyle name="Normal 358 3 5 3" xfId="28255" xr:uid="{00000000-0005-0000-0000-0000626D0000}"/>
    <cellStyle name="Normal 358 3 6" xfId="28256" xr:uid="{00000000-0005-0000-0000-0000636D0000}"/>
    <cellStyle name="Normal 358 4" xfId="28257" xr:uid="{00000000-0005-0000-0000-0000646D0000}"/>
    <cellStyle name="Normal 358 4 2" xfId="28258" xr:uid="{00000000-0005-0000-0000-0000656D0000}"/>
    <cellStyle name="Normal 358 4 2 2" xfId="28259" xr:uid="{00000000-0005-0000-0000-0000666D0000}"/>
    <cellStyle name="Normal 358 4 3" xfId="28260" xr:uid="{00000000-0005-0000-0000-0000676D0000}"/>
    <cellStyle name="Normal 358 5" xfId="28261" xr:uid="{00000000-0005-0000-0000-0000686D0000}"/>
    <cellStyle name="Normal 358 5 2" xfId="28262" xr:uid="{00000000-0005-0000-0000-0000696D0000}"/>
    <cellStyle name="Normal 358 5 2 2" xfId="28263" xr:uid="{00000000-0005-0000-0000-00006A6D0000}"/>
    <cellStyle name="Normal 358 5 3" xfId="28264" xr:uid="{00000000-0005-0000-0000-00006B6D0000}"/>
    <cellStyle name="Normal 358 6" xfId="28265" xr:uid="{00000000-0005-0000-0000-00006C6D0000}"/>
    <cellStyle name="Normal 358 6 2" xfId="28266" xr:uid="{00000000-0005-0000-0000-00006D6D0000}"/>
    <cellStyle name="Normal 358 6 2 2" xfId="28267" xr:uid="{00000000-0005-0000-0000-00006E6D0000}"/>
    <cellStyle name="Normal 358 6 3" xfId="28268" xr:uid="{00000000-0005-0000-0000-00006F6D0000}"/>
    <cellStyle name="Normal 358 7" xfId="28269" xr:uid="{00000000-0005-0000-0000-0000706D0000}"/>
    <cellStyle name="Normal 359" xfId="28270" xr:uid="{00000000-0005-0000-0000-0000716D0000}"/>
    <cellStyle name="Normal 359 2" xfId="28271" xr:uid="{00000000-0005-0000-0000-0000726D0000}"/>
    <cellStyle name="Normal 359 2 2" xfId="28272" xr:uid="{00000000-0005-0000-0000-0000736D0000}"/>
    <cellStyle name="Normal 359 2 2 2" xfId="28273" xr:uid="{00000000-0005-0000-0000-0000746D0000}"/>
    <cellStyle name="Normal 359 2 3" xfId="28274" xr:uid="{00000000-0005-0000-0000-0000756D0000}"/>
    <cellStyle name="Normal 359 2 3 2" xfId="28275" xr:uid="{00000000-0005-0000-0000-0000766D0000}"/>
    <cellStyle name="Normal 359 2 3 2 2" xfId="28276" xr:uid="{00000000-0005-0000-0000-0000776D0000}"/>
    <cellStyle name="Normal 359 2 3 3" xfId="28277" xr:uid="{00000000-0005-0000-0000-0000786D0000}"/>
    <cellStyle name="Normal 359 2 4" xfId="28278" xr:uid="{00000000-0005-0000-0000-0000796D0000}"/>
    <cellStyle name="Normal 359 2 4 2" xfId="28279" xr:uid="{00000000-0005-0000-0000-00007A6D0000}"/>
    <cellStyle name="Normal 359 2 4 2 2" xfId="28280" xr:uid="{00000000-0005-0000-0000-00007B6D0000}"/>
    <cellStyle name="Normal 359 2 4 3" xfId="28281" xr:uid="{00000000-0005-0000-0000-00007C6D0000}"/>
    <cellStyle name="Normal 359 2 5" xfId="28282" xr:uid="{00000000-0005-0000-0000-00007D6D0000}"/>
    <cellStyle name="Normal 359 3" xfId="28283" xr:uid="{00000000-0005-0000-0000-00007E6D0000}"/>
    <cellStyle name="Normal 359 3 2" xfId="28284" xr:uid="{00000000-0005-0000-0000-00007F6D0000}"/>
    <cellStyle name="Normal 359 3 2 2" xfId="28285" xr:uid="{00000000-0005-0000-0000-0000806D0000}"/>
    <cellStyle name="Normal 359 3 2 2 2" xfId="28286" xr:uid="{00000000-0005-0000-0000-0000816D0000}"/>
    <cellStyle name="Normal 359 3 2 3" xfId="28287" xr:uid="{00000000-0005-0000-0000-0000826D0000}"/>
    <cellStyle name="Normal 359 3 2 3 2" xfId="28288" xr:uid="{00000000-0005-0000-0000-0000836D0000}"/>
    <cellStyle name="Normal 359 3 2 3 2 2" xfId="28289" xr:uid="{00000000-0005-0000-0000-0000846D0000}"/>
    <cellStyle name="Normal 359 3 2 3 3" xfId="28290" xr:uid="{00000000-0005-0000-0000-0000856D0000}"/>
    <cellStyle name="Normal 359 3 2 4" xfId="28291" xr:uid="{00000000-0005-0000-0000-0000866D0000}"/>
    <cellStyle name="Normal 359 3 3" xfId="28292" xr:uid="{00000000-0005-0000-0000-0000876D0000}"/>
    <cellStyle name="Normal 359 3 3 2" xfId="28293" xr:uid="{00000000-0005-0000-0000-0000886D0000}"/>
    <cellStyle name="Normal 359 3 3 2 2" xfId="28294" xr:uid="{00000000-0005-0000-0000-0000896D0000}"/>
    <cellStyle name="Normal 359 3 3 3" xfId="28295" xr:uid="{00000000-0005-0000-0000-00008A6D0000}"/>
    <cellStyle name="Normal 359 3 4" xfId="28296" xr:uid="{00000000-0005-0000-0000-00008B6D0000}"/>
    <cellStyle name="Normal 359 3 4 2" xfId="28297" xr:uid="{00000000-0005-0000-0000-00008C6D0000}"/>
    <cellStyle name="Normal 359 3 4 2 2" xfId="28298" xr:uid="{00000000-0005-0000-0000-00008D6D0000}"/>
    <cellStyle name="Normal 359 3 4 3" xfId="28299" xr:uid="{00000000-0005-0000-0000-00008E6D0000}"/>
    <cellStyle name="Normal 359 3 5" xfId="28300" xr:uid="{00000000-0005-0000-0000-00008F6D0000}"/>
    <cellStyle name="Normal 359 3 5 2" xfId="28301" xr:uid="{00000000-0005-0000-0000-0000906D0000}"/>
    <cellStyle name="Normal 359 3 5 2 2" xfId="28302" xr:uid="{00000000-0005-0000-0000-0000916D0000}"/>
    <cellStyle name="Normal 359 3 5 3" xfId="28303" xr:uid="{00000000-0005-0000-0000-0000926D0000}"/>
    <cellStyle name="Normal 359 3 6" xfId="28304" xr:uid="{00000000-0005-0000-0000-0000936D0000}"/>
    <cellStyle name="Normal 359 4" xfId="28305" xr:uid="{00000000-0005-0000-0000-0000946D0000}"/>
    <cellStyle name="Normal 359 4 2" xfId="28306" xr:uid="{00000000-0005-0000-0000-0000956D0000}"/>
    <cellStyle name="Normal 359 4 2 2" xfId="28307" xr:uid="{00000000-0005-0000-0000-0000966D0000}"/>
    <cellStyle name="Normal 359 4 3" xfId="28308" xr:uid="{00000000-0005-0000-0000-0000976D0000}"/>
    <cellStyle name="Normal 359 5" xfId="28309" xr:uid="{00000000-0005-0000-0000-0000986D0000}"/>
    <cellStyle name="Normal 359 5 2" xfId="28310" xr:uid="{00000000-0005-0000-0000-0000996D0000}"/>
    <cellStyle name="Normal 359 5 2 2" xfId="28311" xr:uid="{00000000-0005-0000-0000-00009A6D0000}"/>
    <cellStyle name="Normal 359 5 3" xfId="28312" xr:uid="{00000000-0005-0000-0000-00009B6D0000}"/>
    <cellStyle name="Normal 359 6" xfId="28313" xr:uid="{00000000-0005-0000-0000-00009C6D0000}"/>
    <cellStyle name="Normal 359 6 2" xfId="28314" xr:uid="{00000000-0005-0000-0000-00009D6D0000}"/>
    <cellStyle name="Normal 359 6 2 2" xfId="28315" xr:uid="{00000000-0005-0000-0000-00009E6D0000}"/>
    <cellStyle name="Normal 359 6 3" xfId="28316" xr:uid="{00000000-0005-0000-0000-00009F6D0000}"/>
    <cellStyle name="Normal 359 7" xfId="28317" xr:uid="{00000000-0005-0000-0000-0000A06D0000}"/>
    <cellStyle name="Normal 36" xfId="28318" xr:uid="{00000000-0005-0000-0000-0000A16D0000}"/>
    <cellStyle name="Normal 36 2" xfId="28319" xr:uid="{00000000-0005-0000-0000-0000A26D0000}"/>
    <cellStyle name="Normal 36 2 2" xfId="28320" xr:uid="{00000000-0005-0000-0000-0000A36D0000}"/>
    <cellStyle name="Normal 36 2 2 2" xfId="28321" xr:uid="{00000000-0005-0000-0000-0000A46D0000}"/>
    <cellStyle name="Normal 36 2 2 2 2" xfId="28322" xr:uid="{00000000-0005-0000-0000-0000A56D0000}"/>
    <cellStyle name="Normal 36 2 2 3" xfId="28323" xr:uid="{00000000-0005-0000-0000-0000A66D0000}"/>
    <cellStyle name="Normal 36 2 2 3 2" xfId="28324" xr:uid="{00000000-0005-0000-0000-0000A76D0000}"/>
    <cellStyle name="Normal 36 2 2 3 2 2" xfId="28325" xr:uid="{00000000-0005-0000-0000-0000A86D0000}"/>
    <cellStyle name="Normal 36 2 2 3 3" xfId="28326" xr:uid="{00000000-0005-0000-0000-0000A96D0000}"/>
    <cellStyle name="Normal 36 2 2 4" xfId="28327" xr:uid="{00000000-0005-0000-0000-0000AA6D0000}"/>
    <cellStyle name="Normal 36 2 2 4 2" xfId="28328" xr:uid="{00000000-0005-0000-0000-0000AB6D0000}"/>
    <cellStyle name="Normal 36 2 2 4 2 2" xfId="28329" xr:uid="{00000000-0005-0000-0000-0000AC6D0000}"/>
    <cellStyle name="Normal 36 2 2 4 3" xfId="28330" xr:uid="{00000000-0005-0000-0000-0000AD6D0000}"/>
    <cellStyle name="Normal 36 2 2 5" xfId="28331" xr:uid="{00000000-0005-0000-0000-0000AE6D0000}"/>
    <cellStyle name="Normal 36 2 3" xfId="28332" xr:uid="{00000000-0005-0000-0000-0000AF6D0000}"/>
    <cellStyle name="Normal 36 2 3 2" xfId="28333" xr:uid="{00000000-0005-0000-0000-0000B06D0000}"/>
    <cellStyle name="Normal 36 2 3 2 2" xfId="28334" xr:uid="{00000000-0005-0000-0000-0000B16D0000}"/>
    <cellStyle name="Normal 36 2 3 3" xfId="28335" xr:uid="{00000000-0005-0000-0000-0000B26D0000}"/>
    <cellStyle name="Normal 36 2 4" xfId="28336" xr:uid="{00000000-0005-0000-0000-0000B36D0000}"/>
    <cellStyle name="Normal 36 2 4 2" xfId="28337" xr:uid="{00000000-0005-0000-0000-0000B46D0000}"/>
    <cellStyle name="Normal 36 2 4 2 2" xfId="28338" xr:uid="{00000000-0005-0000-0000-0000B56D0000}"/>
    <cellStyle name="Normal 36 2 4 3" xfId="28339" xr:uid="{00000000-0005-0000-0000-0000B66D0000}"/>
    <cellStyle name="Normal 36 2 5" xfId="28340" xr:uid="{00000000-0005-0000-0000-0000B76D0000}"/>
    <cellStyle name="Normal 36 2 5 2" xfId="28341" xr:uid="{00000000-0005-0000-0000-0000B86D0000}"/>
    <cellStyle name="Normal 36 2 5 2 2" xfId="28342" xr:uid="{00000000-0005-0000-0000-0000B96D0000}"/>
    <cellStyle name="Normal 36 2 5 3" xfId="28343" xr:uid="{00000000-0005-0000-0000-0000BA6D0000}"/>
    <cellStyle name="Normal 36 2 6" xfId="28344" xr:uid="{00000000-0005-0000-0000-0000BB6D0000}"/>
    <cellStyle name="Normal 36 3" xfId="28345" xr:uid="{00000000-0005-0000-0000-0000BC6D0000}"/>
    <cellStyle name="Normal 36 3 2" xfId="28346" xr:uid="{00000000-0005-0000-0000-0000BD6D0000}"/>
    <cellStyle name="Normal 36 3 2 2" xfId="28347" xr:uid="{00000000-0005-0000-0000-0000BE6D0000}"/>
    <cellStyle name="Normal 36 3 3" xfId="28348" xr:uid="{00000000-0005-0000-0000-0000BF6D0000}"/>
    <cellStyle name="Normal 36 3 3 2" xfId="28349" xr:uid="{00000000-0005-0000-0000-0000C06D0000}"/>
    <cellStyle name="Normal 36 3 3 2 2" xfId="28350" xr:uid="{00000000-0005-0000-0000-0000C16D0000}"/>
    <cellStyle name="Normal 36 3 3 3" xfId="28351" xr:uid="{00000000-0005-0000-0000-0000C26D0000}"/>
    <cellStyle name="Normal 36 3 4" xfId="28352" xr:uid="{00000000-0005-0000-0000-0000C36D0000}"/>
    <cellStyle name="Normal 36 3 4 2" xfId="28353" xr:uid="{00000000-0005-0000-0000-0000C46D0000}"/>
    <cellStyle name="Normal 36 3 4 2 2" xfId="28354" xr:uid="{00000000-0005-0000-0000-0000C56D0000}"/>
    <cellStyle name="Normal 36 3 4 3" xfId="28355" xr:uid="{00000000-0005-0000-0000-0000C66D0000}"/>
    <cellStyle name="Normal 36 3 5" xfId="28356" xr:uid="{00000000-0005-0000-0000-0000C76D0000}"/>
    <cellStyle name="Normal 36 4" xfId="28357" xr:uid="{00000000-0005-0000-0000-0000C86D0000}"/>
    <cellStyle name="Normal 36 4 2" xfId="28358" xr:uid="{00000000-0005-0000-0000-0000C96D0000}"/>
    <cellStyle name="Normal 36 4 2 2" xfId="28359" xr:uid="{00000000-0005-0000-0000-0000CA6D0000}"/>
    <cellStyle name="Normal 36 4 3" xfId="28360" xr:uid="{00000000-0005-0000-0000-0000CB6D0000}"/>
    <cellStyle name="Normal 36 5" xfId="28361" xr:uid="{00000000-0005-0000-0000-0000CC6D0000}"/>
    <cellStyle name="Normal 36 5 2" xfId="28362" xr:uid="{00000000-0005-0000-0000-0000CD6D0000}"/>
    <cellStyle name="Normal 36 5 2 2" xfId="28363" xr:uid="{00000000-0005-0000-0000-0000CE6D0000}"/>
    <cellStyle name="Normal 36 5 3" xfId="28364" xr:uid="{00000000-0005-0000-0000-0000CF6D0000}"/>
    <cellStyle name="Normal 36 6" xfId="28365" xr:uid="{00000000-0005-0000-0000-0000D06D0000}"/>
    <cellStyle name="Normal 36 6 2" xfId="28366" xr:uid="{00000000-0005-0000-0000-0000D16D0000}"/>
    <cellStyle name="Normal 36 6 2 2" xfId="28367" xr:uid="{00000000-0005-0000-0000-0000D26D0000}"/>
    <cellStyle name="Normal 36 6 3" xfId="28368" xr:uid="{00000000-0005-0000-0000-0000D36D0000}"/>
    <cellStyle name="Normal 36 7" xfId="28369" xr:uid="{00000000-0005-0000-0000-0000D46D0000}"/>
    <cellStyle name="Normal 360" xfId="28370" xr:uid="{00000000-0005-0000-0000-0000D56D0000}"/>
    <cellStyle name="Normal 360 2" xfId="28371" xr:uid="{00000000-0005-0000-0000-0000D66D0000}"/>
    <cellStyle name="Normal 360 2 2" xfId="28372" xr:uid="{00000000-0005-0000-0000-0000D76D0000}"/>
    <cellStyle name="Normal 360 2 2 2" xfId="28373" xr:uid="{00000000-0005-0000-0000-0000D86D0000}"/>
    <cellStyle name="Normal 360 2 3" xfId="28374" xr:uid="{00000000-0005-0000-0000-0000D96D0000}"/>
    <cellStyle name="Normal 360 2 3 2" xfId="28375" xr:uid="{00000000-0005-0000-0000-0000DA6D0000}"/>
    <cellStyle name="Normal 360 2 3 2 2" xfId="28376" xr:uid="{00000000-0005-0000-0000-0000DB6D0000}"/>
    <cellStyle name="Normal 360 2 3 3" xfId="28377" xr:uid="{00000000-0005-0000-0000-0000DC6D0000}"/>
    <cellStyle name="Normal 360 2 4" xfId="28378" xr:uid="{00000000-0005-0000-0000-0000DD6D0000}"/>
    <cellStyle name="Normal 360 2 4 2" xfId="28379" xr:uid="{00000000-0005-0000-0000-0000DE6D0000}"/>
    <cellStyle name="Normal 360 2 4 2 2" xfId="28380" xr:uid="{00000000-0005-0000-0000-0000DF6D0000}"/>
    <cellStyle name="Normal 360 2 4 3" xfId="28381" xr:uid="{00000000-0005-0000-0000-0000E06D0000}"/>
    <cellStyle name="Normal 360 2 5" xfId="28382" xr:uid="{00000000-0005-0000-0000-0000E16D0000}"/>
    <cellStyle name="Normal 360 3" xfId="28383" xr:uid="{00000000-0005-0000-0000-0000E26D0000}"/>
    <cellStyle name="Normal 360 3 2" xfId="28384" xr:uid="{00000000-0005-0000-0000-0000E36D0000}"/>
    <cellStyle name="Normal 360 3 2 2" xfId="28385" xr:uid="{00000000-0005-0000-0000-0000E46D0000}"/>
    <cellStyle name="Normal 360 3 2 2 2" xfId="28386" xr:uid="{00000000-0005-0000-0000-0000E56D0000}"/>
    <cellStyle name="Normal 360 3 2 3" xfId="28387" xr:uid="{00000000-0005-0000-0000-0000E66D0000}"/>
    <cellStyle name="Normal 360 3 2 3 2" xfId="28388" xr:uid="{00000000-0005-0000-0000-0000E76D0000}"/>
    <cellStyle name="Normal 360 3 2 3 2 2" xfId="28389" xr:uid="{00000000-0005-0000-0000-0000E86D0000}"/>
    <cellStyle name="Normal 360 3 2 3 3" xfId="28390" xr:uid="{00000000-0005-0000-0000-0000E96D0000}"/>
    <cellStyle name="Normal 360 3 2 4" xfId="28391" xr:uid="{00000000-0005-0000-0000-0000EA6D0000}"/>
    <cellStyle name="Normal 360 3 3" xfId="28392" xr:uid="{00000000-0005-0000-0000-0000EB6D0000}"/>
    <cellStyle name="Normal 360 3 3 2" xfId="28393" xr:uid="{00000000-0005-0000-0000-0000EC6D0000}"/>
    <cellStyle name="Normal 360 3 3 2 2" xfId="28394" xr:uid="{00000000-0005-0000-0000-0000ED6D0000}"/>
    <cellStyle name="Normal 360 3 3 3" xfId="28395" xr:uid="{00000000-0005-0000-0000-0000EE6D0000}"/>
    <cellStyle name="Normal 360 3 4" xfId="28396" xr:uid="{00000000-0005-0000-0000-0000EF6D0000}"/>
    <cellStyle name="Normal 360 3 4 2" xfId="28397" xr:uid="{00000000-0005-0000-0000-0000F06D0000}"/>
    <cellStyle name="Normal 360 3 4 2 2" xfId="28398" xr:uid="{00000000-0005-0000-0000-0000F16D0000}"/>
    <cellStyle name="Normal 360 3 4 3" xfId="28399" xr:uid="{00000000-0005-0000-0000-0000F26D0000}"/>
    <cellStyle name="Normal 360 3 5" xfId="28400" xr:uid="{00000000-0005-0000-0000-0000F36D0000}"/>
    <cellStyle name="Normal 360 3 5 2" xfId="28401" xr:uid="{00000000-0005-0000-0000-0000F46D0000}"/>
    <cellStyle name="Normal 360 3 5 2 2" xfId="28402" xr:uid="{00000000-0005-0000-0000-0000F56D0000}"/>
    <cellStyle name="Normal 360 3 5 3" xfId="28403" xr:uid="{00000000-0005-0000-0000-0000F66D0000}"/>
    <cellStyle name="Normal 360 3 6" xfId="28404" xr:uid="{00000000-0005-0000-0000-0000F76D0000}"/>
    <cellStyle name="Normal 360 4" xfId="28405" xr:uid="{00000000-0005-0000-0000-0000F86D0000}"/>
    <cellStyle name="Normal 360 4 2" xfId="28406" xr:uid="{00000000-0005-0000-0000-0000F96D0000}"/>
    <cellStyle name="Normal 360 4 2 2" xfId="28407" xr:uid="{00000000-0005-0000-0000-0000FA6D0000}"/>
    <cellStyle name="Normal 360 4 3" xfId="28408" xr:uid="{00000000-0005-0000-0000-0000FB6D0000}"/>
    <cellStyle name="Normal 360 5" xfId="28409" xr:uid="{00000000-0005-0000-0000-0000FC6D0000}"/>
    <cellStyle name="Normal 360 5 2" xfId="28410" xr:uid="{00000000-0005-0000-0000-0000FD6D0000}"/>
    <cellStyle name="Normal 360 5 2 2" xfId="28411" xr:uid="{00000000-0005-0000-0000-0000FE6D0000}"/>
    <cellStyle name="Normal 360 5 3" xfId="28412" xr:uid="{00000000-0005-0000-0000-0000FF6D0000}"/>
    <cellStyle name="Normal 360 6" xfId="28413" xr:uid="{00000000-0005-0000-0000-0000006E0000}"/>
    <cellStyle name="Normal 360 6 2" xfId="28414" xr:uid="{00000000-0005-0000-0000-0000016E0000}"/>
    <cellStyle name="Normal 360 6 2 2" xfId="28415" xr:uid="{00000000-0005-0000-0000-0000026E0000}"/>
    <cellStyle name="Normal 360 6 3" xfId="28416" xr:uid="{00000000-0005-0000-0000-0000036E0000}"/>
    <cellStyle name="Normal 360 7" xfId="28417" xr:uid="{00000000-0005-0000-0000-0000046E0000}"/>
    <cellStyle name="Normal 361" xfId="28418" xr:uid="{00000000-0005-0000-0000-0000056E0000}"/>
    <cellStyle name="Normal 361 2" xfId="28419" xr:uid="{00000000-0005-0000-0000-0000066E0000}"/>
    <cellStyle name="Normal 361 2 2" xfId="28420" xr:uid="{00000000-0005-0000-0000-0000076E0000}"/>
    <cellStyle name="Normal 361 2 2 2" xfId="28421" xr:uid="{00000000-0005-0000-0000-0000086E0000}"/>
    <cellStyle name="Normal 361 2 3" xfId="28422" xr:uid="{00000000-0005-0000-0000-0000096E0000}"/>
    <cellStyle name="Normal 361 2 3 2" xfId="28423" xr:uid="{00000000-0005-0000-0000-00000A6E0000}"/>
    <cellStyle name="Normal 361 2 3 2 2" xfId="28424" xr:uid="{00000000-0005-0000-0000-00000B6E0000}"/>
    <cellStyle name="Normal 361 2 3 3" xfId="28425" xr:uid="{00000000-0005-0000-0000-00000C6E0000}"/>
    <cellStyle name="Normal 361 2 4" xfId="28426" xr:uid="{00000000-0005-0000-0000-00000D6E0000}"/>
    <cellStyle name="Normal 361 2 4 2" xfId="28427" xr:uid="{00000000-0005-0000-0000-00000E6E0000}"/>
    <cellStyle name="Normal 361 2 4 2 2" xfId="28428" xr:uid="{00000000-0005-0000-0000-00000F6E0000}"/>
    <cellStyle name="Normal 361 2 4 3" xfId="28429" xr:uid="{00000000-0005-0000-0000-0000106E0000}"/>
    <cellStyle name="Normal 361 2 5" xfId="28430" xr:uid="{00000000-0005-0000-0000-0000116E0000}"/>
    <cellStyle name="Normal 361 3" xfId="28431" xr:uid="{00000000-0005-0000-0000-0000126E0000}"/>
    <cellStyle name="Normal 361 3 2" xfId="28432" xr:uid="{00000000-0005-0000-0000-0000136E0000}"/>
    <cellStyle name="Normal 361 3 2 2" xfId="28433" xr:uid="{00000000-0005-0000-0000-0000146E0000}"/>
    <cellStyle name="Normal 361 3 2 2 2" xfId="28434" xr:uid="{00000000-0005-0000-0000-0000156E0000}"/>
    <cellStyle name="Normal 361 3 2 3" xfId="28435" xr:uid="{00000000-0005-0000-0000-0000166E0000}"/>
    <cellStyle name="Normal 361 3 2 3 2" xfId="28436" xr:uid="{00000000-0005-0000-0000-0000176E0000}"/>
    <cellStyle name="Normal 361 3 2 3 2 2" xfId="28437" xr:uid="{00000000-0005-0000-0000-0000186E0000}"/>
    <cellStyle name="Normal 361 3 2 3 3" xfId="28438" xr:uid="{00000000-0005-0000-0000-0000196E0000}"/>
    <cellStyle name="Normal 361 3 2 4" xfId="28439" xr:uid="{00000000-0005-0000-0000-00001A6E0000}"/>
    <cellStyle name="Normal 361 3 3" xfId="28440" xr:uid="{00000000-0005-0000-0000-00001B6E0000}"/>
    <cellStyle name="Normal 361 3 3 2" xfId="28441" xr:uid="{00000000-0005-0000-0000-00001C6E0000}"/>
    <cellStyle name="Normal 361 3 3 2 2" xfId="28442" xr:uid="{00000000-0005-0000-0000-00001D6E0000}"/>
    <cellStyle name="Normal 361 3 3 3" xfId="28443" xr:uid="{00000000-0005-0000-0000-00001E6E0000}"/>
    <cellStyle name="Normal 361 3 4" xfId="28444" xr:uid="{00000000-0005-0000-0000-00001F6E0000}"/>
    <cellStyle name="Normal 361 3 4 2" xfId="28445" xr:uid="{00000000-0005-0000-0000-0000206E0000}"/>
    <cellStyle name="Normal 361 3 4 2 2" xfId="28446" xr:uid="{00000000-0005-0000-0000-0000216E0000}"/>
    <cellStyle name="Normal 361 3 4 3" xfId="28447" xr:uid="{00000000-0005-0000-0000-0000226E0000}"/>
    <cellStyle name="Normal 361 3 5" xfId="28448" xr:uid="{00000000-0005-0000-0000-0000236E0000}"/>
    <cellStyle name="Normal 361 3 5 2" xfId="28449" xr:uid="{00000000-0005-0000-0000-0000246E0000}"/>
    <cellStyle name="Normal 361 3 5 2 2" xfId="28450" xr:uid="{00000000-0005-0000-0000-0000256E0000}"/>
    <cellStyle name="Normal 361 3 5 3" xfId="28451" xr:uid="{00000000-0005-0000-0000-0000266E0000}"/>
    <cellStyle name="Normal 361 3 6" xfId="28452" xr:uid="{00000000-0005-0000-0000-0000276E0000}"/>
    <cellStyle name="Normal 361 4" xfId="28453" xr:uid="{00000000-0005-0000-0000-0000286E0000}"/>
    <cellStyle name="Normal 361 4 2" xfId="28454" xr:uid="{00000000-0005-0000-0000-0000296E0000}"/>
    <cellStyle name="Normal 361 4 2 2" xfId="28455" xr:uid="{00000000-0005-0000-0000-00002A6E0000}"/>
    <cellStyle name="Normal 361 4 3" xfId="28456" xr:uid="{00000000-0005-0000-0000-00002B6E0000}"/>
    <cellStyle name="Normal 361 5" xfId="28457" xr:uid="{00000000-0005-0000-0000-00002C6E0000}"/>
    <cellStyle name="Normal 361 5 2" xfId="28458" xr:uid="{00000000-0005-0000-0000-00002D6E0000}"/>
    <cellStyle name="Normal 361 5 2 2" xfId="28459" xr:uid="{00000000-0005-0000-0000-00002E6E0000}"/>
    <cellStyle name="Normal 361 5 3" xfId="28460" xr:uid="{00000000-0005-0000-0000-00002F6E0000}"/>
    <cellStyle name="Normal 361 6" xfId="28461" xr:uid="{00000000-0005-0000-0000-0000306E0000}"/>
    <cellStyle name="Normal 361 6 2" xfId="28462" xr:uid="{00000000-0005-0000-0000-0000316E0000}"/>
    <cellStyle name="Normal 361 6 2 2" xfId="28463" xr:uid="{00000000-0005-0000-0000-0000326E0000}"/>
    <cellStyle name="Normal 361 6 3" xfId="28464" xr:uid="{00000000-0005-0000-0000-0000336E0000}"/>
    <cellStyle name="Normal 361 7" xfId="28465" xr:uid="{00000000-0005-0000-0000-0000346E0000}"/>
    <cellStyle name="Normal 362" xfId="28466" xr:uid="{00000000-0005-0000-0000-0000356E0000}"/>
    <cellStyle name="Normal 362 2" xfId="28467" xr:uid="{00000000-0005-0000-0000-0000366E0000}"/>
    <cellStyle name="Normal 362 2 2" xfId="28468" xr:uid="{00000000-0005-0000-0000-0000376E0000}"/>
    <cellStyle name="Normal 362 2 2 2" xfId="28469" xr:uid="{00000000-0005-0000-0000-0000386E0000}"/>
    <cellStyle name="Normal 362 2 3" xfId="28470" xr:uid="{00000000-0005-0000-0000-0000396E0000}"/>
    <cellStyle name="Normal 362 2 3 2" xfId="28471" xr:uid="{00000000-0005-0000-0000-00003A6E0000}"/>
    <cellStyle name="Normal 362 2 3 2 2" xfId="28472" xr:uid="{00000000-0005-0000-0000-00003B6E0000}"/>
    <cellStyle name="Normal 362 2 3 3" xfId="28473" xr:uid="{00000000-0005-0000-0000-00003C6E0000}"/>
    <cellStyle name="Normal 362 2 4" xfId="28474" xr:uid="{00000000-0005-0000-0000-00003D6E0000}"/>
    <cellStyle name="Normal 362 2 4 2" xfId="28475" xr:uid="{00000000-0005-0000-0000-00003E6E0000}"/>
    <cellStyle name="Normal 362 2 4 2 2" xfId="28476" xr:uid="{00000000-0005-0000-0000-00003F6E0000}"/>
    <cellStyle name="Normal 362 2 4 3" xfId="28477" xr:uid="{00000000-0005-0000-0000-0000406E0000}"/>
    <cellStyle name="Normal 362 2 5" xfId="28478" xr:uid="{00000000-0005-0000-0000-0000416E0000}"/>
    <cellStyle name="Normal 362 3" xfId="28479" xr:uid="{00000000-0005-0000-0000-0000426E0000}"/>
    <cellStyle name="Normal 362 3 2" xfId="28480" xr:uid="{00000000-0005-0000-0000-0000436E0000}"/>
    <cellStyle name="Normal 362 3 2 2" xfId="28481" xr:uid="{00000000-0005-0000-0000-0000446E0000}"/>
    <cellStyle name="Normal 362 3 2 2 2" xfId="28482" xr:uid="{00000000-0005-0000-0000-0000456E0000}"/>
    <cellStyle name="Normal 362 3 2 3" xfId="28483" xr:uid="{00000000-0005-0000-0000-0000466E0000}"/>
    <cellStyle name="Normal 362 3 2 3 2" xfId="28484" xr:uid="{00000000-0005-0000-0000-0000476E0000}"/>
    <cellStyle name="Normal 362 3 2 3 2 2" xfId="28485" xr:uid="{00000000-0005-0000-0000-0000486E0000}"/>
    <cellStyle name="Normal 362 3 2 3 3" xfId="28486" xr:uid="{00000000-0005-0000-0000-0000496E0000}"/>
    <cellStyle name="Normal 362 3 2 4" xfId="28487" xr:uid="{00000000-0005-0000-0000-00004A6E0000}"/>
    <cellStyle name="Normal 362 3 3" xfId="28488" xr:uid="{00000000-0005-0000-0000-00004B6E0000}"/>
    <cellStyle name="Normal 362 3 3 2" xfId="28489" xr:uid="{00000000-0005-0000-0000-00004C6E0000}"/>
    <cellStyle name="Normal 362 3 3 2 2" xfId="28490" xr:uid="{00000000-0005-0000-0000-00004D6E0000}"/>
    <cellStyle name="Normal 362 3 3 3" xfId="28491" xr:uid="{00000000-0005-0000-0000-00004E6E0000}"/>
    <cellStyle name="Normal 362 3 4" xfId="28492" xr:uid="{00000000-0005-0000-0000-00004F6E0000}"/>
    <cellStyle name="Normal 362 3 4 2" xfId="28493" xr:uid="{00000000-0005-0000-0000-0000506E0000}"/>
    <cellStyle name="Normal 362 3 4 2 2" xfId="28494" xr:uid="{00000000-0005-0000-0000-0000516E0000}"/>
    <cellStyle name="Normal 362 3 4 3" xfId="28495" xr:uid="{00000000-0005-0000-0000-0000526E0000}"/>
    <cellStyle name="Normal 362 3 5" xfId="28496" xr:uid="{00000000-0005-0000-0000-0000536E0000}"/>
    <cellStyle name="Normal 362 3 5 2" xfId="28497" xr:uid="{00000000-0005-0000-0000-0000546E0000}"/>
    <cellStyle name="Normal 362 3 5 2 2" xfId="28498" xr:uid="{00000000-0005-0000-0000-0000556E0000}"/>
    <cellStyle name="Normal 362 3 5 3" xfId="28499" xr:uid="{00000000-0005-0000-0000-0000566E0000}"/>
    <cellStyle name="Normal 362 3 6" xfId="28500" xr:uid="{00000000-0005-0000-0000-0000576E0000}"/>
    <cellStyle name="Normal 362 4" xfId="28501" xr:uid="{00000000-0005-0000-0000-0000586E0000}"/>
    <cellStyle name="Normal 362 4 2" xfId="28502" xr:uid="{00000000-0005-0000-0000-0000596E0000}"/>
    <cellStyle name="Normal 362 4 2 2" xfId="28503" xr:uid="{00000000-0005-0000-0000-00005A6E0000}"/>
    <cellStyle name="Normal 362 4 3" xfId="28504" xr:uid="{00000000-0005-0000-0000-00005B6E0000}"/>
    <cellStyle name="Normal 362 5" xfId="28505" xr:uid="{00000000-0005-0000-0000-00005C6E0000}"/>
    <cellStyle name="Normal 362 5 2" xfId="28506" xr:uid="{00000000-0005-0000-0000-00005D6E0000}"/>
    <cellStyle name="Normal 362 5 2 2" xfId="28507" xr:uid="{00000000-0005-0000-0000-00005E6E0000}"/>
    <cellStyle name="Normal 362 5 3" xfId="28508" xr:uid="{00000000-0005-0000-0000-00005F6E0000}"/>
    <cellStyle name="Normal 362 6" xfId="28509" xr:uid="{00000000-0005-0000-0000-0000606E0000}"/>
    <cellStyle name="Normal 362 6 2" xfId="28510" xr:uid="{00000000-0005-0000-0000-0000616E0000}"/>
    <cellStyle name="Normal 362 6 2 2" xfId="28511" xr:uid="{00000000-0005-0000-0000-0000626E0000}"/>
    <cellStyle name="Normal 362 6 3" xfId="28512" xr:uid="{00000000-0005-0000-0000-0000636E0000}"/>
    <cellStyle name="Normal 362 7" xfId="28513" xr:uid="{00000000-0005-0000-0000-0000646E0000}"/>
    <cellStyle name="Normal 363" xfId="28514" xr:uid="{00000000-0005-0000-0000-0000656E0000}"/>
    <cellStyle name="Normal 363 2" xfId="28515" xr:uid="{00000000-0005-0000-0000-0000666E0000}"/>
    <cellStyle name="Normal 363 2 2" xfId="28516" xr:uid="{00000000-0005-0000-0000-0000676E0000}"/>
    <cellStyle name="Normal 363 2 2 2" xfId="28517" xr:uid="{00000000-0005-0000-0000-0000686E0000}"/>
    <cellStyle name="Normal 363 2 3" xfId="28518" xr:uid="{00000000-0005-0000-0000-0000696E0000}"/>
    <cellStyle name="Normal 363 2 3 2" xfId="28519" xr:uid="{00000000-0005-0000-0000-00006A6E0000}"/>
    <cellStyle name="Normal 363 2 3 2 2" xfId="28520" xr:uid="{00000000-0005-0000-0000-00006B6E0000}"/>
    <cellStyle name="Normal 363 2 3 3" xfId="28521" xr:uid="{00000000-0005-0000-0000-00006C6E0000}"/>
    <cellStyle name="Normal 363 2 4" xfId="28522" xr:uid="{00000000-0005-0000-0000-00006D6E0000}"/>
    <cellStyle name="Normal 363 2 4 2" xfId="28523" xr:uid="{00000000-0005-0000-0000-00006E6E0000}"/>
    <cellStyle name="Normal 363 2 4 2 2" xfId="28524" xr:uid="{00000000-0005-0000-0000-00006F6E0000}"/>
    <cellStyle name="Normal 363 2 4 3" xfId="28525" xr:uid="{00000000-0005-0000-0000-0000706E0000}"/>
    <cellStyle name="Normal 363 2 5" xfId="28526" xr:uid="{00000000-0005-0000-0000-0000716E0000}"/>
    <cellStyle name="Normal 363 3" xfId="28527" xr:uid="{00000000-0005-0000-0000-0000726E0000}"/>
    <cellStyle name="Normal 363 3 2" xfId="28528" xr:uid="{00000000-0005-0000-0000-0000736E0000}"/>
    <cellStyle name="Normal 363 3 2 2" xfId="28529" xr:uid="{00000000-0005-0000-0000-0000746E0000}"/>
    <cellStyle name="Normal 363 3 2 2 2" xfId="28530" xr:uid="{00000000-0005-0000-0000-0000756E0000}"/>
    <cellStyle name="Normal 363 3 2 3" xfId="28531" xr:uid="{00000000-0005-0000-0000-0000766E0000}"/>
    <cellStyle name="Normal 363 3 2 3 2" xfId="28532" xr:uid="{00000000-0005-0000-0000-0000776E0000}"/>
    <cellStyle name="Normal 363 3 2 3 2 2" xfId="28533" xr:uid="{00000000-0005-0000-0000-0000786E0000}"/>
    <cellStyle name="Normal 363 3 2 3 3" xfId="28534" xr:uid="{00000000-0005-0000-0000-0000796E0000}"/>
    <cellStyle name="Normal 363 3 2 4" xfId="28535" xr:uid="{00000000-0005-0000-0000-00007A6E0000}"/>
    <cellStyle name="Normal 363 3 3" xfId="28536" xr:uid="{00000000-0005-0000-0000-00007B6E0000}"/>
    <cellStyle name="Normal 363 3 3 2" xfId="28537" xr:uid="{00000000-0005-0000-0000-00007C6E0000}"/>
    <cellStyle name="Normal 363 3 3 2 2" xfId="28538" xr:uid="{00000000-0005-0000-0000-00007D6E0000}"/>
    <cellStyle name="Normal 363 3 3 3" xfId="28539" xr:uid="{00000000-0005-0000-0000-00007E6E0000}"/>
    <cellStyle name="Normal 363 3 4" xfId="28540" xr:uid="{00000000-0005-0000-0000-00007F6E0000}"/>
    <cellStyle name="Normal 363 3 4 2" xfId="28541" xr:uid="{00000000-0005-0000-0000-0000806E0000}"/>
    <cellStyle name="Normal 363 3 4 2 2" xfId="28542" xr:uid="{00000000-0005-0000-0000-0000816E0000}"/>
    <cellStyle name="Normal 363 3 4 3" xfId="28543" xr:uid="{00000000-0005-0000-0000-0000826E0000}"/>
    <cellStyle name="Normal 363 3 5" xfId="28544" xr:uid="{00000000-0005-0000-0000-0000836E0000}"/>
    <cellStyle name="Normal 363 3 5 2" xfId="28545" xr:uid="{00000000-0005-0000-0000-0000846E0000}"/>
    <cellStyle name="Normal 363 3 5 2 2" xfId="28546" xr:uid="{00000000-0005-0000-0000-0000856E0000}"/>
    <cellStyle name="Normal 363 3 5 3" xfId="28547" xr:uid="{00000000-0005-0000-0000-0000866E0000}"/>
    <cellStyle name="Normal 363 3 6" xfId="28548" xr:uid="{00000000-0005-0000-0000-0000876E0000}"/>
    <cellStyle name="Normal 363 4" xfId="28549" xr:uid="{00000000-0005-0000-0000-0000886E0000}"/>
    <cellStyle name="Normal 363 4 2" xfId="28550" xr:uid="{00000000-0005-0000-0000-0000896E0000}"/>
    <cellStyle name="Normal 363 4 2 2" xfId="28551" xr:uid="{00000000-0005-0000-0000-00008A6E0000}"/>
    <cellStyle name="Normal 363 4 3" xfId="28552" xr:uid="{00000000-0005-0000-0000-00008B6E0000}"/>
    <cellStyle name="Normal 363 5" xfId="28553" xr:uid="{00000000-0005-0000-0000-00008C6E0000}"/>
    <cellStyle name="Normal 363 5 2" xfId="28554" xr:uid="{00000000-0005-0000-0000-00008D6E0000}"/>
    <cellStyle name="Normal 363 5 2 2" xfId="28555" xr:uid="{00000000-0005-0000-0000-00008E6E0000}"/>
    <cellStyle name="Normal 363 5 3" xfId="28556" xr:uid="{00000000-0005-0000-0000-00008F6E0000}"/>
    <cellStyle name="Normal 363 6" xfId="28557" xr:uid="{00000000-0005-0000-0000-0000906E0000}"/>
    <cellStyle name="Normal 363 6 2" xfId="28558" xr:uid="{00000000-0005-0000-0000-0000916E0000}"/>
    <cellStyle name="Normal 363 6 2 2" xfId="28559" xr:uid="{00000000-0005-0000-0000-0000926E0000}"/>
    <cellStyle name="Normal 363 6 3" xfId="28560" xr:uid="{00000000-0005-0000-0000-0000936E0000}"/>
    <cellStyle name="Normal 363 7" xfId="28561" xr:uid="{00000000-0005-0000-0000-0000946E0000}"/>
    <cellStyle name="Normal 364" xfId="28562" xr:uid="{00000000-0005-0000-0000-0000956E0000}"/>
    <cellStyle name="Normal 364 2" xfId="28563" xr:uid="{00000000-0005-0000-0000-0000966E0000}"/>
    <cellStyle name="Normal 364 2 2" xfId="28564" xr:uid="{00000000-0005-0000-0000-0000976E0000}"/>
    <cellStyle name="Normal 364 2 2 2" xfId="28565" xr:uid="{00000000-0005-0000-0000-0000986E0000}"/>
    <cellStyle name="Normal 364 2 3" xfId="28566" xr:uid="{00000000-0005-0000-0000-0000996E0000}"/>
    <cellStyle name="Normal 364 2 3 2" xfId="28567" xr:uid="{00000000-0005-0000-0000-00009A6E0000}"/>
    <cellStyle name="Normal 364 2 3 2 2" xfId="28568" xr:uid="{00000000-0005-0000-0000-00009B6E0000}"/>
    <cellStyle name="Normal 364 2 3 3" xfId="28569" xr:uid="{00000000-0005-0000-0000-00009C6E0000}"/>
    <cellStyle name="Normal 364 2 4" xfId="28570" xr:uid="{00000000-0005-0000-0000-00009D6E0000}"/>
    <cellStyle name="Normal 364 2 4 2" xfId="28571" xr:uid="{00000000-0005-0000-0000-00009E6E0000}"/>
    <cellStyle name="Normal 364 2 4 2 2" xfId="28572" xr:uid="{00000000-0005-0000-0000-00009F6E0000}"/>
    <cellStyle name="Normal 364 2 4 3" xfId="28573" xr:uid="{00000000-0005-0000-0000-0000A06E0000}"/>
    <cellStyle name="Normal 364 2 5" xfId="28574" xr:uid="{00000000-0005-0000-0000-0000A16E0000}"/>
    <cellStyle name="Normal 364 3" xfId="28575" xr:uid="{00000000-0005-0000-0000-0000A26E0000}"/>
    <cellStyle name="Normal 364 3 2" xfId="28576" xr:uid="{00000000-0005-0000-0000-0000A36E0000}"/>
    <cellStyle name="Normal 364 3 2 2" xfId="28577" xr:uid="{00000000-0005-0000-0000-0000A46E0000}"/>
    <cellStyle name="Normal 364 3 2 2 2" xfId="28578" xr:uid="{00000000-0005-0000-0000-0000A56E0000}"/>
    <cellStyle name="Normal 364 3 2 3" xfId="28579" xr:uid="{00000000-0005-0000-0000-0000A66E0000}"/>
    <cellStyle name="Normal 364 3 2 3 2" xfId="28580" xr:uid="{00000000-0005-0000-0000-0000A76E0000}"/>
    <cellStyle name="Normal 364 3 2 3 2 2" xfId="28581" xr:uid="{00000000-0005-0000-0000-0000A86E0000}"/>
    <cellStyle name="Normal 364 3 2 3 3" xfId="28582" xr:uid="{00000000-0005-0000-0000-0000A96E0000}"/>
    <cellStyle name="Normal 364 3 2 4" xfId="28583" xr:uid="{00000000-0005-0000-0000-0000AA6E0000}"/>
    <cellStyle name="Normal 364 3 3" xfId="28584" xr:uid="{00000000-0005-0000-0000-0000AB6E0000}"/>
    <cellStyle name="Normal 364 3 3 2" xfId="28585" xr:uid="{00000000-0005-0000-0000-0000AC6E0000}"/>
    <cellStyle name="Normal 364 3 3 2 2" xfId="28586" xr:uid="{00000000-0005-0000-0000-0000AD6E0000}"/>
    <cellStyle name="Normal 364 3 3 3" xfId="28587" xr:uid="{00000000-0005-0000-0000-0000AE6E0000}"/>
    <cellStyle name="Normal 364 3 4" xfId="28588" xr:uid="{00000000-0005-0000-0000-0000AF6E0000}"/>
    <cellStyle name="Normal 364 3 4 2" xfId="28589" xr:uid="{00000000-0005-0000-0000-0000B06E0000}"/>
    <cellStyle name="Normal 364 3 4 2 2" xfId="28590" xr:uid="{00000000-0005-0000-0000-0000B16E0000}"/>
    <cellStyle name="Normal 364 3 4 3" xfId="28591" xr:uid="{00000000-0005-0000-0000-0000B26E0000}"/>
    <cellStyle name="Normal 364 3 5" xfId="28592" xr:uid="{00000000-0005-0000-0000-0000B36E0000}"/>
    <cellStyle name="Normal 364 3 5 2" xfId="28593" xr:uid="{00000000-0005-0000-0000-0000B46E0000}"/>
    <cellStyle name="Normal 364 3 5 2 2" xfId="28594" xr:uid="{00000000-0005-0000-0000-0000B56E0000}"/>
    <cellStyle name="Normal 364 3 5 3" xfId="28595" xr:uid="{00000000-0005-0000-0000-0000B66E0000}"/>
    <cellStyle name="Normal 364 3 6" xfId="28596" xr:uid="{00000000-0005-0000-0000-0000B76E0000}"/>
    <cellStyle name="Normal 364 4" xfId="28597" xr:uid="{00000000-0005-0000-0000-0000B86E0000}"/>
    <cellStyle name="Normal 364 4 2" xfId="28598" xr:uid="{00000000-0005-0000-0000-0000B96E0000}"/>
    <cellStyle name="Normal 364 4 2 2" xfId="28599" xr:uid="{00000000-0005-0000-0000-0000BA6E0000}"/>
    <cellStyle name="Normal 364 4 3" xfId="28600" xr:uid="{00000000-0005-0000-0000-0000BB6E0000}"/>
    <cellStyle name="Normal 364 5" xfId="28601" xr:uid="{00000000-0005-0000-0000-0000BC6E0000}"/>
    <cellStyle name="Normal 364 5 2" xfId="28602" xr:uid="{00000000-0005-0000-0000-0000BD6E0000}"/>
    <cellStyle name="Normal 364 5 2 2" xfId="28603" xr:uid="{00000000-0005-0000-0000-0000BE6E0000}"/>
    <cellStyle name="Normal 364 5 3" xfId="28604" xr:uid="{00000000-0005-0000-0000-0000BF6E0000}"/>
    <cellStyle name="Normal 364 6" xfId="28605" xr:uid="{00000000-0005-0000-0000-0000C06E0000}"/>
    <cellStyle name="Normal 364 6 2" xfId="28606" xr:uid="{00000000-0005-0000-0000-0000C16E0000}"/>
    <cellStyle name="Normal 364 6 2 2" xfId="28607" xr:uid="{00000000-0005-0000-0000-0000C26E0000}"/>
    <cellStyle name="Normal 364 6 3" xfId="28608" xr:uid="{00000000-0005-0000-0000-0000C36E0000}"/>
    <cellStyle name="Normal 364 7" xfId="28609" xr:uid="{00000000-0005-0000-0000-0000C46E0000}"/>
    <cellStyle name="Normal 365" xfId="28610" xr:uid="{00000000-0005-0000-0000-0000C56E0000}"/>
    <cellStyle name="Normal 365 2" xfId="28611" xr:uid="{00000000-0005-0000-0000-0000C66E0000}"/>
    <cellStyle name="Normal 365 2 2" xfId="28612" xr:uid="{00000000-0005-0000-0000-0000C76E0000}"/>
    <cellStyle name="Normal 365 2 2 2" xfId="28613" xr:uid="{00000000-0005-0000-0000-0000C86E0000}"/>
    <cellStyle name="Normal 365 2 3" xfId="28614" xr:uid="{00000000-0005-0000-0000-0000C96E0000}"/>
    <cellStyle name="Normal 365 2 3 2" xfId="28615" xr:uid="{00000000-0005-0000-0000-0000CA6E0000}"/>
    <cellStyle name="Normal 365 2 3 2 2" xfId="28616" xr:uid="{00000000-0005-0000-0000-0000CB6E0000}"/>
    <cellStyle name="Normal 365 2 3 3" xfId="28617" xr:uid="{00000000-0005-0000-0000-0000CC6E0000}"/>
    <cellStyle name="Normal 365 2 4" xfId="28618" xr:uid="{00000000-0005-0000-0000-0000CD6E0000}"/>
    <cellStyle name="Normal 365 2 4 2" xfId="28619" xr:uid="{00000000-0005-0000-0000-0000CE6E0000}"/>
    <cellStyle name="Normal 365 2 4 2 2" xfId="28620" xr:uid="{00000000-0005-0000-0000-0000CF6E0000}"/>
    <cellStyle name="Normal 365 2 4 3" xfId="28621" xr:uid="{00000000-0005-0000-0000-0000D06E0000}"/>
    <cellStyle name="Normal 365 2 5" xfId="28622" xr:uid="{00000000-0005-0000-0000-0000D16E0000}"/>
    <cellStyle name="Normal 365 3" xfId="28623" xr:uid="{00000000-0005-0000-0000-0000D26E0000}"/>
    <cellStyle name="Normal 365 3 2" xfId="28624" xr:uid="{00000000-0005-0000-0000-0000D36E0000}"/>
    <cellStyle name="Normal 365 3 2 2" xfId="28625" xr:uid="{00000000-0005-0000-0000-0000D46E0000}"/>
    <cellStyle name="Normal 365 3 2 2 2" xfId="28626" xr:uid="{00000000-0005-0000-0000-0000D56E0000}"/>
    <cellStyle name="Normal 365 3 2 3" xfId="28627" xr:uid="{00000000-0005-0000-0000-0000D66E0000}"/>
    <cellStyle name="Normal 365 3 2 3 2" xfId="28628" xr:uid="{00000000-0005-0000-0000-0000D76E0000}"/>
    <cellStyle name="Normal 365 3 2 3 2 2" xfId="28629" xr:uid="{00000000-0005-0000-0000-0000D86E0000}"/>
    <cellStyle name="Normal 365 3 2 3 3" xfId="28630" xr:uid="{00000000-0005-0000-0000-0000D96E0000}"/>
    <cellStyle name="Normal 365 3 2 4" xfId="28631" xr:uid="{00000000-0005-0000-0000-0000DA6E0000}"/>
    <cellStyle name="Normal 365 3 3" xfId="28632" xr:uid="{00000000-0005-0000-0000-0000DB6E0000}"/>
    <cellStyle name="Normal 365 3 3 2" xfId="28633" xr:uid="{00000000-0005-0000-0000-0000DC6E0000}"/>
    <cellStyle name="Normal 365 3 3 2 2" xfId="28634" xr:uid="{00000000-0005-0000-0000-0000DD6E0000}"/>
    <cellStyle name="Normal 365 3 3 3" xfId="28635" xr:uid="{00000000-0005-0000-0000-0000DE6E0000}"/>
    <cellStyle name="Normal 365 3 4" xfId="28636" xr:uid="{00000000-0005-0000-0000-0000DF6E0000}"/>
    <cellStyle name="Normal 365 3 4 2" xfId="28637" xr:uid="{00000000-0005-0000-0000-0000E06E0000}"/>
    <cellStyle name="Normal 365 3 4 2 2" xfId="28638" xr:uid="{00000000-0005-0000-0000-0000E16E0000}"/>
    <cellStyle name="Normal 365 3 4 3" xfId="28639" xr:uid="{00000000-0005-0000-0000-0000E26E0000}"/>
    <cellStyle name="Normal 365 3 5" xfId="28640" xr:uid="{00000000-0005-0000-0000-0000E36E0000}"/>
    <cellStyle name="Normal 365 3 5 2" xfId="28641" xr:uid="{00000000-0005-0000-0000-0000E46E0000}"/>
    <cellStyle name="Normal 365 3 5 2 2" xfId="28642" xr:uid="{00000000-0005-0000-0000-0000E56E0000}"/>
    <cellStyle name="Normal 365 3 5 3" xfId="28643" xr:uid="{00000000-0005-0000-0000-0000E66E0000}"/>
    <cellStyle name="Normal 365 3 6" xfId="28644" xr:uid="{00000000-0005-0000-0000-0000E76E0000}"/>
    <cellStyle name="Normal 365 4" xfId="28645" xr:uid="{00000000-0005-0000-0000-0000E86E0000}"/>
    <cellStyle name="Normal 365 4 2" xfId="28646" xr:uid="{00000000-0005-0000-0000-0000E96E0000}"/>
    <cellStyle name="Normal 365 4 2 2" xfId="28647" xr:uid="{00000000-0005-0000-0000-0000EA6E0000}"/>
    <cellStyle name="Normal 365 4 3" xfId="28648" xr:uid="{00000000-0005-0000-0000-0000EB6E0000}"/>
    <cellStyle name="Normal 365 5" xfId="28649" xr:uid="{00000000-0005-0000-0000-0000EC6E0000}"/>
    <cellStyle name="Normal 365 5 2" xfId="28650" xr:uid="{00000000-0005-0000-0000-0000ED6E0000}"/>
    <cellStyle name="Normal 365 5 2 2" xfId="28651" xr:uid="{00000000-0005-0000-0000-0000EE6E0000}"/>
    <cellStyle name="Normal 365 5 3" xfId="28652" xr:uid="{00000000-0005-0000-0000-0000EF6E0000}"/>
    <cellStyle name="Normal 365 6" xfId="28653" xr:uid="{00000000-0005-0000-0000-0000F06E0000}"/>
    <cellStyle name="Normal 365 6 2" xfId="28654" xr:uid="{00000000-0005-0000-0000-0000F16E0000}"/>
    <cellStyle name="Normal 365 6 2 2" xfId="28655" xr:uid="{00000000-0005-0000-0000-0000F26E0000}"/>
    <cellStyle name="Normal 365 6 3" xfId="28656" xr:uid="{00000000-0005-0000-0000-0000F36E0000}"/>
    <cellStyle name="Normal 365 7" xfId="28657" xr:uid="{00000000-0005-0000-0000-0000F46E0000}"/>
    <cellStyle name="Normal 366" xfId="28658" xr:uid="{00000000-0005-0000-0000-0000F56E0000}"/>
    <cellStyle name="Normal 366 2" xfId="28659" xr:uid="{00000000-0005-0000-0000-0000F66E0000}"/>
    <cellStyle name="Normal 366 2 2" xfId="28660" xr:uid="{00000000-0005-0000-0000-0000F76E0000}"/>
    <cellStyle name="Normal 366 2 2 2" xfId="28661" xr:uid="{00000000-0005-0000-0000-0000F86E0000}"/>
    <cellStyle name="Normal 366 2 3" xfId="28662" xr:uid="{00000000-0005-0000-0000-0000F96E0000}"/>
    <cellStyle name="Normal 366 2 3 2" xfId="28663" xr:uid="{00000000-0005-0000-0000-0000FA6E0000}"/>
    <cellStyle name="Normal 366 2 3 2 2" xfId="28664" xr:uid="{00000000-0005-0000-0000-0000FB6E0000}"/>
    <cellStyle name="Normal 366 2 3 3" xfId="28665" xr:uid="{00000000-0005-0000-0000-0000FC6E0000}"/>
    <cellStyle name="Normal 366 2 4" xfId="28666" xr:uid="{00000000-0005-0000-0000-0000FD6E0000}"/>
    <cellStyle name="Normal 366 2 4 2" xfId="28667" xr:uid="{00000000-0005-0000-0000-0000FE6E0000}"/>
    <cellStyle name="Normal 366 2 4 2 2" xfId="28668" xr:uid="{00000000-0005-0000-0000-0000FF6E0000}"/>
    <cellStyle name="Normal 366 2 4 3" xfId="28669" xr:uid="{00000000-0005-0000-0000-0000006F0000}"/>
    <cellStyle name="Normal 366 2 5" xfId="28670" xr:uid="{00000000-0005-0000-0000-0000016F0000}"/>
    <cellStyle name="Normal 366 3" xfId="28671" xr:uid="{00000000-0005-0000-0000-0000026F0000}"/>
    <cellStyle name="Normal 366 3 2" xfId="28672" xr:uid="{00000000-0005-0000-0000-0000036F0000}"/>
    <cellStyle name="Normal 366 3 2 2" xfId="28673" xr:uid="{00000000-0005-0000-0000-0000046F0000}"/>
    <cellStyle name="Normal 366 3 2 2 2" xfId="28674" xr:uid="{00000000-0005-0000-0000-0000056F0000}"/>
    <cellStyle name="Normal 366 3 2 3" xfId="28675" xr:uid="{00000000-0005-0000-0000-0000066F0000}"/>
    <cellStyle name="Normal 366 3 2 3 2" xfId="28676" xr:uid="{00000000-0005-0000-0000-0000076F0000}"/>
    <cellStyle name="Normal 366 3 2 3 2 2" xfId="28677" xr:uid="{00000000-0005-0000-0000-0000086F0000}"/>
    <cellStyle name="Normal 366 3 2 3 3" xfId="28678" xr:uid="{00000000-0005-0000-0000-0000096F0000}"/>
    <cellStyle name="Normal 366 3 2 4" xfId="28679" xr:uid="{00000000-0005-0000-0000-00000A6F0000}"/>
    <cellStyle name="Normal 366 3 3" xfId="28680" xr:uid="{00000000-0005-0000-0000-00000B6F0000}"/>
    <cellStyle name="Normal 366 3 3 2" xfId="28681" xr:uid="{00000000-0005-0000-0000-00000C6F0000}"/>
    <cellStyle name="Normal 366 3 3 2 2" xfId="28682" xr:uid="{00000000-0005-0000-0000-00000D6F0000}"/>
    <cellStyle name="Normal 366 3 3 3" xfId="28683" xr:uid="{00000000-0005-0000-0000-00000E6F0000}"/>
    <cellStyle name="Normal 366 3 4" xfId="28684" xr:uid="{00000000-0005-0000-0000-00000F6F0000}"/>
    <cellStyle name="Normal 366 3 4 2" xfId="28685" xr:uid="{00000000-0005-0000-0000-0000106F0000}"/>
    <cellStyle name="Normal 366 3 4 2 2" xfId="28686" xr:uid="{00000000-0005-0000-0000-0000116F0000}"/>
    <cellStyle name="Normal 366 3 4 3" xfId="28687" xr:uid="{00000000-0005-0000-0000-0000126F0000}"/>
    <cellStyle name="Normal 366 3 5" xfId="28688" xr:uid="{00000000-0005-0000-0000-0000136F0000}"/>
    <cellStyle name="Normal 366 3 5 2" xfId="28689" xr:uid="{00000000-0005-0000-0000-0000146F0000}"/>
    <cellStyle name="Normal 366 3 5 2 2" xfId="28690" xr:uid="{00000000-0005-0000-0000-0000156F0000}"/>
    <cellStyle name="Normal 366 3 5 3" xfId="28691" xr:uid="{00000000-0005-0000-0000-0000166F0000}"/>
    <cellStyle name="Normal 366 3 6" xfId="28692" xr:uid="{00000000-0005-0000-0000-0000176F0000}"/>
    <cellStyle name="Normal 366 4" xfId="28693" xr:uid="{00000000-0005-0000-0000-0000186F0000}"/>
    <cellStyle name="Normal 366 4 2" xfId="28694" xr:uid="{00000000-0005-0000-0000-0000196F0000}"/>
    <cellStyle name="Normal 366 4 2 2" xfId="28695" xr:uid="{00000000-0005-0000-0000-00001A6F0000}"/>
    <cellStyle name="Normal 366 4 3" xfId="28696" xr:uid="{00000000-0005-0000-0000-00001B6F0000}"/>
    <cellStyle name="Normal 366 5" xfId="28697" xr:uid="{00000000-0005-0000-0000-00001C6F0000}"/>
    <cellStyle name="Normal 366 5 2" xfId="28698" xr:uid="{00000000-0005-0000-0000-00001D6F0000}"/>
    <cellStyle name="Normal 366 5 2 2" xfId="28699" xr:uid="{00000000-0005-0000-0000-00001E6F0000}"/>
    <cellStyle name="Normal 366 5 3" xfId="28700" xr:uid="{00000000-0005-0000-0000-00001F6F0000}"/>
    <cellStyle name="Normal 366 6" xfId="28701" xr:uid="{00000000-0005-0000-0000-0000206F0000}"/>
    <cellStyle name="Normal 366 6 2" xfId="28702" xr:uid="{00000000-0005-0000-0000-0000216F0000}"/>
    <cellStyle name="Normal 366 6 2 2" xfId="28703" xr:uid="{00000000-0005-0000-0000-0000226F0000}"/>
    <cellStyle name="Normal 366 6 3" xfId="28704" xr:uid="{00000000-0005-0000-0000-0000236F0000}"/>
    <cellStyle name="Normal 366 7" xfId="28705" xr:uid="{00000000-0005-0000-0000-0000246F0000}"/>
    <cellStyle name="Normal 367" xfId="28706" xr:uid="{00000000-0005-0000-0000-0000256F0000}"/>
    <cellStyle name="Normal 367 2" xfId="28707" xr:uid="{00000000-0005-0000-0000-0000266F0000}"/>
    <cellStyle name="Normal 367 2 2" xfId="28708" xr:uid="{00000000-0005-0000-0000-0000276F0000}"/>
    <cellStyle name="Normal 367 2 2 2" xfId="28709" xr:uid="{00000000-0005-0000-0000-0000286F0000}"/>
    <cellStyle name="Normal 367 2 3" xfId="28710" xr:uid="{00000000-0005-0000-0000-0000296F0000}"/>
    <cellStyle name="Normal 367 2 3 2" xfId="28711" xr:uid="{00000000-0005-0000-0000-00002A6F0000}"/>
    <cellStyle name="Normal 367 2 3 2 2" xfId="28712" xr:uid="{00000000-0005-0000-0000-00002B6F0000}"/>
    <cellStyle name="Normal 367 2 3 3" xfId="28713" xr:uid="{00000000-0005-0000-0000-00002C6F0000}"/>
    <cellStyle name="Normal 367 2 4" xfId="28714" xr:uid="{00000000-0005-0000-0000-00002D6F0000}"/>
    <cellStyle name="Normal 367 2 4 2" xfId="28715" xr:uid="{00000000-0005-0000-0000-00002E6F0000}"/>
    <cellStyle name="Normal 367 2 4 2 2" xfId="28716" xr:uid="{00000000-0005-0000-0000-00002F6F0000}"/>
    <cellStyle name="Normal 367 2 4 3" xfId="28717" xr:uid="{00000000-0005-0000-0000-0000306F0000}"/>
    <cellStyle name="Normal 367 2 5" xfId="28718" xr:uid="{00000000-0005-0000-0000-0000316F0000}"/>
    <cellStyle name="Normal 367 3" xfId="28719" xr:uid="{00000000-0005-0000-0000-0000326F0000}"/>
    <cellStyle name="Normal 367 3 2" xfId="28720" xr:uid="{00000000-0005-0000-0000-0000336F0000}"/>
    <cellStyle name="Normal 367 3 2 2" xfId="28721" xr:uid="{00000000-0005-0000-0000-0000346F0000}"/>
    <cellStyle name="Normal 367 3 2 2 2" xfId="28722" xr:uid="{00000000-0005-0000-0000-0000356F0000}"/>
    <cellStyle name="Normal 367 3 2 3" xfId="28723" xr:uid="{00000000-0005-0000-0000-0000366F0000}"/>
    <cellStyle name="Normal 367 3 2 3 2" xfId="28724" xr:uid="{00000000-0005-0000-0000-0000376F0000}"/>
    <cellStyle name="Normal 367 3 2 3 2 2" xfId="28725" xr:uid="{00000000-0005-0000-0000-0000386F0000}"/>
    <cellStyle name="Normal 367 3 2 3 3" xfId="28726" xr:uid="{00000000-0005-0000-0000-0000396F0000}"/>
    <cellStyle name="Normal 367 3 2 4" xfId="28727" xr:uid="{00000000-0005-0000-0000-00003A6F0000}"/>
    <cellStyle name="Normal 367 3 3" xfId="28728" xr:uid="{00000000-0005-0000-0000-00003B6F0000}"/>
    <cellStyle name="Normal 367 3 3 2" xfId="28729" xr:uid="{00000000-0005-0000-0000-00003C6F0000}"/>
    <cellStyle name="Normal 367 3 3 2 2" xfId="28730" xr:uid="{00000000-0005-0000-0000-00003D6F0000}"/>
    <cellStyle name="Normal 367 3 3 3" xfId="28731" xr:uid="{00000000-0005-0000-0000-00003E6F0000}"/>
    <cellStyle name="Normal 367 3 4" xfId="28732" xr:uid="{00000000-0005-0000-0000-00003F6F0000}"/>
    <cellStyle name="Normal 367 3 4 2" xfId="28733" xr:uid="{00000000-0005-0000-0000-0000406F0000}"/>
    <cellStyle name="Normal 367 3 4 2 2" xfId="28734" xr:uid="{00000000-0005-0000-0000-0000416F0000}"/>
    <cellStyle name="Normal 367 3 4 3" xfId="28735" xr:uid="{00000000-0005-0000-0000-0000426F0000}"/>
    <cellStyle name="Normal 367 3 5" xfId="28736" xr:uid="{00000000-0005-0000-0000-0000436F0000}"/>
    <cellStyle name="Normal 367 3 5 2" xfId="28737" xr:uid="{00000000-0005-0000-0000-0000446F0000}"/>
    <cellStyle name="Normal 367 3 5 2 2" xfId="28738" xr:uid="{00000000-0005-0000-0000-0000456F0000}"/>
    <cellStyle name="Normal 367 3 5 3" xfId="28739" xr:uid="{00000000-0005-0000-0000-0000466F0000}"/>
    <cellStyle name="Normal 367 3 6" xfId="28740" xr:uid="{00000000-0005-0000-0000-0000476F0000}"/>
    <cellStyle name="Normal 367 4" xfId="28741" xr:uid="{00000000-0005-0000-0000-0000486F0000}"/>
    <cellStyle name="Normal 367 4 2" xfId="28742" xr:uid="{00000000-0005-0000-0000-0000496F0000}"/>
    <cellStyle name="Normal 367 4 2 2" xfId="28743" xr:uid="{00000000-0005-0000-0000-00004A6F0000}"/>
    <cellStyle name="Normal 367 4 3" xfId="28744" xr:uid="{00000000-0005-0000-0000-00004B6F0000}"/>
    <cellStyle name="Normal 367 5" xfId="28745" xr:uid="{00000000-0005-0000-0000-00004C6F0000}"/>
    <cellStyle name="Normal 367 5 2" xfId="28746" xr:uid="{00000000-0005-0000-0000-00004D6F0000}"/>
    <cellStyle name="Normal 367 5 2 2" xfId="28747" xr:uid="{00000000-0005-0000-0000-00004E6F0000}"/>
    <cellStyle name="Normal 367 5 3" xfId="28748" xr:uid="{00000000-0005-0000-0000-00004F6F0000}"/>
    <cellStyle name="Normal 367 6" xfId="28749" xr:uid="{00000000-0005-0000-0000-0000506F0000}"/>
    <cellStyle name="Normal 367 6 2" xfId="28750" xr:uid="{00000000-0005-0000-0000-0000516F0000}"/>
    <cellStyle name="Normal 367 6 2 2" xfId="28751" xr:uid="{00000000-0005-0000-0000-0000526F0000}"/>
    <cellStyle name="Normal 367 6 3" xfId="28752" xr:uid="{00000000-0005-0000-0000-0000536F0000}"/>
    <cellStyle name="Normal 367 7" xfId="28753" xr:uid="{00000000-0005-0000-0000-0000546F0000}"/>
    <cellStyle name="Normal 368" xfId="28754" xr:uid="{00000000-0005-0000-0000-0000556F0000}"/>
    <cellStyle name="Normal 368 2" xfId="28755" xr:uid="{00000000-0005-0000-0000-0000566F0000}"/>
    <cellStyle name="Normal 368 2 2" xfId="28756" xr:uid="{00000000-0005-0000-0000-0000576F0000}"/>
    <cellStyle name="Normal 368 2 2 2" xfId="28757" xr:uid="{00000000-0005-0000-0000-0000586F0000}"/>
    <cellStyle name="Normal 368 2 3" xfId="28758" xr:uid="{00000000-0005-0000-0000-0000596F0000}"/>
    <cellStyle name="Normal 368 2 3 2" xfId="28759" xr:uid="{00000000-0005-0000-0000-00005A6F0000}"/>
    <cellStyle name="Normal 368 2 3 2 2" xfId="28760" xr:uid="{00000000-0005-0000-0000-00005B6F0000}"/>
    <cellStyle name="Normal 368 2 3 3" xfId="28761" xr:uid="{00000000-0005-0000-0000-00005C6F0000}"/>
    <cellStyle name="Normal 368 2 4" xfId="28762" xr:uid="{00000000-0005-0000-0000-00005D6F0000}"/>
    <cellStyle name="Normal 368 2 4 2" xfId="28763" xr:uid="{00000000-0005-0000-0000-00005E6F0000}"/>
    <cellStyle name="Normal 368 2 4 2 2" xfId="28764" xr:uid="{00000000-0005-0000-0000-00005F6F0000}"/>
    <cellStyle name="Normal 368 2 4 3" xfId="28765" xr:uid="{00000000-0005-0000-0000-0000606F0000}"/>
    <cellStyle name="Normal 368 2 5" xfId="28766" xr:uid="{00000000-0005-0000-0000-0000616F0000}"/>
    <cellStyle name="Normal 368 3" xfId="28767" xr:uid="{00000000-0005-0000-0000-0000626F0000}"/>
    <cellStyle name="Normal 368 3 2" xfId="28768" xr:uid="{00000000-0005-0000-0000-0000636F0000}"/>
    <cellStyle name="Normal 368 3 2 2" xfId="28769" xr:uid="{00000000-0005-0000-0000-0000646F0000}"/>
    <cellStyle name="Normal 368 3 2 2 2" xfId="28770" xr:uid="{00000000-0005-0000-0000-0000656F0000}"/>
    <cellStyle name="Normal 368 3 2 3" xfId="28771" xr:uid="{00000000-0005-0000-0000-0000666F0000}"/>
    <cellStyle name="Normal 368 3 2 3 2" xfId="28772" xr:uid="{00000000-0005-0000-0000-0000676F0000}"/>
    <cellStyle name="Normal 368 3 2 3 2 2" xfId="28773" xr:uid="{00000000-0005-0000-0000-0000686F0000}"/>
    <cellStyle name="Normal 368 3 2 3 3" xfId="28774" xr:uid="{00000000-0005-0000-0000-0000696F0000}"/>
    <cellStyle name="Normal 368 3 2 4" xfId="28775" xr:uid="{00000000-0005-0000-0000-00006A6F0000}"/>
    <cellStyle name="Normal 368 3 3" xfId="28776" xr:uid="{00000000-0005-0000-0000-00006B6F0000}"/>
    <cellStyle name="Normal 368 3 3 2" xfId="28777" xr:uid="{00000000-0005-0000-0000-00006C6F0000}"/>
    <cellStyle name="Normal 368 3 3 2 2" xfId="28778" xr:uid="{00000000-0005-0000-0000-00006D6F0000}"/>
    <cellStyle name="Normal 368 3 3 3" xfId="28779" xr:uid="{00000000-0005-0000-0000-00006E6F0000}"/>
    <cellStyle name="Normal 368 3 4" xfId="28780" xr:uid="{00000000-0005-0000-0000-00006F6F0000}"/>
    <cellStyle name="Normal 368 3 4 2" xfId="28781" xr:uid="{00000000-0005-0000-0000-0000706F0000}"/>
    <cellStyle name="Normal 368 3 4 2 2" xfId="28782" xr:uid="{00000000-0005-0000-0000-0000716F0000}"/>
    <cellStyle name="Normal 368 3 4 3" xfId="28783" xr:uid="{00000000-0005-0000-0000-0000726F0000}"/>
    <cellStyle name="Normal 368 3 5" xfId="28784" xr:uid="{00000000-0005-0000-0000-0000736F0000}"/>
    <cellStyle name="Normal 368 3 5 2" xfId="28785" xr:uid="{00000000-0005-0000-0000-0000746F0000}"/>
    <cellStyle name="Normal 368 3 5 2 2" xfId="28786" xr:uid="{00000000-0005-0000-0000-0000756F0000}"/>
    <cellStyle name="Normal 368 3 5 3" xfId="28787" xr:uid="{00000000-0005-0000-0000-0000766F0000}"/>
    <cellStyle name="Normal 368 3 6" xfId="28788" xr:uid="{00000000-0005-0000-0000-0000776F0000}"/>
    <cellStyle name="Normal 368 4" xfId="28789" xr:uid="{00000000-0005-0000-0000-0000786F0000}"/>
    <cellStyle name="Normal 368 4 2" xfId="28790" xr:uid="{00000000-0005-0000-0000-0000796F0000}"/>
    <cellStyle name="Normal 368 4 2 2" xfId="28791" xr:uid="{00000000-0005-0000-0000-00007A6F0000}"/>
    <cellStyle name="Normal 368 4 3" xfId="28792" xr:uid="{00000000-0005-0000-0000-00007B6F0000}"/>
    <cellStyle name="Normal 368 5" xfId="28793" xr:uid="{00000000-0005-0000-0000-00007C6F0000}"/>
    <cellStyle name="Normal 368 5 2" xfId="28794" xr:uid="{00000000-0005-0000-0000-00007D6F0000}"/>
    <cellStyle name="Normal 368 5 2 2" xfId="28795" xr:uid="{00000000-0005-0000-0000-00007E6F0000}"/>
    <cellStyle name="Normal 368 5 3" xfId="28796" xr:uid="{00000000-0005-0000-0000-00007F6F0000}"/>
    <cellStyle name="Normal 368 6" xfId="28797" xr:uid="{00000000-0005-0000-0000-0000806F0000}"/>
    <cellStyle name="Normal 368 6 2" xfId="28798" xr:uid="{00000000-0005-0000-0000-0000816F0000}"/>
    <cellStyle name="Normal 368 6 2 2" xfId="28799" xr:uid="{00000000-0005-0000-0000-0000826F0000}"/>
    <cellStyle name="Normal 368 6 3" xfId="28800" xr:uid="{00000000-0005-0000-0000-0000836F0000}"/>
    <cellStyle name="Normal 368 7" xfId="28801" xr:uid="{00000000-0005-0000-0000-0000846F0000}"/>
    <cellStyle name="Normal 369" xfId="28802" xr:uid="{00000000-0005-0000-0000-0000856F0000}"/>
    <cellStyle name="Normal 369 2" xfId="28803" xr:uid="{00000000-0005-0000-0000-0000866F0000}"/>
    <cellStyle name="Normal 369 2 2" xfId="28804" xr:uid="{00000000-0005-0000-0000-0000876F0000}"/>
    <cellStyle name="Normal 369 2 2 2" xfId="28805" xr:uid="{00000000-0005-0000-0000-0000886F0000}"/>
    <cellStyle name="Normal 369 2 3" xfId="28806" xr:uid="{00000000-0005-0000-0000-0000896F0000}"/>
    <cellStyle name="Normal 369 2 3 2" xfId="28807" xr:uid="{00000000-0005-0000-0000-00008A6F0000}"/>
    <cellStyle name="Normal 369 2 3 2 2" xfId="28808" xr:uid="{00000000-0005-0000-0000-00008B6F0000}"/>
    <cellStyle name="Normal 369 2 3 3" xfId="28809" xr:uid="{00000000-0005-0000-0000-00008C6F0000}"/>
    <cellStyle name="Normal 369 2 4" xfId="28810" xr:uid="{00000000-0005-0000-0000-00008D6F0000}"/>
    <cellStyle name="Normal 369 2 4 2" xfId="28811" xr:uid="{00000000-0005-0000-0000-00008E6F0000}"/>
    <cellStyle name="Normal 369 2 4 2 2" xfId="28812" xr:uid="{00000000-0005-0000-0000-00008F6F0000}"/>
    <cellStyle name="Normal 369 2 4 3" xfId="28813" xr:uid="{00000000-0005-0000-0000-0000906F0000}"/>
    <cellStyle name="Normal 369 2 5" xfId="28814" xr:uid="{00000000-0005-0000-0000-0000916F0000}"/>
    <cellStyle name="Normal 369 3" xfId="28815" xr:uid="{00000000-0005-0000-0000-0000926F0000}"/>
    <cellStyle name="Normal 369 3 2" xfId="28816" xr:uid="{00000000-0005-0000-0000-0000936F0000}"/>
    <cellStyle name="Normal 369 3 2 2" xfId="28817" xr:uid="{00000000-0005-0000-0000-0000946F0000}"/>
    <cellStyle name="Normal 369 3 2 2 2" xfId="28818" xr:uid="{00000000-0005-0000-0000-0000956F0000}"/>
    <cellStyle name="Normal 369 3 2 3" xfId="28819" xr:uid="{00000000-0005-0000-0000-0000966F0000}"/>
    <cellStyle name="Normal 369 3 2 3 2" xfId="28820" xr:uid="{00000000-0005-0000-0000-0000976F0000}"/>
    <cellStyle name="Normal 369 3 2 3 2 2" xfId="28821" xr:uid="{00000000-0005-0000-0000-0000986F0000}"/>
    <cellStyle name="Normal 369 3 2 3 3" xfId="28822" xr:uid="{00000000-0005-0000-0000-0000996F0000}"/>
    <cellStyle name="Normal 369 3 2 4" xfId="28823" xr:uid="{00000000-0005-0000-0000-00009A6F0000}"/>
    <cellStyle name="Normal 369 3 3" xfId="28824" xr:uid="{00000000-0005-0000-0000-00009B6F0000}"/>
    <cellStyle name="Normal 369 3 3 2" xfId="28825" xr:uid="{00000000-0005-0000-0000-00009C6F0000}"/>
    <cellStyle name="Normal 369 3 3 2 2" xfId="28826" xr:uid="{00000000-0005-0000-0000-00009D6F0000}"/>
    <cellStyle name="Normal 369 3 3 3" xfId="28827" xr:uid="{00000000-0005-0000-0000-00009E6F0000}"/>
    <cellStyle name="Normal 369 3 4" xfId="28828" xr:uid="{00000000-0005-0000-0000-00009F6F0000}"/>
    <cellStyle name="Normal 369 3 4 2" xfId="28829" xr:uid="{00000000-0005-0000-0000-0000A06F0000}"/>
    <cellStyle name="Normal 369 3 4 2 2" xfId="28830" xr:uid="{00000000-0005-0000-0000-0000A16F0000}"/>
    <cellStyle name="Normal 369 3 4 3" xfId="28831" xr:uid="{00000000-0005-0000-0000-0000A26F0000}"/>
    <cellStyle name="Normal 369 3 5" xfId="28832" xr:uid="{00000000-0005-0000-0000-0000A36F0000}"/>
    <cellStyle name="Normal 369 3 5 2" xfId="28833" xr:uid="{00000000-0005-0000-0000-0000A46F0000}"/>
    <cellStyle name="Normal 369 3 5 2 2" xfId="28834" xr:uid="{00000000-0005-0000-0000-0000A56F0000}"/>
    <cellStyle name="Normal 369 3 5 3" xfId="28835" xr:uid="{00000000-0005-0000-0000-0000A66F0000}"/>
    <cellStyle name="Normal 369 3 6" xfId="28836" xr:uid="{00000000-0005-0000-0000-0000A76F0000}"/>
    <cellStyle name="Normal 369 4" xfId="28837" xr:uid="{00000000-0005-0000-0000-0000A86F0000}"/>
    <cellStyle name="Normal 369 4 2" xfId="28838" xr:uid="{00000000-0005-0000-0000-0000A96F0000}"/>
    <cellStyle name="Normal 369 4 2 2" xfId="28839" xr:uid="{00000000-0005-0000-0000-0000AA6F0000}"/>
    <cellStyle name="Normal 369 4 3" xfId="28840" xr:uid="{00000000-0005-0000-0000-0000AB6F0000}"/>
    <cellStyle name="Normal 369 5" xfId="28841" xr:uid="{00000000-0005-0000-0000-0000AC6F0000}"/>
    <cellStyle name="Normal 369 5 2" xfId="28842" xr:uid="{00000000-0005-0000-0000-0000AD6F0000}"/>
    <cellStyle name="Normal 369 5 2 2" xfId="28843" xr:uid="{00000000-0005-0000-0000-0000AE6F0000}"/>
    <cellStyle name="Normal 369 5 3" xfId="28844" xr:uid="{00000000-0005-0000-0000-0000AF6F0000}"/>
    <cellStyle name="Normal 369 6" xfId="28845" xr:uid="{00000000-0005-0000-0000-0000B06F0000}"/>
    <cellStyle name="Normal 369 6 2" xfId="28846" xr:uid="{00000000-0005-0000-0000-0000B16F0000}"/>
    <cellStyle name="Normal 369 6 2 2" xfId="28847" xr:uid="{00000000-0005-0000-0000-0000B26F0000}"/>
    <cellStyle name="Normal 369 6 3" xfId="28848" xr:uid="{00000000-0005-0000-0000-0000B36F0000}"/>
    <cellStyle name="Normal 369 7" xfId="28849" xr:uid="{00000000-0005-0000-0000-0000B46F0000}"/>
    <cellStyle name="Normal 37" xfId="28850" xr:uid="{00000000-0005-0000-0000-0000B56F0000}"/>
    <cellStyle name="Normal 37 2" xfId="28851" xr:uid="{00000000-0005-0000-0000-0000B66F0000}"/>
    <cellStyle name="Normal 37 2 2" xfId="28852" xr:uid="{00000000-0005-0000-0000-0000B76F0000}"/>
    <cellStyle name="Normal 37 2 2 2" xfId="28853" xr:uid="{00000000-0005-0000-0000-0000B86F0000}"/>
    <cellStyle name="Normal 37 2 2 2 2" xfId="28854" xr:uid="{00000000-0005-0000-0000-0000B96F0000}"/>
    <cellStyle name="Normal 37 2 2 3" xfId="28855" xr:uid="{00000000-0005-0000-0000-0000BA6F0000}"/>
    <cellStyle name="Normal 37 2 2 3 2" xfId="28856" xr:uid="{00000000-0005-0000-0000-0000BB6F0000}"/>
    <cellStyle name="Normal 37 2 2 3 2 2" xfId="28857" xr:uid="{00000000-0005-0000-0000-0000BC6F0000}"/>
    <cellStyle name="Normal 37 2 2 3 3" xfId="28858" xr:uid="{00000000-0005-0000-0000-0000BD6F0000}"/>
    <cellStyle name="Normal 37 2 2 4" xfId="28859" xr:uid="{00000000-0005-0000-0000-0000BE6F0000}"/>
    <cellStyle name="Normal 37 2 2 4 2" xfId="28860" xr:uid="{00000000-0005-0000-0000-0000BF6F0000}"/>
    <cellStyle name="Normal 37 2 2 4 2 2" xfId="28861" xr:uid="{00000000-0005-0000-0000-0000C06F0000}"/>
    <cellStyle name="Normal 37 2 2 4 3" xfId="28862" xr:uid="{00000000-0005-0000-0000-0000C16F0000}"/>
    <cellStyle name="Normal 37 2 2 5" xfId="28863" xr:uid="{00000000-0005-0000-0000-0000C26F0000}"/>
    <cellStyle name="Normal 37 2 3" xfId="28864" xr:uid="{00000000-0005-0000-0000-0000C36F0000}"/>
    <cellStyle name="Normal 37 2 3 2" xfId="28865" xr:uid="{00000000-0005-0000-0000-0000C46F0000}"/>
    <cellStyle name="Normal 37 2 3 2 2" xfId="28866" xr:uid="{00000000-0005-0000-0000-0000C56F0000}"/>
    <cellStyle name="Normal 37 2 3 3" xfId="28867" xr:uid="{00000000-0005-0000-0000-0000C66F0000}"/>
    <cellStyle name="Normal 37 2 4" xfId="28868" xr:uid="{00000000-0005-0000-0000-0000C76F0000}"/>
    <cellStyle name="Normal 37 2 4 2" xfId="28869" xr:uid="{00000000-0005-0000-0000-0000C86F0000}"/>
    <cellStyle name="Normal 37 2 4 2 2" xfId="28870" xr:uid="{00000000-0005-0000-0000-0000C96F0000}"/>
    <cellStyle name="Normal 37 2 4 3" xfId="28871" xr:uid="{00000000-0005-0000-0000-0000CA6F0000}"/>
    <cellStyle name="Normal 37 2 5" xfId="28872" xr:uid="{00000000-0005-0000-0000-0000CB6F0000}"/>
    <cellStyle name="Normal 37 2 5 2" xfId="28873" xr:uid="{00000000-0005-0000-0000-0000CC6F0000}"/>
    <cellStyle name="Normal 37 2 5 2 2" xfId="28874" xr:uid="{00000000-0005-0000-0000-0000CD6F0000}"/>
    <cellStyle name="Normal 37 2 5 3" xfId="28875" xr:uid="{00000000-0005-0000-0000-0000CE6F0000}"/>
    <cellStyle name="Normal 37 2 6" xfId="28876" xr:uid="{00000000-0005-0000-0000-0000CF6F0000}"/>
    <cellStyle name="Normal 37 3" xfId="28877" xr:uid="{00000000-0005-0000-0000-0000D06F0000}"/>
    <cellStyle name="Normal 37 3 2" xfId="28878" xr:uid="{00000000-0005-0000-0000-0000D16F0000}"/>
    <cellStyle name="Normal 37 3 2 2" xfId="28879" xr:uid="{00000000-0005-0000-0000-0000D26F0000}"/>
    <cellStyle name="Normal 37 3 3" xfId="28880" xr:uid="{00000000-0005-0000-0000-0000D36F0000}"/>
    <cellStyle name="Normal 37 3 3 2" xfId="28881" xr:uid="{00000000-0005-0000-0000-0000D46F0000}"/>
    <cellStyle name="Normal 37 3 3 2 2" xfId="28882" xr:uid="{00000000-0005-0000-0000-0000D56F0000}"/>
    <cellStyle name="Normal 37 3 3 3" xfId="28883" xr:uid="{00000000-0005-0000-0000-0000D66F0000}"/>
    <cellStyle name="Normal 37 3 4" xfId="28884" xr:uid="{00000000-0005-0000-0000-0000D76F0000}"/>
    <cellStyle name="Normal 37 3 4 2" xfId="28885" xr:uid="{00000000-0005-0000-0000-0000D86F0000}"/>
    <cellStyle name="Normal 37 3 4 2 2" xfId="28886" xr:uid="{00000000-0005-0000-0000-0000D96F0000}"/>
    <cellStyle name="Normal 37 3 4 3" xfId="28887" xr:uid="{00000000-0005-0000-0000-0000DA6F0000}"/>
    <cellStyle name="Normal 37 3 5" xfId="28888" xr:uid="{00000000-0005-0000-0000-0000DB6F0000}"/>
    <cellStyle name="Normal 37 4" xfId="28889" xr:uid="{00000000-0005-0000-0000-0000DC6F0000}"/>
    <cellStyle name="Normal 37 4 2" xfId="28890" xr:uid="{00000000-0005-0000-0000-0000DD6F0000}"/>
    <cellStyle name="Normal 37 4 2 2" xfId="28891" xr:uid="{00000000-0005-0000-0000-0000DE6F0000}"/>
    <cellStyle name="Normal 37 4 3" xfId="28892" xr:uid="{00000000-0005-0000-0000-0000DF6F0000}"/>
    <cellStyle name="Normal 37 5" xfId="28893" xr:uid="{00000000-0005-0000-0000-0000E06F0000}"/>
    <cellStyle name="Normal 37 5 2" xfId="28894" xr:uid="{00000000-0005-0000-0000-0000E16F0000}"/>
    <cellStyle name="Normal 37 5 2 2" xfId="28895" xr:uid="{00000000-0005-0000-0000-0000E26F0000}"/>
    <cellStyle name="Normal 37 5 3" xfId="28896" xr:uid="{00000000-0005-0000-0000-0000E36F0000}"/>
    <cellStyle name="Normal 37 6" xfId="28897" xr:uid="{00000000-0005-0000-0000-0000E46F0000}"/>
    <cellStyle name="Normal 37 6 2" xfId="28898" xr:uid="{00000000-0005-0000-0000-0000E56F0000}"/>
    <cellStyle name="Normal 37 6 2 2" xfId="28899" xr:uid="{00000000-0005-0000-0000-0000E66F0000}"/>
    <cellStyle name="Normal 37 6 3" xfId="28900" xr:uid="{00000000-0005-0000-0000-0000E76F0000}"/>
    <cellStyle name="Normal 37 7" xfId="28901" xr:uid="{00000000-0005-0000-0000-0000E86F0000}"/>
    <cellStyle name="Normal 370" xfId="28902" xr:uid="{00000000-0005-0000-0000-0000E96F0000}"/>
    <cellStyle name="Normal 370 2" xfId="28903" xr:uid="{00000000-0005-0000-0000-0000EA6F0000}"/>
    <cellStyle name="Normal 370 2 2" xfId="28904" xr:uid="{00000000-0005-0000-0000-0000EB6F0000}"/>
    <cellStyle name="Normal 370 2 2 2" xfId="28905" xr:uid="{00000000-0005-0000-0000-0000EC6F0000}"/>
    <cellStyle name="Normal 370 2 3" xfId="28906" xr:uid="{00000000-0005-0000-0000-0000ED6F0000}"/>
    <cellStyle name="Normal 370 2 3 2" xfId="28907" xr:uid="{00000000-0005-0000-0000-0000EE6F0000}"/>
    <cellStyle name="Normal 370 2 3 2 2" xfId="28908" xr:uid="{00000000-0005-0000-0000-0000EF6F0000}"/>
    <cellStyle name="Normal 370 2 3 3" xfId="28909" xr:uid="{00000000-0005-0000-0000-0000F06F0000}"/>
    <cellStyle name="Normal 370 2 4" xfId="28910" xr:uid="{00000000-0005-0000-0000-0000F16F0000}"/>
    <cellStyle name="Normal 370 2 4 2" xfId="28911" xr:uid="{00000000-0005-0000-0000-0000F26F0000}"/>
    <cellStyle name="Normal 370 2 4 2 2" xfId="28912" xr:uid="{00000000-0005-0000-0000-0000F36F0000}"/>
    <cellStyle name="Normal 370 2 4 3" xfId="28913" xr:uid="{00000000-0005-0000-0000-0000F46F0000}"/>
    <cellStyle name="Normal 370 2 5" xfId="28914" xr:uid="{00000000-0005-0000-0000-0000F56F0000}"/>
    <cellStyle name="Normal 370 3" xfId="28915" xr:uid="{00000000-0005-0000-0000-0000F66F0000}"/>
    <cellStyle name="Normal 370 3 2" xfId="28916" xr:uid="{00000000-0005-0000-0000-0000F76F0000}"/>
    <cellStyle name="Normal 370 3 2 2" xfId="28917" xr:uid="{00000000-0005-0000-0000-0000F86F0000}"/>
    <cellStyle name="Normal 370 3 2 2 2" xfId="28918" xr:uid="{00000000-0005-0000-0000-0000F96F0000}"/>
    <cellStyle name="Normal 370 3 2 3" xfId="28919" xr:uid="{00000000-0005-0000-0000-0000FA6F0000}"/>
    <cellStyle name="Normal 370 3 2 3 2" xfId="28920" xr:uid="{00000000-0005-0000-0000-0000FB6F0000}"/>
    <cellStyle name="Normal 370 3 2 3 2 2" xfId="28921" xr:uid="{00000000-0005-0000-0000-0000FC6F0000}"/>
    <cellStyle name="Normal 370 3 2 3 3" xfId="28922" xr:uid="{00000000-0005-0000-0000-0000FD6F0000}"/>
    <cellStyle name="Normal 370 3 2 4" xfId="28923" xr:uid="{00000000-0005-0000-0000-0000FE6F0000}"/>
    <cellStyle name="Normal 370 3 3" xfId="28924" xr:uid="{00000000-0005-0000-0000-0000FF6F0000}"/>
    <cellStyle name="Normal 370 3 3 2" xfId="28925" xr:uid="{00000000-0005-0000-0000-000000700000}"/>
    <cellStyle name="Normal 370 3 3 2 2" xfId="28926" xr:uid="{00000000-0005-0000-0000-000001700000}"/>
    <cellStyle name="Normal 370 3 3 3" xfId="28927" xr:uid="{00000000-0005-0000-0000-000002700000}"/>
    <cellStyle name="Normal 370 3 4" xfId="28928" xr:uid="{00000000-0005-0000-0000-000003700000}"/>
    <cellStyle name="Normal 370 3 4 2" xfId="28929" xr:uid="{00000000-0005-0000-0000-000004700000}"/>
    <cellStyle name="Normal 370 3 4 2 2" xfId="28930" xr:uid="{00000000-0005-0000-0000-000005700000}"/>
    <cellStyle name="Normal 370 3 4 3" xfId="28931" xr:uid="{00000000-0005-0000-0000-000006700000}"/>
    <cellStyle name="Normal 370 3 5" xfId="28932" xr:uid="{00000000-0005-0000-0000-000007700000}"/>
    <cellStyle name="Normal 370 3 5 2" xfId="28933" xr:uid="{00000000-0005-0000-0000-000008700000}"/>
    <cellStyle name="Normal 370 3 5 2 2" xfId="28934" xr:uid="{00000000-0005-0000-0000-000009700000}"/>
    <cellStyle name="Normal 370 3 5 3" xfId="28935" xr:uid="{00000000-0005-0000-0000-00000A700000}"/>
    <cellStyle name="Normal 370 3 6" xfId="28936" xr:uid="{00000000-0005-0000-0000-00000B700000}"/>
    <cellStyle name="Normal 370 4" xfId="28937" xr:uid="{00000000-0005-0000-0000-00000C700000}"/>
    <cellStyle name="Normal 370 4 2" xfId="28938" xr:uid="{00000000-0005-0000-0000-00000D700000}"/>
    <cellStyle name="Normal 370 4 2 2" xfId="28939" xr:uid="{00000000-0005-0000-0000-00000E700000}"/>
    <cellStyle name="Normal 370 4 3" xfId="28940" xr:uid="{00000000-0005-0000-0000-00000F700000}"/>
    <cellStyle name="Normal 370 5" xfId="28941" xr:uid="{00000000-0005-0000-0000-000010700000}"/>
    <cellStyle name="Normal 370 5 2" xfId="28942" xr:uid="{00000000-0005-0000-0000-000011700000}"/>
    <cellStyle name="Normal 370 5 2 2" xfId="28943" xr:uid="{00000000-0005-0000-0000-000012700000}"/>
    <cellStyle name="Normal 370 5 3" xfId="28944" xr:uid="{00000000-0005-0000-0000-000013700000}"/>
    <cellStyle name="Normal 370 6" xfId="28945" xr:uid="{00000000-0005-0000-0000-000014700000}"/>
    <cellStyle name="Normal 370 6 2" xfId="28946" xr:uid="{00000000-0005-0000-0000-000015700000}"/>
    <cellStyle name="Normal 370 6 2 2" xfId="28947" xr:uid="{00000000-0005-0000-0000-000016700000}"/>
    <cellStyle name="Normal 370 6 3" xfId="28948" xr:uid="{00000000-0005-0000-0000-000017700000}"/>
    <cellStyle name="Normal 370 7" xfId="28949" xr:uid="{00000000-0005-0000-0000-000018700000}"/>
    <cellStyle name="Normal 371" xfId="28950" xr:uid="{00000000-0005-0000-0000-000019700000}"/>
    <cellStyle name="Normal 371 2" xfId="28951" xr:uid="{00000000-0005-0000-0000-00001A700000}"/>
    <cellStyle name="Normal 371 2 2" xfId="28952" xr:uid="{00000000-0005-0000-0000-00001B700000}"/>
    <cellStyle name="Normal 371 2 2 2" xfId="28953" xr:uid="{00000000-0005-0000-0000-00001C700000}"/>
    <cellStyle name="Normal 371 2 3" xfId="28954" xr:uid="{00000000-0005-0000-0000-00001D700000}"/>
    <cellStyle name="Normal 371 2 3 2" xfId="28955" xr:uid="{00000000-0005-0000-0000-00001E700000}"/>
    <cellStyle name="Normal 371 2 3 2 2" xfId="28956" xr:uid="{00000000-0005-0000-0000-00001F700000}"/>
    <cellStyle name="Normal 371 2 3 3" xfId="28957" xr:uid="{00000000-0005-0000-0000-000020700000}"/>
    <cellStyle name="Normal 371 2 4" xfId="28958" xr:uid="{00000000-0005-0000-0000-000021700000}"/>
    <cellStyle name="Normal 371 2 4 2" xfId="28959" xr:uid="{00000000-0005-0000-0000-000022700000}"/>
    <cellStyle name="Normal 371 2 4 2 2" xfId="28960" xr:uid="{00000000-0005-0000-0000-000023700000}"/>
    <cellStyle name="Normal 371 2 4 3" xfId="28961" xr:uid="{00000000-0005-0000-0000-000024700000}"/>
    <cellStyle name="Normal 371 2 5" xfId="28962" xr:uid="{00000000-0005-0000-0000-000025700000}"/>
    <cellStyle name="Normal 371 3" xfId="28963" xr:uid="{00000000-0005-0000-0000-000026700000}"/>
    <cellStyle name="Normal 371 3 2" xfId="28964" xr:uid="{00000000-0005-0000-0000-000027700000}"/>
    <cellStyle name="Normal 371 3 2 2" xfId="28965" xr:uid="{00000000-0005-0000-0000-000028700000}"/>
    <cellStyle name="Normal 371 3 2 2 2" xfId="28966" xr:uid="{00000000-0005-0000-0000-000029700000}"/>
    <cellStyle name="Normal 371 3 2 3" xfId="28967" xr:uid="{00000000-0005-0000-0000-00002A700000}"/>
    <cellStyle name="Normal 371 3 2 3 2" xfId="28968" xr:uid="{00000000-0005-0000-0000-00002B700000}"/>
    <cellStyle name="Normal 371 3 2 3 2 2" xfId="28969" xr:uid="{00000000-0005-0000-0000-00002C700000}"/>
    <cellStyle name="Normal 371 3 2 3 3" xfId="28970" xr:uid="{00000000-0005-0000-0000-00002D700000}"/>
    <cellStyle name="Normal 371 3 2 4" xfId="28971" xr:uid="{00000000-0005-0000-0000-00002E700000}"/>
    <cellStyle name="Normal 371 3 3" xfId="28972" xr:uid="{00000000-0005-0000-0000-00002F700000}"/>
    <cellStyle name="Normal 371 3 3 2" xfId="28973" xr:uid="{00000000-0005-0000-0000-000030700000}"/>
    <cellStyle name="Normal 371 3 3 2 2" xfId="28974" xr:uid="{00000000-0005-0000-0000-000031700000}"/>
    <cellStyle name="Normal 371 3 3 3" xfId="28975" xr:uid="{00000000-0005-0000-0000-000032700000}"/>
    <cellStyle name="Normal 371 3 4" xfId="28976" xr:uid="{00000000-0005-0000-0000-000033700000}"/>
    <cellStyle name="Normal 371 3 4 2" xfId="28977" xr:uid="{00000000-0005-0000-0000-000034700000}"/>
    <cellStyle name="Normal 371 3 4 2 2" xfId="28978" xr:uid="{00000000-0005-0000-0000-000035700000}"/>
    <cellStyle name="Normal 371 3 4 3" xfId="28979" xr:uid="{00000000-0005-0000-0000-000036700000}"/>
    <cellStyle name="Normal 371 3 5" xfId="28980" xr:uid="{00000000-0005-0000-0000-000037700000}"/>
    <cellStyle name="Normal 371 3 5 2" xfId="28981" xr:uid="{00000000-0005-0000-0000-000038700000}"/>
    <cellStyle name="Normal 371 3 5 2 2" xfId="28982" xr:uid="{00000000-0005-0000-0000-000039700000}"/>
    <cellStyle name="Normal 371 3 5 3" xfId="28983" xr:uid="{00000000-0005-0000-0000-00003A700000}"/>
    <cellStyle name="Normal 371 3 6" xfId="28984" xr:uid="{00000000-0005-0000-0000-00003B700000}"/>
    <cellStyle name="Normal 371 4" xfId="28985" xr:uid="{00000000-0005-0000-0000-00003C700000}"/>
    <cellStyle name="Normal 371 4 2" xfId="28986" xr:uid="{00000000-0005-0000-0000-00003D700000}"/>
    <cellStyle name="Normal 371 4 2 2" xfId="28987" xr:uid="{00000000-0005-0000-0000-00003E700000}"/>
    <cellStyle name="Normal 371 4 3" xfId="28988" xr:uid="{00000000-0005-0000-0000-00003F700000}"/>
    <cellStyle name="Normal 371 5" xfId="28989" xr:uid="{00000000-0005-0000-0000-000040700000}"/>
    <cellStyle name="Normal 371 5 2" xfId="28990" xr:uid="{00000000-0005-0000-0000-000041700000}"/>
    <cellStyle name="Normal 371 5 2 2" xfId="28991" xr:uid="{00000000-0005-0000-0000-000042700000}"/>
    <cellStyle name="Normal 371 5 3" xfId="28992" xr:uid="{00000000-0005-0000-0000-000043700000}"/>
    <cellStyle name="Normal 371 6" xfId="28993" xr:uid="{00000000-0005-0000-0000-000044700000}"/>
    <cellStyle name="Normal 371 6 2" xfId="28994" xr:uid="{00000000-0005-0000-0000-000045700000}"/>
    <cellStyle name="Normal 371 6 2 2" xfId="28995" xr:uid="{00000000-0005-0000-0000-000046700000}"/>
    <cellStyle name="Normal 371 6 3" xfId="28996" xr:uid="{00000000-0005-0000-0000-000047700000}"/>
    <cellStyle name="Normal 371 7" xfId="28997" xr:uid="{00000000-0005-0000-0000-000048700000}"/>
    <cellStyle name="Normal 372" xfId="28998" xr:uid="{00000000-0005-0000-0000-000049700000}"/>
    <cellStyle name="Normal 372 2" xfId="28999" xr:uid="{00000000-0005-0000-0000-00004A700000}"/>
    <cellStyle name="Normal 372 2 2" xfId="29000" xr:uid="{00000000-0005-0000-0000-00004B700000}"/>
    <cellStyle name="Normal 372 2 2 2" xfId="29001" xr:uid="{00000000-0005-0000-0000-00004C700000}"/>
    <cellStyle name="Normal 372 2 3" xfId="29002" xr:uid="{00000000-0005-0000-0000-00004D700000}"/>
    <cellStyle name="Normal 372 2 3 2" xfId="29003" xr:uid="{00000000-0005-0000-0000-00004E700000}"/>
    <cellStyle name="Normal 372 2 3 2 2" xfId="29004" xr:uid="{00000000-0005-0000-0000-00004F700000}"/>
    <cellStyle name="Normal 372 2 3 3" xfId="29005" xr:uid="{00000000-0005-0000-0000-000050700000}"/>
    <cellStyle name="Normal 372 2 4" xfId="29006" xr:uid="{00000000-0005-0000-0000-000051700000}"/>
    <cellStyle name="Normal 372 2 4 2" xfId="29007" xr:uid="{00000000-0005-0000-0000-000052700000}"/>
    <cellStyle name="Normal 372 2 4 2 2" xfId="29008" xr:uid="{00000000-0005-0000-0000-000053700000}"/>
    <cellStyle name="Normal 372 2 4 3" xfId="29009" xr:uid="{00000000-0005-0000-0000-000054700000}"/>
    <cellStyle name="Normal 372 2 5" xfId="29010" xr:uid="{00000000-0005-0000-0000-000055700000}"/>
    <cellStyle name="Normal 372 3" xfId="29011" xr:uid="{00000000-0005-0000-0000-000056700000}"/>
    <cellStyle name="Normal 372 3 2" xfId="29012" xr:uid="{00000000-0005-0000-0000-000057700000}"/>
    <cellStyle name="Normal 372 3 2 2" xfId="29013" xr:uid="{00000000-0005-0000-0000-000058700000}"/>
    <cellStyle name="Normal 372 3 2 2 2" xfId="29014" xr:uid="{00000000-0005-0000-0000-000059700000}"/>
    <cellStyle name="Normal 372 3 2 3" xfId="29015" xr:uid="{00000000-0005-0000-0000-00005A700000}"/>
    <cellStyle name="Normal 372 3 2 3 2" xfId="29016" xr:uid="{00000000-0005-0000-0000-00005B700000}"/>
    <cellStyle name="Normal 372 3 2 3 2 2" xfId="29017" xr:uid="{00000000-0005-0000-0000-00005C700000}"/>
    <cellStyle name="Normal 372 3 2 3 3" xfId="29018" xr:uid="{00000000-0005-0000-0000-00005D700000}"/>
    <cellStyle name="Normal 372 3 2 4" xfId="29019" xr:uid="{00000000-0005-0000-0000-00005E700000}"/>
    <cellStyle name="Normal 372 3 3" xfId="29020" xr:uid="{00000000-0005-0000-0000-00005F700000}"/>
    <cellStyle name="Normal 372 3 3 2" xfId="29021" xr:uid="{00000000-0005-0000-0000-000060700000}"/>
    <cellStyle name="Normal 372 3 3 2 2" xfId="29022" xr:uid="{00000000-0005-0000-0000-000061700000}"/>
    <cellStyle name="Normal 372 3 3 3" xfId="29023" xr:uid="{00000000-0005-0000-0000-000062700000}"/>
    <cellStyle name="Normal 372 3 4" xfId="29024" xr:uid="{00000000-0005-0000-0000-000063700000}"/>
    <cellStyle name="Normal 372 3 4 2" xfId="29025" xr:uid="{00000000-0005-0000-0000-000064700000}"/>
    <cellStyle name="Normal 372 3 4 2 2" xfId="29026" xr:uid="{00000000-0005-0000-0000-000065700000}"/>
    <cellStyle name="Normal 372 3 4 3" xfId="29027" xr:uid="{00000000-0005-0000-0000-000066700000}"/>
    <cellStyle name="Normal 372 3 5" xfId="29028" xr:uid="{00000000-0005-0000-0000-000067700000}"/>
    <cellStyle name="Normal 372 3 5 2" xfId="29029" xr:uid="{00000000-0005-0000-0000-000068700000}"/>
    <cellStyle name="Normal 372 3 5 2 2" xfId="29030" xr:uid="{00000000-0005-0000-0000-000069700000}"/>
    <cellStyle name="Normal 372 3 5 3" xfId="29031" xr:uid="{00000000-0005-0000-0000-00006A700000}"/>
    <cellStyle name="Normal 372 3 6" xfId="29032" xr:uid="{00000000-0005-0000-0000-00006B700000}"/>
    <cellStyle name="Normal 372 4" xfId="29033" xr:uid="{00000000-0005-0000-0000-00006C700000}"/>
    <cellStyle name="Normal 372 4 2" xfId="29034" xr:uid="{00000000-0005-0000-0000-00006D700000}"/>
    <cellStyle name="Normal 372 4 2 2" xfId="29035" xr:uid="{00000000-0005-0000-0000-00006E700000}"/>
    <cellStyle name="Normal 372 4 3" xfId="29036" xr:uid="{00000000-0005-0000-0000-00006F700000}"/>
    <cellStyle name="Normal 372 5" xfId="29037" xr:uid="{00000000-0005-0000-0000-000070700000}"/>
    <cellStyle name="Normal 372 5 2" xfId="29038" xr:uid="{00000000-0005-0000-0000-000071700000}"/>
    <cellStyle name="Normal 372 5 2 2" xfId="29039" xr:uid="{00000000-0005-0000-0000-000072700000}"/>
    <cellStyle name="Normal 372 5 3" xfId="29040" xr:uid="{00000000-0005-0000-0000-000073700000}"/>
    <cellStyle name="Normal 372 6" xfId="29041" xr:uid="{00000000-0005-0000-0000-000074700000}"/>
    <cellStyle name="Normal 372 6 2" xfId="29042" xr:uid="{00000000-0005-0000-0000-000075700000}"/>
    <cellStyle name="Normal 372 6 2 2" xfId="29043" xr:uid="{00000000-0005-0000-0000-000076700000}"/>
    <cellStyle name="Normal 372 6 3" xfId="29044" xr:uid="{00000000-0005-0000-0000-000077700000}"/>
    <cellStyle name="Normal 372 7" xfId="29045" xr:uid="{00000000-0005-0000-0000-000078700000}"/>
    <cellStyle name="Normal 373" xfId="29046" xr:uid="{00000000-0005-0000-0000-000079700000}"/>
    <cellStyle name="Normal 373 2" xfId="29047" xr:uid="{00000000-0005-0000-0000-00007A700000}"/>
    <cellStyle name="Normal 373 2 2" xfId="29048" xr:uid="{00000000-0005-0000-0000-00007B700000}"/>
    <cellStyle name="Normal 373 2 2 2" xfId="29049" xr:uid="{00000000-0005-0000-0000-00007C700000}"/>
    <cellStyle name="Normal 373 2 3" xfId="29050" xr:uid="{00000000-0005-0000-0000-00007D700000}"/>
    <cellStyle name="Normal 373 2 3 2" xfId="29051" xr:uid="{00000000-0005-0000-0000-00007E700000}"/>
    <cellStyle name="Normal 373 2 3 2 2" xfId="29052" xr:uid="{00000000-0005-0000-0000-00007F700000}"/>
    <cellStyle name="Normal 373 2 3 3" xfId="29053" xr:uid="{00000000-0005-0000-0000-000080700000}"/>
    <cellStyle name="Normal 373 2 4" xfId="29054" xr:uid="{00000000-0005-0000-0000-000081700000}"/>
    <cellStyle name="Normal 373 2 4 2" xfId="29055" xr:uid="{00000000-0005-0000-0000-000082700000}"/>
    <cellStyle name="Normal 373 2 4 2 2" xfId="29056" xr:uid="{00000000-0005-0000-0000-000083700000}"/>
    <cellStyle name="Normal 373 2 4 3" xfId="29057" xr:uid="{00000000-0005-0000-0000-000084700000}"/>
    <cellStyle name="Normal 373 2 5" xfId="29058" xr:uid="{00000000-0005-0000-0000-000085700000}"/>
    <cellStyle name="Normal 373 3" xfId="29059" xr:uid="{00000000-0005-0000-0000-000086700000}"/>
    <cellStyle name="Normal 373 3 2" xfId="29060" xr:uid="{00000000-0005-0000-0000-000087700000}"/>
    <cellStyle name="Normal 373 3 2 2" xfId="29061" xr:uid="{00000000-0005-0000-0000-000088700000}"/>
    <cellStyle name="Normal 373 3 2 2 2" xfId="29062" xr:uid="{00000000-0005-0000-0000-000089700000}"/>
    <cellStyle name="Normal 373 3 2 3" xfId="29063" xr:uid="{00000000-0005-0000-0000-00008A700000}"/>
    <cellStyle name="Normal 373 3 2 3 2" xfId="29064" xr:uid="{00000000-0005-0000-0000-00008B700000}"/>
    <cellStyle name="Normal 373 3 2 3 2 2" xfId="29065" xr:uid="{00000000-0005-0000-0000-00008C700000}"/>
    <cellStyle name="Normal 373 3 2 3 3" xfId="29066" xr:uid="{00000000-0005-0000-0000-00008D700000}"/>
    <cellStyle name="Normal 373 3 2 4" xfId="29067" xr:uid="{00000000-0005-0000-0000-00008E700000}"/>
    <cellStyle name="Normal 373 3 3" xfId="29068" xr:uid="{00000000-0005-0000-0000-00008F700000}"/>
    <cellStyle name="Normal 373 3 3 2" xfId="29069" xr:uid="{00000000-0005-0000-0000-000090700000}"/>
    <cellStyle name="Normal 373 3 3 2 2" xfId="29070" xr:uid="{00000000-0005-0000-0000-000091700000}"/>
    <cellStyle name="Normal 373 3 3 3" xfId="29071" xr:uid="{00000000-0005-0000-0000-000092700000}"/>
    <cellStyle name="Normal 373 3 4" xfId="29072" xr:uid="{00000000-0005-0000-0000-000093700000}"/>
    <cellStyle name="Normal 373 3 4 2" xfId="29073" xr:uid="{00000000-0005-0000-0000-000094700000}"/>
    <cellStyle name="Normal 373 3 4 2 2" xfId="29074" xr:uid="{00000000-0005-0000-0000-000095700000}"/>
    <cellStyle name="Normal 373 3 4 3" xfId="29075" xr:uid="{00000000-0005-0000-0000-000096700000}"/>
    <cellStyle name="Normal 373 3 5" xfId="29076" xr:uid="{00000000-0005-0000-0000-000097700000}"/>
    <cellStyle name="Normal 373 3 5 2" xfId="29077" xr:uid="{00000000-0005-0000-0000-000098700000}"/>
    <cellStyle name="Normal 373 3 5 2 2" xfId="29078" xr:uid="{00000000-0005-0000-0000-000099700000}"/>
    <cellStyle name="Normal 373 3 5 3" xfId="29079" xr:uid="{00000000-0005-0000-0000-00009A700000}"/>
    <cellStyle name="Normal 373 3 6" xfId="29080" xr:uid="{00000000-0005-0000-0000-00009B700000}"/>
    <cellStyle name="Normal 373 4" xfId="29081" xr:uid="{00000000-0005-0000-0000-00009C700000}"/>
    <cellStyle name="Normal 373 4 2" xfId="29082" xr:uid="{00000000-0005-0000-0000-00009D700000}"/>
    <cellStyle name="Normal 373 4 2 2" xfId="29083" xr:uid="{00000000-0005-0000-0000-00009E700000}"/>
    <cellStyle name="Normal 373 4 3" xfId="29084" xr:uid="{00000000-0005-0000-0000-00009F700000}"/>
    <cellStyle name="Normal 373 5" xfId="29085" xr:uid="{00000000-0005-0000-0000-0000A0700000}"/>
    <cellStyle name="Normal 373 5 2" xfId="29086" xr:uid="{00000000-0005-0000-0000-0000A1700000}"/>
    <cellStyle name="Normal 373 5 2 2" xfId="29087" xr:uid="{00000000-0005-0000-0000-0000A2700000}"/>
    <cellStyle name="Normal 373 5 3" xfId="29088" xr:uid="{00000000-0005-0000-0000-0000A3700000}"/>
    <cellStyle name="Normal 373 6" xfId="29089" xr:uid="{00000000-0005-0000-0000-0000A4700000}"/>
    <cellStyle name="Normal 373 6 2" xfId="29090" xr:uid="{00000000-0005-0000-0000-0000A5700000}"/>
    <cellStyle name="Normal 373 6 2 2" xfId="29091" xr:uid="{00000000-0005-0000-0000-0000A6700000}"/>
    <cellStyle name="Normal 373 6 3" xfId="29092" xr:uid="{00000000-0005-0000-0000-0000A7700000}"/>
    <cellStyle name="Normal 373 7" xfId="29093" xr:uid="{00000000-0005-0000-0000-0000A8700000}"/>
    <cellStyle name="Normal 374" xfId="29094" xr:uid="{00000000-0005-0000-0000-0000A9700000}"/>
    <cellStyle name="Normal 374 2" xfId="29095" xr:uid="{00000000-0005-0000-0000-0000AA700000}"/>
    <cellStyle name="Normal 374 2 2" xfId="29096" xr:uid="{00000000-0005-0000-0000-0000AB700000}"/>
    <cellStyle name="Normal 374 2 2 2" xfId="29097" xr:uid="{00000000-0005-0000-0000-0000AC700000}"/>
    <cellStyle name="Normal 374 2 3" xfId="29098" xr:uid="{00000000-0005-0000-0000-0000AD700000}"/>
    <cellStyle name="Normal 374 2 3 2" xfId="29099" xr:uid="{00000000-0005-0000-0000-0000AE700000}"/>
    <cellStyle name="Normal 374 2 3 2 2" xfId="29100" xr:uid="{00000000-0005-0000-0000-0000AF700000}"/>
    <cellStyle name="Normal 374 2 3 3" xfId="29101" xr:uid="{00000000-0005-0000-0000-0000B0700000}"/>
    <cellStyle name="Normal 374 2 4" xfId="29102" xr:uid="{00000000-0005-0000-0000-0000B1700000}"/>
    <cellStyle name="Normal 374 2 4 2" xfId="29103" xr:uid="{00000000-0005-0000-0000-0000B2700000}"/>
    <cellStyle name="Normal 374 2 4 2 2" xfId="29104" xr:uid="{00000000-0005-0000-0000-0000B3700000}"/>
    <cellStyle name="Normal 374 2 4 3" xfId="29105" xr:uid="{00000000-0005-0000-0000-0000B4700000}"/>
    <cellStyle name="Normal 374 2 5" xfId="29106" xr:uid="{00000000-0005-0000-0000-0000B5700000}"/>
    <cellStyle name="Normal 374 3" xfId="29107" xr:uid="{00000000-0005-0000-0000-0000B6700000}"/>
    <cellStyle name="Normal 374 3 2" xfId="29108" xr:uid="{00000000-0005-0000-0000-0000B7700000}"/>
    <cellStyle name="Normal 374 3 2 2" xfId="29109" xr:uid="{00000000-0005-0000-0000-0000B8700000}"/>
    <cellStyle name="Normal 374 3 2 2 2" xfId="29110" xr:uid="{00000000-0005-0000-0000-0000B9700000}"/>
    <cellStyle name="Normal 374 3 2 3" xfId="29111" xr:uid="{00000000-0005-0000-0000-0000BA700000}"/>
    <cellStyle name="Normal 374 3 2 3 2" xfId="29112" xr:uid="{00000000-0005-0000-0000-0000BB700000}"/>
    <cellStyle name="Normal 374 3 2 3 2 2" xfId="29113" xr:uid="{00000000-0005-0000-0000-0000BC700000}"/>
    <cellStyle name="Normal 374 3 2 3 3" xfId="29114" xr:uid="{00000000-0005-0000-0000-0000BD700000}"/>
    <cellStyle name="Normal 374 3 2 4" xfId="29115" xr:uid="{00000000-0005-0000-0000-0000BE700000}"/>
    <cellStyle name="Normal 374 3 3" xfId="29116" xr:uid="{00000000-0005-0000-0000-0000BF700000}"/>
    <cellStyle name="Normal 374 3 3 2" xfId="29117" xr:uid="{00000000-0005-0000-0000-0000C0700000}"/>
    <cellStyle name="Normal 374 3 3 2 2" xfId="29118" xr:uid="{00000000-0005-0000-0000-0000C1700000}"/>
    <cellStyle name="Normal 374 3 3 3" xfId="29119" xr:uid="{00000000-0005-0000-0000-0000C2700000}"/>
    <cellStyle name="Normal 374 3 4" xfId="29120" xr:uid="{00000000-0005-0000-0000-0000C3700000}"/>
    <cellStyle name="Normal 374 3 4 2" xfId="29121" xr:uid="{00000000-0005-0000-0000-0000C4700000}"/>
    <cellStyle name="Normal 374 3 4 2 2" xfId="29122" xr:uid="{00000000-0005-0000-0000-0000C5700000}"/>
    <cellStyle name="Normal 374 3 4 3" xfId="29123" xr:uid="{00000000-0005-0000-0000-0000C6700000}"/>
    <cellStyle name="Normal 374 3 5" xfId="29124" xr:uid="{00000000-0005-0000-0000-0000C7700000}"/>
    <cellStyle name="Normal 374 3 5 2" xfId="29125" xr:uid="{00000000-0005-0000-0000-0000C8700000}"/>
    <cellStyle name="Normal 374 3 5 2 2" xfId="29126" xr:uid="{00000000-0005-0000-0000-0000C9700000}"/>
    <cellStyle name="Normal 374 3 5 3" xfId="29127" xr:uid="{00000000-0005-0000-0000-0000CA700000}"/>
    <cellStyle name="Normal 374 3 6" xfId="29128" xr:uid="{00000000-0005-0000-0000-0000CB700000}"/>
    <cellStyle name="Normal 374 4" xfId="29129" xr:uid="{00000000-0005-0000-0000-0000CC700000}"/>
    <cellStyle name="Normal 374 4 2" xfId="29130" xr:uid="{00000000-0005-0000-0000-0000CD700000}"/>
    <cellStyle name="Normal 374 4 2 2" xfId="29131" xr:uid="{00000000-0005-0000-0000-0000CE700000}"/>
    <cellStyle name="Normal 374 4 3" xfId="29132" xr:uid="{00000000-0005-0000-0000-0000CF700000}"/>
    <cellStyle name="Normal 374 5" xfId="29133" xr:uid="{00000000-0005-0000-0000-0000D0700000}"/>
    <cellStyle name="Normal 374 5 2" xfId="29134" xr:uid="{00000000-0005-0000-0000-0000D1700000}"/>
    <cellStyle name="Normal 374 5 2 2" xfId="29135" xr:uid="{00000000-0005-0000-0000-0000D2700000}"/>
    <cellStyle name="Normal 374 5 3" xfId="29136" xr:uid="{00000000-0005-0000-0000-0000D3700000}"/>
    <cellStyle name="Normal 374 6" xfId="29137" xr:uid="{00000000-0005-0000-0000-0000D4700000}"/>
    <cellStyle name="Normal 374 6 2" xfId="29138" xr:uid="{00000000-0005-0000-0000-0000D5700000}"/>
    <cellStyle name="Normal 374 6 2 2" xfId="29139" xr:uid="{00000000-0005-0000-0000-0000D6700000}"/>
    <cellStyle name="Normal 374 6 3" xfId="29140" xr:uid="{00000000-0005-0000-0000-0000D7700000}"/>
    <cellStyle name="Normal 374 7" xfId="29141" xr:uid="{00000000-0005-0000-0000-0000D8700000}"/>
    <cellStyle name="Normal 375" xfId="29142" xr:uid="{00000000-0005-0000-0000-0000D9700000}"/>
    <cellStyle name="Normal 375 2" xfId="29143" xr:uid="{00000000-0005-0000-0000-0000DA700000}"/>
    <cellStyle name="Normal 375 2 2" xfId="29144" xr:uid="{00000000-0005-0000-0000-0000DB700000}"/>
    <cellStyle name="Normal 375 2 2 2" xfId="29145" xr:uid="{00000000-0005-0000-0000-0000DC700000}"/>
    <cellStyle name="Normal 375 2 3" xfId="29146" xr:uid="{00000000-0005-0000-0000-0000DD700000}"/>
    <cellStyle name="Normal 375 2 3 2" xfId="29147" xr:uid="{00000000-0005-0000-0000-0000DE700000}"/>
    <cellStyle name="Normal 375 2 3 2 2" xfId="29148" xr:uid="{00000000-0005-0000-0000-0000DF700000}"/>
    <cellStyle name="Normal 375 2 3 3" xfId="29149" xr:uid="{00000000-0005-0000-0000-0000E0700000}"/>
    <cellStyle name="Normal 375 2 4" xfId="29150" xr:uid="{00000000-0005-0000-0000-0000E1700000}"/>
    <cellStyle name="Normal 375 2 4 2" xfId="29151" xr:uid="{00000000-0005-0000-0000-0000E2700000}"/>
    <cellStyle name="Normal 375 2 4 2 2" xfId="29152" xr:uid="{00000000-0005-0000-0000-0000E3700000}"/>
    <cellStyle name="Normal 375 2 4 3" xfId="29153" xr:uid="{00000000-0005-0000-0000-0000E4700000}"/>
    <cellStyle name="Normal 375 2 5" xfId="29154" xr:uid="{00000000-0005-0000-0000-0000E5700000}"/>
    <cellStyle name="Normal 375 3" xfId="29155" xr:uid="{00000000-0005-0000-0000-0000E6700000}"/>
    <cellStyle name="Normal 375 3 2" xfId="29156" xr:uid="{00000000-0005-0000-0000-0000E7700000}"/>
    <cellStyle name="Normal 375 3 2 2" xfId="29157" xr:uid="{00000000-0005-0000-0000-0000E8700000}"/>
    <cellStyle name="Normal 375 3 2 2 2" xfId="29158" xr:uid="{00000000-0005-0000-0000-0000E9700000}"/>
    <cellStyle name="Normal 375 3 2 3" xfId="29159" xr:uid="{00000000-0005-0000-0000-0000EA700000}"/>
    <cellStyle name="Normal 375 3 2 3 2" xfId="29160" xr:uid="{00000000-0005-0000-0000-0000EB700000}"/>
    <cellStyle name="Normal 375 3 2 3 2 2" xfId="29161" xr:uid="{00000000-0005-0000-0000-0000EC700000}"/>
    <cellStyle name="Normal 375 3 2 3 3" xfId="29162" xr:uid="{00000000-0005-0000-0000-0000ED700000}"/>
    <cellStyle name="Normal 375 3 2 4" xfId="29163" xr:uid="{00000000-0005-0000-0000-0000EE700000}"/>
    <cellStyle name="Normal 375 3 3" xfId="29164" xr:uid="{00000000-0005-0000-0000-0000EF700000}"/>
    <cellStyle name="Normal 375 3 3 2" xfId="29165" xr:uid="{00000000-0005-0000-0000-0000F0700000}"/>
    <cellStyle name="Normal 375 3 3 2 2" xfId="29166" xr:uid="{00000000-0005-0000-0000-0000F1700000}"/>
    <cellStyle name="Normal 375 3 3 3" xfId="29167" xr:uid="{00000000-0005-0000-0000-0000F2700000}"/>
    <cellStyle name="Normal 375 3 4" xfId="29168" xr:uid="{00000000-0005-0000-0000-0000F3700000}"/>
    <cellStyle name="Normal 375 3 4 2" xfId="29169" xr:uid="{00000000-0005-0000-0000-0000F4700000}"/>
    <cellStyle name="Normal 375 3 4 2 2" xfId="29170" xr:uid="{00000000-0005-0000-0000-0000F5700000}"/>
    <cellStyle name="Normal 375 3 4 3" xfId="29171" xr:uid="{00000000-0005-0000-0000-0000F6700000}"/>
    <cellStyle name="Normal 375 3 5" xfId="29172" xr:uid="{00000000-0005-0000-0000-0000F7700000}"/>
    <cellStyle name="Normal 375 3 5 2" xfId="29173" xr:uid="{00000000-0005-0000-0000-0000F8700000}"/>
    <cellStyle name="Normal 375 3 5 2 2" xfId="29174" xr:uid="{00000000-0005-0000-0000-0000F9700000}"/>
    <cellStyle name="Normal 375 3 5 3" xfId="29175" xr:uid="{00000000-0005-0000-0000-0000FA700000}"/>
    <cellStyle name="Normal 375 3 6" xfId="29176" xr:uid="{00000000-0005-0000-0000-0000FB700000}"/>
    <cellStyle name="Normal 375 4" xfId="29177" xr:uid="{00000000-0005-0000-0000-0000FC700000}"/>
    <cellStyle name="Normal 375 4 2" xfId="29178" xr:uid="{00000000-0005-0000-0000-0000FD700000}"/>
    <cellStyle name="Normal 375 4 2 2" xfId="29179" xr:uid="{00000000-0005-0000-0000-0000FE700000}"/>
    <cellStyle name="Normal 375 4 3" xfId="29180" xr:uid="{00000000-0005-0000-0000-0000FF700000}"/>
    <cellStyle name="Normal 375 5" xfId="29181" xr:uid="{00000000-0005-0000-0000-000000710000}"/>
    <cellStyle name="Normal 375 5 2" xfId="29182" xr:uid="{00000000-0005-0000-0000-000001710000}"/>
    <cellStyle name="Normal 375 5 2 2" xfId="29183" xr:uid="{00000000-0005-0000-0000-000002710000}"/>
    <cellStyle name="Normal 375 5 3" xfId="29184" xr:uid="{00000000-0005-0000-0000-000003710000}"/>
    <cellStyle name="Normal 375 6" xfId="29185" xr:uid="{00000000-0005-0000-0000-000004710000}"/>
    <cellStyle name="Normal 375 6 2" xfId="29186" xr:uid="{00000000-0005-0000-0000-000005710000}"/>
    <cellStyle name="Normal 375 6 2 2" xfId="29187" xr:uid="{00000000-0005-0000-0000-000006710000}"/>
    <cellStyle name="Normal 375 6 3" xfId="29188" xr:uid="{00000000-0005-0000-0000-000007710000}"/>
    <cellStyle name="Normal 375 7" xfId="29189" xr:uid="{00000000-0005-0000-0000-000008710000}"/>
    <cellStyle name="Normal 376" xfId="29190" xr:uid="{00000000-0005-0000-0000-000009710000}"/>
    <cellStyle name="Normal 376 2" xfId="29191" xr:uid="{00000000-0005-0000-0000-00000A710000}"/>
    <cellStyle name="Normal 376 2 2" xfId="29192" xr:uid="{00000000-0005-0000-0000-00000B710000}"/>
    <cellStyle name="Normal 376 2 2 2" xfId="29193" xr:uid="{00000000-0005-0000-0000-00000C710000}"/>
    <cellStyle name="Normal 376 2 3" xfId="29194" xr:uid="{00000000-0005-0000-0000-00000D710000}"/>
    <cellStyle name="Normal 376 2 3 2" xfId="29195" xr:uid="{00000000-0005-0000-0000-00000E710000}"/>
    <cellStyle name="Normal 376 2 3 2 2" xfId="29196" xr:uid="{00000000-0005-0000-0000-00000F710000}"/>
    <cellStyle name="Normal 376 2 3 3" xfId="29197" xr:uid="{00000000-0005-0000-0000-000010710000}"/>
    <cellStyle name="Normal 376 2 4" xfId="29198" xr:uid="{00000000-0005-0000-0000-000011710000}"/>
    <cellStyle name="Normal 376 2 4 2" xfId="29199" xr:uid="{00000000-0005-0000-0000-000012710000}"/>
    <cellStyle name="Normal 376 2 4 2 2" xfId="29200" xr:uid="{00000000-0005-0000-0000-000013710000}"/>
    <cellStyle name="Normal 376 2 4 3" xfId="29201" xr:uid="{00000000-0005-0000-0000-000014710000}"/>
    <cellStyle name="Normal 376 2 5" xfId="29202" xr:uid="{00000000-0005-0000-0000-000015710000}"/>
    <cellStyle name="Normal 376 3" xfId="29203" xr:uid="{00000000-0005-0000-0000-000016710000}"/>
    <cellStyle name="Normal 376 3 2" xfId="29204" xr:uid="{00000000-0005-0000-0000-000017710000}"/>
    <cellStyle name="Normal 376 3 2 2" xfId="29205" xr:uid="{00000000-0005-0000-0000-000018710000}"/>
    <cellStyle name="Normal 376 3 2 2 2" xfId="29206" xr:uid="{00000000-0005-0000-0000-000019710000}"/>
    <cellStyle name="Normal 376 3 2 3" xfId="29207" xr:uid="{00000000-0005-0000-0000-00001A710000}"/>
    <cellStyle name="Normal 376 3 2 3 2" xfId="29208" xr:uid="{00000000-0005-0000-0000-00001B710000}"/>
    <cellStyle name="Normal 376 3 2 3 2 2" xfId="29209" xr:uid="{00000000-0005-0000-0000-00001C710000}"/>
    <cellStyle name="Normal 376 3 2 3 3" xfId="29210" xr:uid="{00000000-0005-0000-0000-00001D710000}"/>
    <cellStyle name="Normal 376 3 2 4" xfId="29211" xr:uid="{00000000-0005-0000-0000-00001E710000}"/>
    <cellStyle name="Normal 376 3 3" xfId="29212" xr:uid="{00000000-0005-0000-0000-00001F710000}"/>
    <cellStyle name="Normal 376 3 3 2" xfId="29213" xr:uid="{00000000-0005-0000-0000-000020710000}"/>
    <cellStyle name="Normal 376 3 3 2 2" xfId="29214" xr:uid="{00000000-0005-0000-0000-000021710000}"/>
    <cellStyle name="Normal 376 3 3 3" xfId="29215" xr:uid="{00000000-0005-0000-0000-000022710000}"/>
    <cellStyle name="Normal 376 3 4" xfId="29216" xr:uid="{00000000-0005-0000-0000-000023710000}"/>
    <cellStyle name="Normal 376 3 4 2" xfId="29217" xr:uid="{00000000-0005-0000-0000-000024710000}"/>
    <cellStyle name="Normal 376 3 4 2 2" xfId="29218" xr:uid="{00000000-0005-0000-0000-000025710000}"/>
    <cellStyle name="Normal 376 3 4 3" xfId="29219" xr:uid="{00000000-0005-0000-0000-000026710000}"/>
    <cellStyle name="Normal 376 3 5" xfId="29220" xr:uid="{00000000-0005-0000-0000-000027710000}"/>
    <cellStyle name="Normal 376 3 5 2" xfId="29221" xr:uid="{00000000-0005-0000-0000-000028710000}"/>
    <cellStyle name="Normal 376 3 5 2 2" xfId="29222" xr:uid="{00000000-0005-0000-0000-000029710000}"/>
    <cellStyle name="Normal 376 3 5 3" xfId="29223" xr:uid="{00000000-0005-0000-0000-00002A710000}"/>
    <cellStyle name="Normal 376 3 6" xfId="29224" xr:uid="{00000000-0005-0000-0000-00002B710000}"/>
    <cellStyle name="Normal 376 4" xfId="29225" xr:uid="{00000000-0005-0000-0000-00002C710000}"/>
    <cellStyle name="Normal 376 4 2" xfId="29226" xr:uid="{00000000-0005-0000-0000-00002D710000}"/>
    <cellStyle name="Normal 376 4 2 2" xfId="29227" xr:uid="{00000000-0005-0000-0000-00002E710000}"/>
    <cellStyle name="Normal 376 4 3" xfId="29228" xr:uid="{00000000-0005-0000-0000-00002F710000}"/>
    <cellStyle name="Normal 376 5" xfId="29229" xr:uid="{00000000-0005-0000-0000-000030710000}"/>
    <cellStyle name="Normal 376 5 2" xfId="29230" xr:uid="{00000000-0005-0000-0000-000031710000}"/>
    <cellStyle name="Normal 376 5 2 2" xfId="29231" xr:uid="{00000000-0005-0000-0000-000032710000}"/>
    <cellStyle name="Normal 376 5 3" xfId="29232" xr:uid="{00000000-0005-0000-0000-000033710000}"/>
    <cellStyle name="Normal 376 6" xfId="29233" xr:uid="{00000000-0005-0000-0000-000034710000}"/>
    <cellStyle name="Normal 376 6 2" xfId="29234" xr:uid="{00000000-0005-0000-0000-000035710000}"/>
    <cellStyle name="Normal 376 6 2 2" xfId="29235" xr:uid="{00000000-0005-0000-0000-000036710000}"/>
    <cellStyle name="Normal 376 6 3" xfId="29236" xr:uid="{00000000-0005-0000-0000-000037710000}"/>
    <cellStyle name="Normal 376 7" xfId="29237" xr:uid="{00000000-0005-0000-0000-000038710000}"/>
    <cellStyle name="Normal 377" xfId="29238" xr:uid="{00000000-0005-0000-0000-000039710000}"/>
    <cellStyle name="Normal 377 2" xfId="29239" xr:uid="{00000000-0005-0000-0000-00003A710000}"/>
    <cellStyle name="Normal 377 2 2" xfId="29240" xr:uid="{00000000-0005-0000-0000-00003B710000}"/>
    <cellStyle name="Normal 377 2 2 2" xfId="29241" xr:uid="{00000000-0005-0000-0000-00003C710000}"/>
    <cellStyle name="Normal 377 2 3" xfId="29242" xr:uid="{00000000-0005-0000-0000-00003D710000}"/>
    <cellStyle name="Normal 377 2 3 2" xfId="29243" xr:uid="{00000000-0005-0000-0000-00003E710000}"/>
    <cellStyle name="Normal 377 2 3 2 2" xfId="29244" xr:uid="{00000000-0005-0000-0000-00003F710000}"/>
    <cellStyle name="Normal 377 2 3 3" xfId="29245" xr:uid="{00000000-0005-0000-0000-000040710000}"/>
    <cellStyle name="Normal 377 2 4" xfId="29246" xr:uid="{00000000-0005-0000-0000-000041710000}"/>
    <cellStyle name="Normal 377 2 4 2" xfId="29247" xr:uid="{00000000-0005-0000-0000-000042710000}"/>
    <cellStyle name="Normal 377 2 4 2 2" xfId="29248" xr:uid="{00000000-0005-0000-0000-000043710000}"/>
    <cellStyle name="Normal 377 2 4 3" xfId="29249" xr:uid="{00000000-0005-0000-0000-000044710000}"/>
    <cellStyle name="Normal 377 2 5" xfId="29250" xr:uid="{00000000-0005-0000-0000-000045710000}"/>
    <cellStyle name="Normal 377 3" xfId="29251" xr:uid="{00000000-0005-0000-0000-000046710000}"/>
    <cellStyle name="Normal 377 3 2" xfId="29252" xr:uid="{00000000-0005-0000-0000-000047710000}"/>
    <cellStyle name="Normal 377 3 2 2" xfId="29253" xr:uid="{00000000-0005-0000-0000-000048710000}"/>
    <cellStyle name="Normal 377 3 2 2 2" xfId="29254" xr:uid="{00000000-0005-0000-0000-000049710000}"/>
    <cellStyle name="Normal 377 3 2 3" xfId="29255" xr:uid="{00000000-0005-0000-0000-00004A710000}"/>
    <cellStyle name="Normal 377 3 2 3 2" xfId="29256" xr:uid="{00000000-0005-0000-0000-00004B710000}"/>
    <cellStyle name="Normal 377 3 2 3 2 2" xfId="29257" xr:uid="{00000000-0005-0000-0000-00004C710000}"/>
    <cellStyle name="Normal 377 3 2 3 3" xfId="29258" xr:uid="{00000000-0005-0000-0000-00004D710000}"/>
    <cellStyle name="Normal 377 3 2 4" xfId="29259" xr:uid="{00000000-0005-0000-0000-00004E710000}"/>
    <cellStyle name="Normal 377 3 3" xfId="29260" xr:uid="{00000000-0005-0000-0000-00004F710000}"/>
    <cellStyle name="Normal 377 3 3 2" xfId="29261" xr:uid="{00000000-0005-0000-0000-000050710000}"/>
    <cellStyle name="Normal 377 3 3 2 2" xfId="29262" xr:uid="{00000000-0005-0000-0000-000051710000}"/>
    <cellStyle name="Normal 377 3 3 3" xfId="29263" xr:uid="{00000000-0005-0000-0000-000052710000}"/>
    <cellStyle name="Normal 377 3 4" xfId="29264" xr:uid="{00000000-0005-0000-0000-000053710000}"/>
    <cellStyle name="Normal 377 3 4 2" xfId="29265" xr:uid="{00000000-0005-0000-0000-000054710000}"/>
    <cellStyle name="Normal 377 3 4 2 2" xfId="29266" xr:uid="{00000000-0005-0000-0000-000055710000}"/>
    <cellStyle name="Normal 377 3 4 3" xfId="29267" xr:uid="{00000000-0005-0000-0000-000056710000}"/>
    <cellStyle name="Normal 377 3 5" xfId="29268" xr:uid="{00000000-0005-0000-0000-000057710000}"/>
    <cellStyle name="Normal 377 3 5 2" xfId="29269" xr:uid="{00000000-0005-0000-0000-000058710000}"/>
    <cellStyle name="Normal 377 3 5 2 2" xfId="29270" xr:uid="{00000000-0005-0000-0000-000059710000}"/>
    <cellStyle name="Normal 377 3 5 3" xfId="29271" xr:uid="{00000000-0005-0000-0000-00005A710000}"/>
    <cellStyle name="Normal 377 3 6" xfId="29272" xr:uid="{00000000-0005-0000-0000-00005B710000}"/>
    <cellStyle name="Normal 377 4" xfId="29273" xr:uid="{00000000-0005-0000-0000-00005C710000}"/>
    <cellStyle name="Normal 377 4 2" xfId="29274" xr:uid="{00000000-0005-0000-0000-00005D710000}"/>
    <cellStyle name="Normal 377 4 2 2" xfId="29275" xr:uid="{00000000-0005-0000-0000-00005E710000}"/>
    <cellStyle name="Normal 377 4 3" xfId="29276" xr:uid="{00000000-0005-0000-0000-00005F710000}"/>
    <cellStyle name="Normal 377 5" xfId="29277" xr:uid="{00000000-0005-0000-0000-000060710000}"/>
    <cellStyle name="Normal 377 5 2" xfId="29278" xr:uid="{00000000-0005-0000-0000-000061710000}"/>
    <cellStyle name="Normal 377 5 2 2" xfId="29279" xr:uid="{00000000-0005-0000-0000-000062710000}"/>
    <cellStyle name="Normal 377 5 3" xfId="29280" xr:uid="{00000000-0005-0000-0000-000063710000}"/>
    <cellStyle name="Normal 377 6" xfId="29281" xr:uid="{00000000-0005-0000-0000-000064710000}"/>
    <cellStyle name="Normal 377 6 2" xfId="29282" xr:uid="{00000000-0005-0000-0000-000065710000}"/>
    <cellStyle name="Normal 377 6 2 2" xfId="29283" xr:uid="{00000000-0005-0000-0000-000066710000}"/>
    <cellStyle name="Normal 377 6 3" xfId="29284" xr:uid="{00000000-0005-0000-0000-000067710000}"/>
    <cellStyle name="Normal 377 7" xfId="29285" xr:uid="{00000000-0005-0000-0000-000068710000}"/>
    <cellStyle name="Normal 378" xfId="29286" xr:uid="{00000000-0005-0000-0000-000069710000}"/>
    <cellStyle name="Normal 378 2" xfId="29287" xr:uid="{00000000-0005-0000-0000-00006A710000}"/>
    <cellStyle name="Normal 378 2 2" xfId="29288" xr:uid="{00000000-0005-0000-0000-00006B710000}"/>
    <cellStyle name="Normal 378 2 2 2" xfId="29289" xr:uid="{00000000-0005-0000-0000-00006C710000}"/>
    <cellStyle name="Normal 378 2 3" xfId="29290" xr:uid="{00000000-0005-0000-0000-00006D710000}"/>
    <cellStyle name="Normal 378 2 3 2" xfId="29291" xr:uid="{00000000-0005-0000-0000-00006E710000}"/>
    <cellStyle name="Normal 378 2 3 2 2" xfId="29292" xr:uid="{00000000-0005-0000-0000-00006F710000}"/>
    <cellStyle name="Normal 378 2 3 3" xfId="29293" xr:uid="{00000000-0005-0000-0000-000070710000}"/>
    <cellStyle name="Normal 378 2 4" xfId="29294" xr:uid="{00000000-0005-0000-0000-000071710000}"/>
    <cellStyle name="Normal 378 2 4 2" xfId="29295" xr:uid="{00000000-0005-0000-0000-000072710000}"/>
    <cellStyle name="Normal 378 2 4 2 2" xfId="29296" xr:uid="{00000000-0005-0000-0000-000073710000}"/>
    <cellStyle name="Normal 378 2 4 3" xfId="29297" xr:uid="{00000000-0005-0000-0000-000074710000}"/>
    <cellStyle name="Normal 378 2 5" xfId="29298" xr:uid="{00000000-0005-0000-0000-000075710000}"/>
    <cellStyle name="Normal 378 3" xfId="29299" xr:uid="{00000000-0005-0000-0000-000076710000}"/>
    <cellStyle name="Normal 378 3 2" xfId="29300" xr:uid="{00000000-0005-0000-0000-000077710000}"/>
    <cellStyle name="Normal 378 3 2 2" xfId="29301" xr:uid="{00000000-0005-0000-0000-000078710000}"/>
    <cellStyle name="Normal 378 3 2 2 2" xfId="29302" xr:uid="{00000000-0005-0000-0000-000079710000}"/>
    <cellStyle name="Normal 378 3 2 3" xfId="29303" xr:uid="{00000000-0005-0000-0000-00007A710000}"/>
    <cellStyle name="Normal 378 3 2 3 2" xfId="29304" xr:uid="{00000000-0005-0000-0000-00007B710000}"/>
    <cellStyle name="Normal 378 3 2 3 2 2" xfId="29305" xr:uid="{00000000-0005-0000-0000-00007C710000}"/>
    <cellStyle name="Normal 378 3 2 3 3" xfId="29306" xr:uid="{00000000-0005-0000-0000-00007D710000}"/>
    <cellStyle name="Normal 378 3 2 4" xfId="29307" xr:uid="{00000000-0005-0000-0000-00007E710000}"/>
    <cellStyle name="Normal 378 3 3" xfId="29308" xr:uid="{00000000-0005-0000-0000-00007F710000}"/>
    <cellStyle name="Normal 378 3 3 2" xfId="29309" xr:uid="{00000000-0005-0000-0000-000080710000}"/>
    <cellStyle name="Normal 378 3 3 2 2" xfId="29310" xr:uid="{00000000-0005-0000-0000-000081710000}"/>
    <cellStyle name="Normal 378 3 3 3" xfId="29311" xr:uid="{00000000-0005-0000-0000-000082710000}"/>
    <cellStyle name="Normal 378 3 4" xfId="29312" xr:uid="{00000000-0005-0000-0000-000083710000}"/>
    <cellStyle name="Normal 378 3 4 2" xfId="29313" xr:uid="{00000000-0005-0000-0000-000084710000}"/>
    <cellStyle name="Normal 378 3 4 2 2" xfId="29314" xr:uid="{00000000-0005-0000-0000-000085710000}"/>
    <cellStyle name="Normal 378 3 4 3" xfId="29315" xr:uid="{00000000-0005-0000-0000-000086710000}"/>
    <cellStyle name="Normal 378 3 5" xfId="29316" xr:uid="{00000000-0005-0000-0000-000087710000}"/>
    <cellStyle name="Normal 378 3 5 2" xfId="29317" xr:uid="{00000000-0005-0000-0000-000088710000}"/>
    <cellStyle name="Normal 378 3 5 2 2" xfId="29318" xr:uid="{00000000-0005-0000-0000-000089710000}"/>
    <cellStyle name="Normal 378 3 5 3" xfId="29319" xr:uid="{00000000-0005-0000-0000-00008A710000}"/>
    <cellStyle name="Normal 378 3 6" xfId="29320" xr:uid="{00000000-0005-0000-0000-00008B710000}"/>
    <cellStyle name="Normal 378 4" xfId="29321" xr:uid="{00000000-0005-0000-0000-00008C710000}"/>
    <cellStyle name="Normal 378 4 2" xfId="29322" xr:uid="{00000000-0005-0000-0000-00008D710000}"/>
    <cellStyle name="Normal 378 4 2 2" xfId="29323" xr:uid="{00000000-0005-0000-0000-00008E710000}"/>
    <cellStyle name="Normal 378 4 3" xfId="29324" xr:uid="{00000000-0005-0000-0000-00008F710000}"/>
    <cellStyle name="Normal 378 5" xfId="29325" xr:uid="{00000000-0005-0000-0000-000090710000}"/>
    <cellStyle name="Normal 378 5 2" xfId="29326" xr:uid="{00000000-0005-0000-0000-000091710000}"/>
    <cellStyle name="Normal 378 5 2 2" xfId="29327" xr:uid="{00000000-0005-0000-0000-000092710000}"/>
    <cellStyle name="Normal 378 5 3" xfId="29328" xr:uid="{00000000-0005-0000-0000-000093710000}"/>
    <cellStyle name="Normal 378 6" xfId="29329" xr:uid="{00000000-0005-0000-0000-000094710000}"/>
    <cellStyle name="Normal 378 6 2" xfId="29330" xr:uid="{00000000-0005-0000-0000-000095710000}"/>
    <cellStyle name="Normal 378 6 2 2" xfId="29331" xr:uid="{00000000-0005-0000-0000-000096710000}"/>
    <cellStyle name="Normal 378 6 3" xfId="29332" xr:uid="{00000000-0005-0000-0000-000097710000}"/>
    <cellStyle name="Normal 378 7" xfId="29333" xr:uid="{00000000-0005-0000-0000-000098710000}"/>
    <cellStyle name="Normal 379" xfId="29334" xr:uid="{00000000-0005-0000-0000-000099710000}"/>
    <cellStyle name="Normal 379 2" xfId="29335" xr:uid="{00000000-0005-0000-0000-00009A710000}"/>
    <cellStyle name="Normal 379 2 2" xfId="29336" xr:uid="{00000000-0005-0000-0000-00009B710000}"/>
    <cellStyle name="Normal 379 2 2 2" xfId="29337" xr:uid="{00000000-0005-0000-0000-00009C710000}"/>
    <cellStyle name="Normal 379 2 3" xfId="29338" xr:uid="{00000000-0005-0000-0000-00009D710000}"/>
    <cellStyle name="Normal 379 2 3 2" xfId="29339" xr:uid="{00000000-0005-0000-0000-00009E710000}"/>
    <cellStyle name="Normal 379 2 3 2 2" xfId="29340" xr:uid="{00000000-0005-0000-0000-00009F710000}"/>
    <cellStyle name="Normal 379 2 3 3" xfId="29341" xr:uid="{00000000-0005-0000-0000-0000A0710000}"/>
    <cellStyle name="Normal 379 2 4" xfId="29342" xr:uid="{00000000-0005-0000-0000-0000A1710000}"/>
    <cellStyle name="Normal 379 2 4 2" xfId="29343" xr:uid="{00000000-0005-0000-0000-0000A2710000}"/>
    <cellStyle name="Normal 379 2 4 2 2" xfId="29344" xr:uid="{00000000-0005-0000-0000-0000A3710000}"/>
    <cellStyle name="Normal 379 2 4 3" xfId="29345" xr:uid="{00000000-0005-0000-0000-0000A4710000}"/>
    <cellStyle name="Normal 379 2 5" xfId="29346" xr:uid="{00000000-0005-0000-0000-0000A5710000}"/>
    <cellStyle name="Normal 379 3" xfId="29347" xr:uid="{00000000-0005-0000-0000-0000A6710000}"/>
    <cellStyle name="Normal 379 3 2" xfId="29348" xr:uid="{00000000-0005-0000-0000-0000A7710000}"/>
    <cellStyle name="Normal 379 3 2 2" xfId="29349" xr:uid="{00000000-0005-0000-0000-0000A8710000}"/>
    <cellStyle name="Normal 379 3 2 2 2" xfId="29350" xr:uid="{00000000-0005-0000-0000-0000A9710000}"/>
    <cellStyle name="Normal 379 3 2 3" xfId="29351" xr:uid="{00000000-0005-0000-0000-0000AA710000}"/>
    <cellStyle name="Normal 379 3 2 3 2" xfId="29352" xr:uid="{00000000-0005-0000-0000-0000AB710000}"/>
    <cellStyle name="Normal 379 3 2 3 2 2" xfId="29353" xr:uid="{00000000-0005-0000-0000-0000AC710000}"/>
    <cellStyle name="Normal 379 3 2 3 3" xfId="29354" xr:uid="{00000000-0005-0000-0000-0000AD710000}"/>
    <cellStyle name="Normal 379 3 2 4" xfId="29355" xr:uid="{00000000-0005-0000-0000-0000AE710000}"/>
    <cellStyle name="Normal 379 3 3" xfId="29356" xr:uid="{00000000-0005-0000-0000-0000AF710000}"/>
    <cellStyle name="Normal 379 3 3 2" xfId="29357" xr:uid="{00000000-0005-0000-0000-0000B0710000}"/>
    <cellStyle name="Normal 379 3 3 2 2" xfId="29358" xr:uid="{00000000-0005-0000-0000-0000B1710000}"/>
    <cellStyle name="Normal 379 3 3 3" xfId="29359" xr:uid="{00000000-0005-0000-0000-0000B2710000}"/>
    <cellStyle name="Normal 379 3 4" xfId="29360" xr:uid="{00000000-0005-0000-0000-0000B3710000}"/>
    <cellStyle name="Normal 379 3 4 2" xfId="29361" xr:uid="{00000000-0005-0000-0000-0000B4710000}"/>
    <cellStyle name="Normal 379 3 4 2 2" xfId="29362" xr:uid="{00000000-0005-0000-0000-0000B5710000}"/>
    <cellStyle name="Normal 379 3 4 3" xfId="29363" xr:uid="{00000000-0005-0000-0000-0000B6710000}"/>
    <cellStyle name="Normal 379 3 5" xfId="29364" xr:uid="{00000000-0005-0000-0000-0000B7710000}"/>
    <cellStyle name="Normal 379 3 5 2" xfId="29365" xr:uid="{00000000-0005-0000-0000-0000B8710000}"/>
    <cellStyle name="Normal 379 3 5 2 2" xfId="29366" xr:uid="{00000000-0005-0000-0000-0000B9710000}"/>
    <cellStyle name="Normal 379 3 5 3" xfId="29367" xr:uid="{00000000-0005-0000-0000-0000BA710000}"/>
    <cellStyle name="Normal 379 3 6" xfId="29368" xr:uid="{00000000-0005-0000-0000-0000BB710000}"/>
    <cellStyle name="Normal 379 4" xfId="29369" xr:uid="{00000000-0005-0000-0000-0000BC710000}"/>
    <cellStyle name="Normal 379 4 2" xfId="29370" xr:uid="{00000000-0005-0000-0000-0000BD710000}"/>
    <cellStyle name="Normal 379 4 2 2" xfId="29371" xr:uid="{00000000-0005-0000-0000-0000BE710000}"/>
    <cellStyle name="Normal 379 4 3" xfId="29372" xr:uid="{00000000-0005-0000-0000-0000BF710000}"/>
    <cellStyle name="Normal 379 5" xfId="29373" xr:uid="{00000000-0005-0000-0000-0000C0710000}"/>
    <cellStyle name="Normal 379 5 2" xfId="29374" xr:uid="{00000000-0005-0000-0000-0000C1710000}"/>
    <cellStyle name="Normal 379 5 2 2" xfId="29375" xr:uid="{00000000-0005-0000-0000-0000C2710000}"/>
    <cellStyle name="Normal 379 5 3" xfId="29376" xr:uid="{00000000-0005-0000-0000-0000C3710000}"/>
    <cellStyle name="Normal 379 6" xfId="29377" xr:uid="{00000000-0005-0000-0000-0000C4710000}"/>
    <cellStyle name="Normal 379 6 2" xfId="29378" xr:uid="{00000000-0005-0000-0000-0000C5710000}"/>
    <cellStyle name="Normal 379 6 2 2" xfId="29379" xr:uid="{00000000-0005-0000-0000-0000C6710000}"/>
    <cellStyle name="Normal 379 6 3" xfId="29380" xr:uid="{00000000-0005-0000-0000-0000C7710000}"/>
    <cellStyle name="Normal 379 7" xfId="29381" xr:uid="{00000000-0005-0000-0000-0000C8710000}"/>
    <cellStyle name="Normal 38" xfId="29382" xr:uid="{00000000-0005-0000-0000-0000C9710000}"/>
    <cellStyle name="Normal 38 2" xfId="29383" xr:uid="{00000000-0005-0000-0000-0000CA710000}"/>
    <cellStyle name="Normal 38 2 2" xfId="29384" xr:uid="{00000000-0005-0000-0000-0000CB710000}"/>
    <cellStyle name="Normal 38 2 2 2" xfId="29385" xr:uid="{00000000-0005-0000-0000-0000CC710000}"/>
    <cellStyle name="Normal 38 2 2 2 2" xfId="29386" xr:uid="{00000000-0005-0000-0000-0000CD710000}"/>
    <cellStyle name="Normal 38 2 2 3" xfId="29387" xr:uid="{00000000-0005-0000-0000-0000CE710000}"/>
    <cellStyle name="Normal 38 2 2 3 2" xfId="29388" xr:uid="{00000000-0005-0000-0000-0000CF710000}"/>
    <cellStyle name="Normal 38 2 2 3 2 2" xfId="29389" xr:uid="{00000000-0005-0000-0000-0000D0710000}"/>
    <cellStyle name="Normal 38 2 2 3 3" xfId="29390" xr:uid="{00000000-0005-0000-0000-0000D1710000}"/>
    <cellStyle name="Normal 38 2 2 4" xfId="29391" xr:uid="{00000000-0005-0000-0000-0000D2710000}"/>
    <cellStyle name="Normal 38 2 2 4 2" xfId="29392" xr:uid="{00000000-0005-0000-0000-0000D3710000}"/>
    <cellStyle name="Normal 38 2 2 4 2 2" xfId="29393" xr:uid="{00000000-0005-0000-0000-0000D4710000}"/>
    <cellStyle name="Normal 38 2 2 4 3" xfId="29394" xr:uid="{00000000-0005-0000-0000-0000D5710000}"/>
    <cellStyle name="Normal 38 2 2 5" xfId="29395" xr:uid="{00000000-0005-0000-0000-0000D6710000}"/>
    <cellStyle name="Normal 38 2 3" xfId="29396" xr:uid="{00000000-0005-0000-0000-0000D7710000}"/>
    <cellStyle name="Normal 38 2 3 2" xfId="29397" xr:uid="{00000000-0005-0000-0000-0000D8710000}"/>
    <cellStyle name="Normal 38 2 3 2 2" xfId="29398" xr:uid="{00000000-0005-0000-0000-0000D9710000}"/>
    <cellStyle name="Normal 38 2 3 3" xfId="29399" xr:uid="{00000000-0005-0000-0000-0000DA710000}"/>
    <cellStyle name="Normal 38 2 4" xfId="29400" xr:uid="{00000000-0005-0000-0000-0000DB710000}"/>
    <cellStyle name="Normal 38 2 4 2" xfId="29401" xr:uid="{00000000-0005-0000-0000-0000DC710000}"/>
    <cellStyle name="Normal 38 2 4 2 2" xfId="29402" xr:uid="{00000000-0005-0000-0000-0000DD710000}"/>
    <cellStyle name="Normal 38 2 4 3" xfId="29403" xr:uid="{00000000-0005-0000-0000-0000DE710000}"/>
    <cellStyle name="Normal 38 2 5" xfId="29404" xr:uid="{00000000-0005-0000-0000-0000DF710000}"/>
    <cellStyle name="Normal 38 2 5 2" xfId="29405" xr:uid="{00000000-0005-0000-0000-0000E0710000}"/>
    <cellStyle name="Normal 38 2 5 2 2" xfId="29406" xr:uid="{00000000-0005-0000-0000-0000E1710000}"/>
    <cellStyle name="Normal 38 2 5 3" xfId="29407" xr:uid="{00000000-0005-0000-0000-0000E2710000}"/>
    <cellStyle name="Normal 38 2 6" xfId="29408" xr:uid="{00000000-0005-0000-0000-0000E3710000}"/>
    <cellStyle name="Normal 38 3" xfId="29409" xr:uid="{00000000-0005-0000-0000-0000E4710000}"/>
    <cellStyle name="Normal 38 3 2" xfId="29410" xr:uid="{00000000-0005-0000-0000-0000E5710000}"/>
    <cellStyle name="Normal 38 3 2 2" xfId="29411" xr:uid="{00000000-0005-0000-0000-0000E6710000}"/>
    <cellStyle name="Normal 38 3 3" xfId="29412" xr:uid="{00000000-0005-0000-0000-0000E7710000}"/>
    <cellStyle name="Normal 38 3 3 2" xfId="29413" xr:uid="{00000000-0005-0000-0000-0000E8710000}"/>
    <cellStyle name="Normal 38 3 3 2 2" xfId="29414" xr:uid="{00000000-0005-0000-0000-0000E9710000}"/>
    <cellStyle name="Normal 38 3 3 3" xfId="29415" xr:uid="{00000000-0005-0000-0000-0000EA710000}"/>
    <cellStyle name="Normal 38 3 4" xfId="29416" xr:uid="{00000000-0005-0000-0000-0000EB710000}"/>
    <cellStyle name="Normal 38 3 4 2" xfId="29417" xr:uid="{00000000-0005-0000-0000-0000EC710000}"/>
    <cellStyle name="Normal 38 3 4 2 2" xfId="29418" xr:uid="{00000000-0005-0000-0000-0000ED710000}"/>
    <cellStyle name="Normal 38 3 4 3" xfId="29419" xr:uid="{00000000-0005-0000-0000-0000EE710000}"/>
    <cellStyle name="Normal 38 3 5" xfId="29420" xr:uid="{00000000-0005-0000-0000-0000EF710000}"/>
    <cellStyle name="Normal 38 4" xfId="29421" xr:uid="{00000000-0005-0000-0000-0000F0710000}"/>
    <cellStyle name="Normal 38 4 2" xfId="29422" xr:uid="{00000000-0005-0000-0000-0000F1710000}"/>
    <cellStyle name="Normal 38 4 2 2" xfId="29423" xr:uid="{00000000-0005-0000-0000-0000F2710000}"/>
    <cellStyle name="Normal 38 4 3" xfId="29424" xr:uid="{00000000-0005-0000-0000-0000F3710000}"/>
    <cellStyle name="Normal 38 5" xfId="29425" xr:uid="{00000000-0005-0000-0000-0000F4710000}"/>
    <cellStyle name="Normal 38 5 2" xfId="29426" xr:uid="{00000000-0005-0000-0000-0000F5710000}"/>
    <cellStyle name="Normal 38 5 2 2" xfId="29427" xr:uid="{00000000-0005-0000-0000-0000F6710000}"/>
    <cellStyle name="Normal 38 5 3" xfId="29428" xr:uid="{00000000-0005-0000-0000-0000F7710000}"/>
    <cellStyle name="Normal 38 6" xfId="29429" xr:uid="{00000000-0005-0000-0000-0000F8710000}"/>
    <cellStyle name="Normal 38 6 2" xfId="29430" xr:uid="{00000000-0005-0000-0000-0000F9710000}"/>
    <cellStyle name="Normal 38 6 2 2" xfId="29431" xr:uid="{00000000-0005-0000-0000-0000FA710000}"/>
    <cellStyle name="Normal 38 6 3" xfId="29432" xr:uid="{00000000-0005-0000-0000-0000FB710000}"/>
    <cellStyle name="Normal 38 7" xfId="29433" xr:uid="{00000000-0005-0000-0000-0000FC710000}"/>
    <cellStyle name="Normal 380" xfId="29434" xr:uid="{00000000-0005-0000-0000-0000FD710000}"/>
    <cellStyle name="Normal 380 2" xfId="29435" xr:uid="{00000000-0005-0000-0000-0000FE710000}"/>
    <cellStyle name="Normal 380 2 2" xfId="29436" xr:uid="{00000000-0005-0000-0000-0000FF710000}"/>
    <cellStyle name="Normal 380 2 2 2" xfId="29437" xr:uid="{00000000-0005-0000-0000-000000720000}"/>
    <cellStyle name="Normal 380 2 3" xfId="29438" xr:uid="{00000000-0005-0000-0000-000001720000}"/>
    <cellStyle name="Normal 380 2 3 2" xfId="29439" xr:uid="{00000000-0005-0000-0000-000002720000}"/>
    <cellStyle name="Normal 380 2 3 2 2" xfId="29440" xr:uid="{00000000-0005-0000-0000-000003720000}"/>
    <cellStyle name="Normal 380 2 3 3" xfId="29441" xr:uid="{00000000-0005-0000-0000-000004720000}"/>
    <cellStyle name="Normal 380 2 4" xfId="29442" xr:uid="{00000000-0005-0000-0000-000005720000}"/>
    <cellStyle name="Normal 380 2 4 2" xfId="29443" xr:uid="{00000000-0005-0000-0000-000006720000}"/>
    <cellStyle name="Normal 380 2 4 2 2" xfId="29444" xr:uid="{00000000-0005-0000-0000-000007720000}"/>
    <cellStyle name="Normal 380 2 4 3" xfId="29445" xr:uid="{00000000-0005-0000-0000-000008720000}"/>
    <cellStyle name="Normal 380 2 5" xfId="29446" xr:uid="{00000000-0005-0000-0000-000009720000}"/>
    <cellStyle name="Normal 380 3" xfId="29447" xr:uid="{00000000-0005-0000-0000-00000A720000}"/>
    <cellStyle name="Normal 380 3 2" xfId="29448" xr:uid="{00000000-0005-0000-0000-00000B720000}"/>
    <cellStyle name="Normal 380 3 2 2" xfId="29449" xr:uid="{00000000-0005-0000-0000-00000C720000}"/>
    <cellStyle name="Normal 380 3 2 2 2" xfId="29450" xr:uid="{00000000-0005-0000-0000-00000D720000}"/>
    <cellStyle name="Normal 380 3 2 3" xfId="29451" xr:uid="{00000000-0005-0000-0000-00000E720000}"/>
    <cellStyle name="Normal 380 3 2 3 2" xfId="29452" xr:uid="{00000000-0005-0000-0000-00000F720000}"/>
    <cellStyle name="Normal 380 3 2 3 2 2" xfId="29453" xr:uid="{00000000-0005-0000-0000-000010720000}"/>
    <cellStyle name="Normal 380 3 2 3 3" xfId="29454" xr:uid="{00000000-0005-0000-0000-000011720000}"/>
    <cellStyle name="Normal 380 3 2 4" xfId="29455" xr:uid="{00000000-0005-0000-0000-000012720000}"/>
    <cellStyle name="Normal 380 3 3" xfId="29456" xr:uid="{00000000-0005-0000-0000-000013720000}"/>
    <cellStyle name="Normal 380 3 3 2" xfId="29457" xr:uid="{00000000-0005-0000-0000-000014720000}"/>
    <cellStyle name="Normal 380 3 3 2 2" xfId="29458" xr:uid="{00000000-0005-0000-0000-000015720000}"/>
    <cellStyle name="Normal 380 3 3 3" xfId="29459" xr:uid="{00000000-0005-0000-0000-000016720000}"/>
    <cellStyle name="Normal 380 3 4" xfId="29460" xr:uid="{00000000-0005-0000-0000-000017720000}"/>
    <cellStyle name="Normal 380 3 4 2" xfId="29461" xr:uid="{00000000-0005-0000-0000-000018720000}"/>
    <cellStyle name="Normal 380 3 4 2 2" xfId="29462" xr:uid="{00000000-0005-0000-0000-000019720000}"/>
    <cellStyle name="Normal 380 3 4 3" xfId="29463" xr:uid="{00000000-0005-0000-0000-00001A720000}"/>
    <cellStyle name="Normal 380 3 5" xfId="29464" xr:uid="{00000000-0005-0000-0000-00001B720000}"/>
    <cellStyle name="Normal 380 3 5 2" xfId="29465" xr:uid="{00000000-0005-0000-0000-00001C720000}"/>
    <cellStyle name="Normal 380 3 5 2 2" xfId="29466" xr:uid="{00000000-0005-0000-0000-00001D720000}"/>
    <cellStyle name="Normal 380 3 5 3" xfId="29467" xr:uid="{00000000-0005-0000-0000-00001E720000}"/>
    <cellStyle name="Normal 380 3 6" xfId="29468" xr:uid="{00000000-0005-0000-0000-00001F720000}"/>
    <cellStyle name="Normal 380 4" xfId="29469" xr:uid="{00000000-0005-0000-0000-000020720000}"/>
    <cellStyle name="Normal 380 4 2" xfId="29470" xr:uid="{00000000-0005-0000-0000-000021720000}"/>
    <cellStyle name="Normal 380 4 2 2" xfId="29471" xr:uid="{00000000-0005-0000-0000-000022720000}"/>
    <cellStyle name="Normal 380 4 3" xfId="29472" xr:uid="{00000000-0005-0000-0000-000023720000}"/>
    <cellStyle name="Normal 380 5" xfId="29473" xr:uid="{00000000-0005-0000-0000-000024720000}"/>
    <cellStyle name="Normal 380 5 2" xfId="29474" xr:uid="{00000000-0005-0000-0000-000025720000}"/>
    <cellStyle name="Normal 380 5 2 2" xfId="29475" xr:uid="{00000000-0005-0000-0000-000026720000}"/>
    <cellStyle name="Normal 380 5 3" xfId="29476" xr:uid="{00000000-0005-0000-0000-000027720000}"/>
    <cellStyle name="Normal 380 6" xfId="29477" xr:uid="{00000000-0005-0000-0000-000028720000}"/>
    <cellStyle name="Normal 380 6 2" xfId="29478" xr:uid="{00000000-0005-0000-0000-000029720000}"/>
    <cellStyle name="Normal 380 6 2 2" xfId="29479" xr:uid="{00000000-0005-0000-0000-00002A720000}"/>
    <cellStyle name="Normal 380 6 3" xfId="29480" xr:uid="{00000000-0005-0000-0000-00002B720000}"/>
    <cellStyle name="Normal 380 7" xfId="29481" xr:uid="{00000000-0005-0000-0000-00002C720000}"/>
    <cellStyle name="Normal 381" xfId="29482" xr:uid="{00000000-0005-0000-0000-00002D720000}"/>
    <cellStyle name="Normal 381 2" xfId="29483" xr:uid="{00000000-0005-0000-0000-00002E720000}"/>
    <cellStyle name="Normal 381 2 2" xfId="29484" xr:uid="{00000000-0005-0000-0000-00002F720000}"/>
    <cellStyle name="Normal 381 2 2 2" xfId="29485" xr:uid="{00000000-0005-0000-0000-000030720000}"/>
    <cellStyle name="Normal 381 2 3" xfId="29486" xr:uid="{00000000-0005-0000-0000-000031720000}"/>
    <cellStyle name="Normal 381 2 3 2" xfId="29487" xr:uid="{00000000-0005-0000-0000-000032720000}"/>
    <cellStyle name="Normal 381 2 3 2 2" xfId="29488" xr:uid="{00000000-0005-0000-0000-000033720000}"/>
    <cellStyle name="Normal 381 2 3 3" xfId="29489" xr:uid="{00000000-0005-0000-0000-000034720000}"/>
    <cellStyle name="Normal 381 2 4" xfId="29490" xr:uid="{00000000-0005-0000-0000-000035720000}"/>
    <cellStyle name="Normal 381 2 4 2" xfId="29491" xr:uid="{00000000-0005-0000-0000-000036720000}"/>
    <cellStyle name="Normal 381 2 4 2 2" xfId="29492" xr:uid="{00000000-0005-0000-0000-000037720000}"/>
    <cellStyle name="Normal 381 2 4 3" xfId="29493" xr:uid="{00000000-0005-0000-0000-000038720000}"/>
    <cellStyle name="Normal 381 2 5" xfId="29494" xr:uid="{00000000-0005-0000-0000-000039720000}"/>
    <cellStyle name="Normal 381 3" xfId="29495" xr:uid="{00000000-0005-0000-0000-00003A720000}"/>
    <cellStyle name="Normal 381 3 2" xfId="29496" xr:uid="{00000000-0005-0000-0000-00003B720000}"/>
    <cellStyle name="Normal 381 3 2 2" xfId="29497" xr:uid="{00000000-0005-0000-0000-00003C720000}"/>
    <cellStyle name="Normal 381 3 2 2 2" xfId="29498" xr:uid="{00000000-0005-0000-0000-00003D720000}"/>
    <cellStyle name="Normal 381 3 2 3" xfId="29499" xr:uid="{00000000-0005-0000-0000-00003E720000}"/>
    <cellStyle name="Normal 381 3 2 3 2" xfId="29500" xr:uid="{00000000-0005-0000-0000-00003F720000}"/>
    <cellStyle name="Normal 381 3 2 3 2 2" xfId="29501" xr:uid="{00000000-0005-0000-0000-000040720000}"/>
    <cellStyle name="Normal 381 3 2 3 3" xfId="29502" xr:uid="{00000000-0005-0000-0000-000041720000}"/>
    <cellStyle name="Normal 381 3 2 4" xfId="29503" xr:uid="{00000000-0005-0000-0000-000042720000}"/>
    <cellStyle name="Normal 381 3 3" xfId="29504" xr:uid="{00000000-0005-0000-0000-000043720000}"/>
    <cellStyle name="Normal 381 3 3 2" xfId="29505" xr:uid="{00000000-0005-0000-0000-000044720000}"/>
    <cellStyle name="Normal 381 3 3 2 2" xfId="29506" xr:uid="{00000000-0005-0000-0000-000045720000}"/>
    <cellStyle name="Normal 381 3 3 3" xfId="29507" xr:uid="{00000000-0005-0000-0000-000046720000}"/>
    <cellStyle name="Normal 381 3 4" xfId="29508" xr:uid="{00000000-0005-0000-0000-000047720000}"/>
    <cellStyle name="Normal 381 3 4 2" xfId="29509" xr:uid="{00000000-0005-0000-0000-000048720000}"/>
    <cellStyle name="Normal 381 3 4 2 2" xfId="29510" xr:uid="{00000000-0005-0000-0000-000049720000}"/>
    <cellStyle name="Normal 381 3 4 3" xfId="29511" xr:uid="{00000000-0005-0000-0000-00004A720000}"/>
    <cellStyle name="Normal 381 3 5" xfId="29512" xr:uid="{00000000-0005-0000-0000-00004B720000}"/>
    <cellStyle name="Normal 381 3 5 2" xfId="29513" xr:uid="{00000000-0005-0000-0000-00004C720000}"/>
    <cellStyle name="Normal 381 3 5 2 2" xfId="29514" xr:uid="{00000000-0005-0000-0000-00004D720000}"/>
    <cellStyle name="Normal 381 3 5 3" xfId="29515" xr:uid="{00000000-0005-0000-0000-00004E720000}"/>
    <cellStyle name="Normal 381 3 6" xfId="29516" xr:uid="{00000000-0005-0000-0000-00004F720000}"/>
    <cellStyle name="Normal 381 4" xfId="29517" xr:uid="{00000000-0005-0000-0000-000050720000}"/>
    <cellStyle name="Normal 381 4 2" xfId="29518" xr:uid="{00000000-0005-0000-0000-000051720000}"/>
    <cellStyle name="Normal 381 4 2 2" xfId="29519" xr:uid="{00000000-0005-0000-0000-000052720000}"/>
    <cellStyle name="Normal 381 4 3" xfId="29520" xr:uid="{00000000-0005-0000-0000-000053720000}"/>
    <cellStyle name="Normal 381 5" xfId="29521" xr:uid="{00000000-0005-0000-0000-000054720000}"/>
    <cellStyle name="Normal 381 5 2" xfId="29522" xr:uid="{00000000-0005-0000-0000-000055720000}"/>
    <cellStyle name="Normal 381 5 2 2" xfId="29523" xr:uid="{00000000-0005-0000-0000-000056720000}"/>
    <cellStyle name="Normal 381 5 3" xfId="29524" xr:uid="{00000000-0005-0000-0000-000057720000}"/>
    <cellStyle name="Normal 381 6" xfId="29525" xr:uid="{00000000-0005-0000-0000-000058720000}"/>
    <cellStyle name="Normal 381 6 2" xfId="29526" xr:uid="{00000000-0005-0000-0000-000059720000}"/>
    <cellStyle name="Normal 381 6 2 2" xfId="29527" xr:uid="{00000000-0005-0000-0000-00005A720000}"/>
    <cellStyle name="Normal 381 6 3" xfId="29528" xr:uid="{00000000-0005-0000-0000-00005B720000}"/>
    <cellStyle name="Normal 381 7" xfId="29529" xr:uid="{00000000-0005-0000-0000-00005C720000}"/>
    <cellStyle name="Normal 382" xfId="29530" xr:uid="{00000000-0005-0000-0000-00005D720000}"/>
    <cellStyle name="Normal 382 2" xfId="29531" xr:uid="{00000000-0005-0000-0000-00005E720000}"/>
    <cellStyle name="Normal 382 2 2" xfId="29532" xr:uid="{00000000-0005-0000-0000-00005F720000}"/>
    <cellStyle name="Normal 382 2 2 2" xfId="29533" xr:uid="{00000000-0005-0000-0000-000060720000}"/>
    <cellStyle name="Normal 382 2 3" xfId="29534" xr:uid="{00000000-0005-0000-0000-000061720000}"/>
    <cellStyle name="Normal 382 2 3 2" xfId="29535" xr:uid="{00000000-0005-0000-0000-000062720000}"/>
    <cellStyle name="Normal 382 2 3 2 2" xfId="29536" xr:uid="{00000000-0005-0000-0000-000063720000}"/>
    <cellStyle name="Normal 382 2 3 3" xfId="29537" xr:uid="{00000000-0005-0000-0000-000064720000}"/>
    <cellStyle name="Normal 382 2 4" xfId="29538" xr:uid="{00000000-0005-0000-0000-000065720000}"/>
    <cellStyle name="Normal 382 2 4 2" xfId="29539" xr:uid="{00000000-0005-0000-0000-000066720000}"/>
    <cellStyle name="Normal 382 2 4 2 2" xfId="29540" xr:uid="{00000000-0005-0000-0000-000067720000}"/>
    <cellStyle name="Normal 382 2 4 3" xfId="29541" xr:uid="{00000000-0005-0000-0000-000068720000}"/>
    <cellStyle name="Normal 382 2 5" xfId="29542" xr:uid="{00000000-0005-0000-0000-000069720000}"/>
    <cellStyle name="Normal 382 3" xfId="29543" xr:uid="{00000000-0005-0000-0000-00006A720000}"/>
    <cellStyle name="Normal 382 3 2" xfId="29544" xr:uid="{00000000-0005-0000-0000-00006B720000}"/>
    <cellStyle name="Normal 382 3 2 2" xfId="29545" xr:uid="{00000000-0005-0000-0000-00006C720000}"/>
    <cellStyle name="Normal 382 3 2 2 2" xfId="29546" xr:uid="{00000000-0005-0000-0000-00006D720000}"/>
    <cellStyle name="Normal 382 3 2 3" xfId="29547" xr:uid="{00000000-0005-0000-0000-00006E720000}"/>
    <cellStyle name="Normal 382 3 2 3 2" xfId="29548" xr:uid="{00000000-0005-0000-0000-00006F720000}"/>
    <cellStyle name="Normal 382 3 2 3 2 2" xfId="29549" xr:uid="{00000000-0005-0000-0000-000070720000}"/>
    <cellStyle name="Normal 382 3 2 3 3" xfId="29550" xr:uid="{00000000-0005-0000-0000-000071720000}"/>
    <cellStyle name="Normal 382 3 2 4" xfId="29551" xr:uid="{00000000-0005-0000-0000-000072720000}"/>
    <cellStyle name="Normal 382 3 3" xfId="29552" xr:uid="{00000000-0005-0000-0000-000073720000}"/>
    <cellStyle name="Normal 382 3 3 2" xfId="29553" xr:uid="{00000000-0005-0000-0000-000074720000}"/>
    <cellStyle name="Normal 382 3 3 2 2" xfId="29554" xr:uid="{00000000-0005-0000-0000-000075720000}"/>
    <cellStyle name="Normal 382 3 3 3" xfId="29555" xr:uid="{00000000-0005-0000-0000-000076720000}"/>
    <cellStyle name="Normal 382 3 4" xfId="29556" xr:uid="{00000000-0005-0000-0000-000077720000}"/>
    <cellStyle name="Normal 382 3 4 2" xfId="29557" xr:uid="{00000000-0005-0000-0000-000078720000}"/>
    <cellStyle name="Normal 382 3 4 2 2" xfId="29558" xr:uid="{00000000-0005-0000-0000-000079720000}"/>
    <cellStyle name="Normal 382 3 4 3" xfId="29559" xr:uid="{00000000-0005-0000-0000-00007A720000}"/>
    <cellStyle name="Normal 382 3 5" xfId="29560" xr:uid="{00000000-0005-0000-0000-00007B720000}"/>
    <cellStyle name="Normal 382 3 5 2" xfId="29561" xr:uid="{00000000-0005-0000-0000-00007C720000}"/>
    <cellStyle name="Normal 382 3 5 2 2" xfId="29562" xr:uid="{00000000-0005-0000-0000-00007D720000}"/>
    <cellStyle name="Normal 382 3 5 3" xfId="29563" xr:uid="{00000000-0005-0000-0000-00007E720000}"/>
    <cellStyle name="Normal 382 3 6" xfId="29564" xr:uid="{00000000-0005-0000-0000-00007F720000}"/>
    <cellStyle name="Normal 382 4" xfId="29565" xr:uid="{00000000-0005-0000-0000-000080720000}"/>
    <cellStyle name="Normal 382 4 2" xfId="29566" xr:uid="{00000000-0005-0000-0000-000081720000}"/>
    <cellStyle name="Normal 382 4 2 2" xfId="29567" xr:uid="{00000000-0005-0000-0000-000082720000}"/>
    <cellStyle name="Normal 382 4 3" xfId="29568" xr:uid="{00000000-0005-0000-0000-000083720000}"/>
    <cellStyle name="Normal 382 5" xfId="29569" xr:uid="{00000000-0005-0000-0000-000084720000}"/>
    <cellStyle name="Normal 382 5 2" xfId="29570" xr:uid="{00000000-0005-0000-0000-000085720000}"/>
    <cellStyle name="Normal 382 5 2 2" xfId="29571" xr:uid="{00000000-0005-0000-0000-000086720000}"/>
    <cellStyle name="Normal 382 5 3" xfId="29572" xr:uid="{00000000-0005-0000-0000-000087720000}"/>
    <cellStyle name="Normal 382 6" xfId="29573" xr:uid="{00000000-0005-0000-0000-000088720000}"/>
    <cellStyle name="Normal 382 6 2" xfId="29574" xr:uid="{00000000-0005-0000-0000-000089720000}"/>
    <cellStyle name="Normal 382 6 2 2" xfId="29575" xr:uid="{00000000-0005-0000-0000-00008A720000}"/>
    <cellStyle name="Normal 382 6 3" xfId="29576" xr:uid="{00000000-0005-0000-0000-00008B720000}"/>
    <cellStyle name="Normal 382 7" xfId="29577" xr:uid="{00000000-0005-0000-0000-00008C720000}"/>
    <cellStyle name="Normal 383" xfId="29578" xr:uid="{00000000-0005-0000-0000-00008D720000}"/>
    <cellStyle name="Normal 383 2" xfId="29579" xr:uid="{00000000-0005-0000-0000-00008E720000}"/>
    <cellStyle name="Normal 383 2 2" xfId="29580" xr:uid="{00000000-0005-0000-0000-00008F720000}"/>
    <cellStyle name="Normal 383 2 2 2" xfId="29581" xr:uid="{00000000-0005-0000-0000-000090720000}"/>
    <cellStyle name="Normal 383 2 3" xfId="29582" xr:uid="{00000000-0005-0000-0000-000091720000}"/>
    <cellStyle name="Normal 383 2 3 2" xfId="29583" xr:uid="{00000000-0005-0000-0000-000092720000}"/>
    <cellStyle name="Normal 383 2 3 2 2" xfId="29584" xr:uid="{00000000-0005-0000-0000-000093720000}"/>
    <cellStyle name="Normal 383 2 3 3" xfId="29585" xr:uid="{00000000-0005-0000-0000-000094720000}"/>
    <cellStyle name="Normal 383 2 4" xfId="29586" xr:uid="{00000000-0005-0000-0000-000095720000}"/>
    <cellStyle name="Normal 383 2 4 2" xfId="29587" xr:uid="{00000000-0005-0000-0000-000096720000}"/>
    <cellStyle name="Normal 383 2 4 2 2" xfId="29588" xr:uid="{00000000-0005-0000-0000-000097720000}"/>
    <cellStyle name="Normal 383 2 4 3" xfId="29589" xr:uid="{00000000-0005-0000-0000-000098720000}"/>
    <cellStyle name="Normal 383 2 5" xfId="29590" xr:uid="{00000000-0005-0000-0000-000099720000}"/>
    <cellStyle name="Normal 383 3" xfId="29591" xr:uid="{00000000-0005-0000-0000-00009A720000}"/>
    <cellStyle name="Normal 383 3 2" xfId="29592" xr:uid="{00000000-0005-0000-0000-00009B720000}"/>
    <cellStyle name="Normal 383 3 2 2" xfId="29593" xr:uid="{00000000-0005-0000-0000-00009C720000}"/>
    <cellStyle name="Normal 383 3 2 2 2" xfId="29594" xr:uid="{00000000-0005-0000-0000-00009D720000}"/>
    <cellStyle name="Normal 383 3 2 3" xfId="29595" xr:uid="{00000000-0005-0000-0000-00009E720000}"/>
    <cellStyle name="Normal 383 3 2 3 2" xfId="29596" xr:uid="{00000000-0005-0000-0000-00009F720000}"/>
    <cellStyle name="Normal 383 3 2 3 2 2" xfId="29597" xr:uid="{00000000-0005-0000-0000-0000A0720000}"/>
    <cellStyle name="Normal 383 3 2 3 3" xfId="29598" xr:uid="{00000000-0005-0000-0000-0000A1720000}"/>
    <cellStyle name="Normal 383 3 2 4" xfId="29599" xr:uid="{00000000-0005-0000-0000-0000A2720000}"/>
    <cellStyle name="Normal 383 3 3" xfId="29600" xr:uid="{00000000-0005-0000-0000-0000A3720000}"/>
    <cellStyle name="Normal 383 3 3 2" xfId="29601" xr:uid="{00000000-0005-0000-0000-0000A4720000}"/>
    <cellStyle name="Normal 383 3 3 2 2" xfId="29602" xr:uid="{00000000-0005-0000-0000-0000A5720000}"/>
    <cellStyle name="Normal 383 3 3 3" xfId="29603" xr:uid="{00000000-0005-0000-0000-0000A6720000}"/>
    <cellStyle name="Normal 383 3 4" xfId="29604" xr:uid="{00000000-0005-0000-0000-0000A7720000}"/>
    <cellStyle name="Normal 383 3 4 2" xfId="29605" xr:uid="{00000000-0005-0000-0000-0000A8720000}"/>
    <cellStyle name="Normal 383 3 4 2 2" xfId="29606" xr:uid="{00000000-0005-0000-0000-0000A9720000}"/>
    <cellStyle name="Normal 383 3 4 3" xfId="29607" xr:uid="{00000000-0005-0000-0000-0000AA720000}"/>
    <cellStyle name="Normal 383 3 5" xfId="29608" xr:uid="{00000000-0005-0000-0000-0000AB720000}"/>
    <cellStyle name="Normal 383 3 5 2" xfId="29609" xr:uid="{00000000-0005-0000-0000-0000AC720000}"/>
    <cellStyle name="Normal 383 3 5 2 2" xfId="29610" xr:uid="{00000000-0005-0000-0000-0000AD720000}"/>
    <cellStyle name="Normal 383 3 5 3" xfId="29611" xr:uid="{00000000-0005-0000-0000-0000AE720000}"/>
    <cellStyle name="Normal 383 3 6" xfId="29612" xr:uid="{00000000-0005-0000-0000-0000AF720000}"/>
    <cellStyle name="Normal 383 4" xfId="29613" xr:uid="{00000000-0005-0000-0000-0000B0720000}"/>
    <cellStyle name="Normal 383 4 2" xfId="29614" xr:uid="{00000000-0005-0000-0000-0000B1720000}"/>
    <cellStyle name="Normal 383 4 2 2" xfId="29615" xr:uid="{00000000-0005-0000-0000-0000B2720000}"/>
    <cellStyle name="Normal 383 4 3" xfId="29616" xr:uid="{00000000-0005-0000-0000-0000B3720000}"/>
    <cellStyle name="Normal 383 5" xfId="29617" xr:uid="{00000000-0005-0000-0000-0000B4720000}"/>
    <cellStyle name="Normal 383 5 2" xfId="29618" xr:uid="{00000000-0005-0000-0000-0000B5720000}"/>
    <cellStyle name="Normal 383 5 2 2" xfId="29619" xr:uid="{00000000-0005-0000-0000-0000B6720000}"/>
    <cellStyle name="Normal 383 5 3" xfId="29620" xr:uid="{00000000-0005-0000-0000-0000B7720000}"/>
    <cellStyle name="Normal 383 6" xfId="29621" xr:uid="{00000000-0005-0000-0000-0000B8720000}"/>
    <cellStyle name="Normal 383 6 2" xfId="29622" xr:uid="{00000000-0005-0000-0000-0000B9720000}"/>
    <cellStyle name="Normal 383 6 2 2" xfId="29623" xr:uid="{00000000-0005-0000-0000-0000BA720000}"/>
    <cellStyle name="Normal 383 6 3" xfId="29624" xr:uid="{00000000-0005-0000-0000-0000BB720000}"/>
    <cellStyle name="Normal 383 7" xfId="29625" xr:uid="{00000000-0005-0000-0000-0000BC720000}"/>
    <cellStyle name="Normal 384" xfId="29626" xr:uid="{00000000-0005-0000-0000-0000BD720000}"/>
    <cellStyle name="Normal 384 2" xfId="29627" xr:uid="{00000000-0005-0000-0000-0000BE720000}"/>
    <cellStyle name="Normal 384 2 2" xfId="29628" xr:uid="{00000000-0005-0000-0000-0000BF720000}"/>
    <cellStyle name="Normal 384 2 2 2" xfId="29629" xr:uid="{00000000-0005-0000-0000-0000C0720000}"/>
    <cellStyle name="Normal 384 2 3" xfId="29630" xr:uid="{00000000-0005-0000-0000-0000C1720000}"/>
    <cellStyle name="Normal 384 2 3 2" xfId="29631" xr:uid="{00000000-0005-0000-0000-0000C2720000}"/>
    <cellStyle name="Normal 384 2 3 2 2" xfId="29632" xr:uid="{00000000-0005-0000-0000-0000C3720000}"/>
    <cellStyle name="Normal 384 2 3 3" xfId="29633" xr:uid="{00000000-0005-0000-0000-0000C4720000}"/>
    <cellStyle name="Normal 384 2 4" xfId="29634" xr:uid="{00000000-0005-0000-0000-0000C5720000}"/>
    <cellStyle name="Normal 384 2 4 2" xfId="29635" xr:uid="{00000000-0005-0000-0000-0000C6720000}"/>
    <cellStyle name="Normal 384 2 4 2 2" xfId="29636" xr:uid="{00000000-0005-0000-0000-0000C7720000}"/>
    <cellStyle name="Normal 384 2 4 3" xfId="29637" xr:uid="{00000000-0005-0000-0000-0000C8720000}"/>
    <cellStyle name="Normal 384 2 5" xfId="29638" xr:uid="{00000000-0005-0000-0000-0000C9720000}"/>
    <cellStyle name="Normal 384 3" xfId="29639" xr:uid="{00000000-0005-0000-0000-0000CA720000}"/>
    <cellStyle name="Normal 384 3 2" xfId="29640" xr:uid="{00000000-0005-0000-0000-0000CB720000}"/>
    <cellStyle name="Normal 384 3 2 2" xfId="29641" xr:uid="{00000000-0005-0000-0000-0000CC720000}"/>
    <cellStyle name="Normal 384 3 2 2 2" xfId="29642" xr:uid="{00000000-0005-0000-0000-0000CD720000}"/>
    <cellStyle name="Normal 384 3 2 3" xfId="29643" xr:uid="{00000000-0005-0000-0000-0000CE720000}"/>
    <cellStyle name="Normal 384 3 2 3 2" xfId="29644" xr:uid="{00000000-0005-0000-0000-0000CF720000}"/>
    <cellStyle name="Normal 384 3 2 3 2 2" xfId="29645" xr:uid="{00000000-0005-0000-0000-0000D0720000}"/>
    <cellStyle name="Normal 384 3 2 3 3" xfId="29646" xr:uid="{00000000-0005-0000-0000-0000D1720000}"/>
    <cellStyle name="Normal 384 3 2 4" xfId="29647" xr:uid="{00000000-0005-0000-0000-0000D2720000}"/>
    <cellStyle name="Normal 384 3 3" xfId="29648" xr:uid="{00000000-0005-0000-0000-0000D3720000}"/>
    <cellStyle name="Normal 384 3 3 2" xfId="29649" xr:uid="{00000000-0005-0000-0000-0000D4720000}"/>
    <cellStyle name="Normal 384 3 3 2 2" xfId="29650" xr:uid="{00000000-0005-0000-0000-0000D5720000}"/>
    <cellStyle name="Normal 384 3 3 3" xfId="29651" xr:uid="{00000000-0005-0000-0000-0000D6720000}"/>
    <cellStyle name="Normal 384 3 4" xfId="29652" xr:uid="{00000000-0005-0000-0000-0000D7720000}"/>
    <cellStyle name="Normal 384 3 4 2" xfId="29653" xr:uid="{00000000-0005-0000-0000-0000D8720000}"/>
    <cellStyle name="Normal 384 3 4 2 2" xfId="29654" xr:uid="{00000000-0005-0000-0000-0000D9720000}"/>
    <cellStyle name="Normal 384 3 4 3" xfId="29655" xr:uid="{00000000-0005-0000-0000-0000DA720000}"/>
    <cellStyle name="Normal 384 3 5" xfId="29656" xr:uid="{00000000-0005-0000-0000-0000DB720000}"/>
    <cellStyle name="Normal 384 3 5 2" xfId="29657" xr:uid="{00000000-0005-0000-0000-0000DC720000}"/>
    <cellStyle name="Normal 384 3 5 2 2" xfId="29658" xr:uid="{00000000-0005-0000-0000-0000DD720000}"/>
    <cellStyle name="Normal 384 3 5 3" xfId="29659" xr:uid="{00000000-0005-0000-0000-0000DE720000}"/>
    <cellStyle name="Normal 384 3 6" xfId="29660" xr:uid="{00000000-0005-0000-0000-0000DF720000}"/>
    <cellStyle name="Normal 384 4" xfId="29661" xr:uid="{00000000-0005-0000-0000-0000E0720000}"/>
    <cellStyle name="Normal 384 4 2" xfId="29662" xr:uid="{00000000-0005-0000-0000-0000E1720000}"/>
    <cellStyle name="Normal 384 4 2 2" xfId="29663" xr:uid="{00000000-0005-0000-0000-0000E2720000}"/>
    <cellStyle name="Normal 384 4 3" xfId="29664" xr:uid="{00000000-0005-0000-0000-0000E3720000}"/>
    <cellStyle name="Normal 384 5" xfId="29665" xr:uid="{00000000-0005-0000-0000-0000E4720000}"/>
    <cellStyle name="Normal 384 5 2" xfId="29666" xr:uid="{00000000-0005-0000-0000-0000E5720000}"/>
    <cellStyle name="Normal 384 5 2 2" xfId="29667" xr:uid="{00000000-0005-0000-0000-0000E6720000}"/>
    <cellStyle name="Normal 384 5 3" xfId="29668" xr:uid="{00000000-0005-0000-0000-0000E7720000}"/>
    <cellStyle name="Normal 384 6" xfId="29669" xr:uid="{00000000-0005-0000-0000-0000E8720000}"/>
    <cellStyle name="Normal 384 6 2" xfId="29670" xr:uid="{00000000-0005-0000-0000-0000E9720000}"/>
    <cellStyle name="Normal 384 6 2 2" xfId="29671" xr:uid="{00000000-0005-0000-0000-0000EA720000}"/>
    <cellStyle name="Normal 384 6 3" xfId="29672" xr:uid="{00000000-0005-0000-0000-0000EB720000}"/>
    <cellStyle name="Normal 384 7" xfId="29673" xr:uid="{00000000-0005-0000-0000-0000EC720000}"/>
    <cellStyle name="Normal 385" xfId="29674" xr:uid="{00000000-0005-0000-0000-0000ED720000}"/>
    <cellStyle name="Normal 385 2" xfId="29675" xr:uid="{00000000-0005-0000-0000-0000EE720000}"/>
    <cellStyle name="Normal 385 2 2" xfId="29676" xr:uid="{00000000-0005-0000-0000-0000EF720000}"/>
    <cellStyle name="Normal 385 2 2 2" xfId="29677" xr:uid="{00000000-0005-0000-0000-0000F0720000}"/>
    <cellStyle name="Normal 385 2 3" xfId="29678" xr:uid="{00000000-0005-0000-0000-0000F1720000}"/>
    <cellStyle name="Normal 385 2 3 2" xfId="29679" xr:uid="{00000000-0005-0000-0000-0000F2720000}"/>
    <cellStyle name="Normal 385 2 3 2 2" xfId="29680" xr:uid="{00000000-0005-0000-0000-0000F3720000}"/>
    <cellStyle name="Normal 385 2 3 3" xfId="29681" xr:uid="{00000000-0005-0000-0000-0000F4720000}"/>
    <cellStyle name="Normal 385 2 4" xfId="29682" xr:uid="{00000000-0005-0000-0000-0000F5720000}"/>
    <cellStyle name="Normal 385 2 4 2" xfId="29683" xr:uid="{00000000-0005-0000-0000-0000F6720000}"/>
    <cellStyle name="Normal 385 2 4 2 2" xfId="29684" xr:uid="{00000000-0005-0000-0000-0000F7720000}"/>
    <cellStyle name="Normal 385 2 4 3" xfId="29685" xr:uid="{00000000-0005-0000-0000-0000F8720000}"/>
    <cellStyle name="Normal 385 2 5" xfId="29686" xr:uid="{00000000-0005-0000-0000-0000F9720000}"/>
    <cellStyle name="Normal 385 3" xfId="29687" xr:uid="{00000000-0005-0000-0000-0000FA720000}"/>
    <cellStyle name="Normal 385 3 2" xfId="29688" xr:uid="{00000000-0005-0000-0000-0000FB720000}"/>
    <cellStyle name="Normal 385 3 2 2" xfId="29689" xr:uid="{00000000-0005-0000-0000-0000FC720000}"/>
    <cellStyle name="Normal 385 3 2 2 2" xfId="29690" xr:uid="{00000000-0005-0000-0000-0000FD720000}"/>
    <cellStyle name="Normal 385 3 2 3" xfId="29691" xr:uid="{00000000-0005-0000-0000-0000FE720000}"/>
    <cellStyle name="Normal 385 3 2 3 2" xfId="29692" xr:uid="{00000000-0005-0000-0000-0000FF720000}"/>
    <cellStyle name="Normal 385 3 2 3 2 2" xfId="29693" xr:uid="{00000000-0005-0000-0000-000000730000}"/>
    <cellStyle name="Normal 385 3 2 3 3" xfId="29694" xr:uid="{00000000-0005-0000-0000-000001730000}"/>
    <cellStyle name="Normal 385 3 2 4" xfId="29695" xr:uid="{00000000-0005-0000-0000-000002730000}"/>
    <cellStyle name="Normal 385 3 3" xfId="29696" xr:uid="{00000000-0005-0000-0000-000003730000}"/>
    <cellStyle name="Normal 385 3 3 2" xfId="29697" xr:uid="{00000000-0005-0000-0000-000004730000}"/>
    <cellStyle name="Normal 385 3 3 2 2" xfId="29698" xr:uid="{00000000-0005-0000-0000-000005730000}"/>
    <cellStyle name="Normal 385 3 3 3" xfId="29699" xr:uid="{00000000-0005-0000-0000-000006730000}"/>
    <cellStyle name="Normal 385 3 4" xfId="29700" xr:uid="{00000000-0005-0000-0000-000007730000}"/>
    <cellStyle name="Normal 385 3 4 2" xfId="29701" xr:uid="{00000000-0005-0000-0000-000008730000}"/>
    <cellStyle name="Normal 385 3 4 2 2" xfId="29702" xr:uid="{00000000-0005-0000-0000-000009730000}"/>
    <cellStyle name="Normal 385 3 4 3" xfId="29703" xr:uid="{00000000-0005-0000-0000-00000A730000}"/>
    <cellStyle name="Normal 385 3 5" xfId="29704" xr:uid="{00000000-0005-0000-0000-00000B730000}"/>
    <cellStyle name="Normal 385 3 5 2" xfId="29705" xr:uid="{00000000-0005-0000-0000-00000C730000}"/>
    <cellStyle name="Normal 385 3 5 2 2" xfId="29706" xr:uid="{00000000-0005-0000-0000-00000D730000}"/>
    <cellStyle name="Normal 385 3 5 3" xfId="29707" xr:uid="{00000000-0005-0000-0000-00000E730000}"/>
    <cellStyle name="Normal 385 3 6" xfId="29708" xr:uid="{00000000-0005-0000-0000-00000F730000}"/>
    <cellStyle name="Normal 385 4" xfId="29709" xr:uid="{00000000-0005-0000-0000-000010730000}"/>
    <cellStyle name="Normal 385 4 2" xfId="29710" xr:uid="{00000000-0005-0000-0000-000011730000}"/>
    <cellStyle name="Normal 385 4 2 2" xfId="29711" xr:uid="{00000000-0005-0000-0000-000012730000}"/>
    <cellStyle name="Normal 385 4 3" xfId="29712" xr:uid="{00000000-0005-0000-0000-000013730000}"/>
    <cellStyle name="Normal 385 5" xfId="29713" xr:uid="{00000000-0005-0000-0000-000014730000}"/>
    <cellStyle name="Normal 385 5 2" xfId="29714" xr:uid="{00000000-0005-0000-0000-000015730000}"/>
    <cellStyle name="Normal 385 5 2 2" xfId="29715" xr:uid="{00000000-0005-0000-0000-000016730000}"/>
    <cellStyle name="Normal 385 5 3" xfId="29716" xr:uid="{00000000-0005-0000-0000-000017730000}"/>
    <cellStyle name="Normal 385 6" xfId="29717" xr:uid="{00000000-0005-0000-0000-000018730000}"/>
    <cellStyle name="Normal 385 6 2" xfId="29718" xr:uid="{00000000-0005-0000-0000-000019730000}"/>
    <cellStyle name="Normal 385 6 2 2" xfId="29719" xr:uid="{00000000-0005-0000-0000-00001A730000}"/>
    <cellStyle name="Normal 385 6 3" xfId="29720" xr:uid="{00000000-0005-0000-0000-00001B730000}"/>
    <cellStyle name="Normal 385 7" xfId="29721" xr:uid="{00000000-0005-0000-0000-00001C730000}"/>
    <cellStyle name="Normal 386" xfId="29722" xr:uid="{00000000-0005-0000-0000-00001D730000}"/>
    <cellStyle name="Normal 386 2" xfId="29723" xr:uid="{00000000-0005-0000-0000-00001E730000}"/>
    <cellStyle name="Normal 386 2 2" xfId="29724" xr:uid="{00000000-0005-0000-0000-00001F730000}"/>
    <cellStyle name="Normal 386 2 2 2" xfId="29725" xr:uid="{00000000-0005-0000-0000-000020730000}"/>
    <cellStyle name="Normal 386 2 3" xfId="29726" xr:uid="{00000000-0005-0000-0000-000021730000}"/>
    <cellStyle name="Normal 386 2 3 2" xfId="29727" xr:uid="{00000000-0005-0000-0000-000022730000}"/>
    <cellStyle name="Normal 386 2 3 2 2" xfId="29728" xr:uid="{00000000-0005-0000-0000-000023730000}"/>
    <cellStyle name="Normal 386 2 3 3" xfId="29729" xr:uid="{00000000-0005-0000-0000-000024730000}"/>
    <cellStyle name="Normal 386 2 4" xfId="29730" xr:uid="{00000000-0005-0000-0000-000025730000}"/>
    <cellStyle name="Normal 386 2 4 2" xfId="29731" xr:uid="{00000000-0005-0000-0000-000026730000}"/>
    <cellStyle name="Normal 386 2 4 2 2" xfId="29732" xr:uid="{00000000-0005-0000-0000-000027730000}"/>
    <cellStyle name="Normal 386 2 4 3" xfId="29733" xr:uid="{00000000-0005-0000-0000-000028730000}"/>
    <cellStyle name="Normal 386 2 5" xfId="29734" xr:uid="{00000000-0005-0000-0000-000029730000}"/>
    <cellStyle name="Normal 386 3" xfId="29735" xr:uid="{00000000-0005-0000-0000-00002A730000}"/>
    <cellStyle name="Normal 386 3 2" xfId="29736" xr:uid="{00000000-0005-0000-0000-00002B730000}"/>
    <cellStyle name="Normal 386 3 2 2" xfId="29737" xr:uid="{00000000-0005-0000-0000-00002C730000}"/>
    <cellStyle name="Normal 386 3 2 2 2" xfId="29738" xr:uid="{00000000-0005-0000-0000-00002D730000}"/>
    <cellStyle name="Normal 386 3 2 3" xfId="29739" xr:uid="{00000000-0005-0000-0000-00002E730000}"/>
    <cellStyle name="Normal 386 3 2 3 2" xfId="29740" xr:uid="{00000000-0005-0000-0000-00002F730000}"/>
    <cellStyle name="Normal 386 3 2 3 2 2" xfId="29741" xr:uid="{00000000-0005-0000-0000-000030730000}"/>
    <cellStyle name="Normal 386 3 2 3 3" xfId="29742" xr:uid="{00000000-0005-0000-0000-000031730000}"/>
    <cellStyle name="Normal 386 3 2 4" xfId="29743" xr:uid="{00000000-0005-0000-0000-000032730000}"/>
    <cellStyle name="Normal 386 3 3" xfId="29744" xr:uid="{00000000-0005-0000-0000-000033730000}"/>
    <cellStyle name="Normal 386 3 3 2" xfId="29745" xr:uid="{00000000-0005-0000-0000-000034730000}"/>
    <cellStyle name="Normal 386 3 3 2 2" xfId="29746" xr:uid="{00000000-0005-0000-0000-000035730000}"/>
    <cellStyle name="Normal 386 3 3 3" xfId="29747" xr:uid="{00000000-0005-0000-0000-000036730000}"/>
    <cellStyle name="Normal 386 3 4" xfId="29748" xr:uid="{00000000-0005-0000-0000-000037730000}"/>
    <cellStyle name="Normal 386 3 4 2" xfId="29749" xr:uid="{00000000-0005-0000-0000-000038730000}"/>
    <cellStyle name="Normal 386 3 4 2 2" xfId="29750" xr:uid="{00000000-0005-0000-0000-000039730000}"/>
    <cellStyle name="Normal 386 3 4 3" xfId="29751" xr:uid="{00000000-0005-0000-0000-00003A730000}"/>
    <cellStyle name="Normal 386 3 5" xfId="29752" xr:uid="{00000000-0005-0000-0000-00003B730000}"/>
    <cellStyle name="Normal 386 3 5 2" xfId="29753" xr:uid="{00000000-0005-0000-0000-00003C730000}"/>
    <cellStyle name="Normal 386 3 5 2 2" xfId="29754" xr:uid="{00000000-0005-0000-0000-00003D730000}"/>
    <cellStyle name="Normal 386 3 5 3" xfId="29755" xr:uid="{00000000-0005-0000-0000-00003E730000}"/>
    <cellStyle name="Normal 386 3 6" xfId="29756" xr:uid="{00000000-0005-0000-0000-00003F730000}"/>
    <cellStyle name="Normal 386 4" xfId="29757" xr:uid="{00000000-0005-0000-0000-000040730000}"/>
    <cellStyle name="Normal 386 4 2" xfId="29758" xr:uid="{00000000-0005-0000-0000-000041730000}"/>
    <cellStyle name="Normal 386 4 2 2" xfId="29759" xr:uid="{00000000-0005-0000-0000-000042730000}"/>
    <cellStyle name="Normal 386 4 3" xfId="29760" xr:uid="{00000000-0005-0000-0000-000043730000}"/>
    <cellStyle name="Normal 386 5" xfId="29761" xr:uid="{00000000-0005-0000-0000-000044730000}"/>
    <cellStyle name="Normal 386 5 2" xfId="29762" xr:uid="{00000000-0005-0000-0000-000045730000}"/>
    <cellStyle name="Normal 386 5 2 2" xfId="29763" xr:uid="{00000000-0005-0000-0000-000046730000}"/>
    <cellStyle name="Normal 386 5 3" xfId="29764" xr:uid="{00000000-0005-0000-0000-000047730000}"/>
    <cellStyle name="Normal 386 6" xfId="29765" xr:uid="{00000000-0005-0000-0000-000048730000}"/>
    <cellStyle name="Normal 386 6 2" xfId="29766" xr:uid="{00000000-0005-0000-0000-000049730000}"/>
    <cellStyle name="Normal 386 6 2 2" xfId="29767" xr:uid="{00000000-0005-0000-0000-00004A730000}"/>
    <cellStyle name="Normal 386 6 3" xfId="29768" xr:uid="{00000000-0005-0000-0000-00004B730000}"/>
    <cellStyle name="Normal 386 7" xfId="29769" xr:uid="{00000000-0005-0000-0000-00004C730000}"/>
    <cellStyle name="Normal 387" xfId="29770" xr:uid="{00000000-0005-0000-0000-00004D730000}"/>
    <cellStyle name="Normal 387 2" xfId="29771" xr:uid="{00000000-0005-0000-0000-00004E730000}"/>
    <cellStyle name="Normal 387 2 2" xfId="29772" xr:uid="{00000000-0005-0000-0000-00004F730000}"/>
    <cellStyle name="Normal 387 2 2 2" xfId="29773" xr:uid="{00000000-0005-0000-0000-000050730000}"/>
    <cellStyle name="Normal 387 2 3" xfId="29774" xr:uid="{00000000-0005-0000-0000-000051730000}"/>
    <cellStyle name="Normal 387 2 3 2" xfId="29775" xr:uid="{00000000-0005-0000-0000-000052730000}"/>
    <cellStyle name="Normal 387 2 3 2 2" xfId="29776" xr:uid="{00000000-0005-0000-0000-000053730000}"/>
    <cellStyle name="Normal 387 2 3 3" xfId="29777" xr:uid="{00000000-0005-0000-0000-000054730000}"/>
    <cellStyle name="Normal 387 2 4" xfId="29778" xr:uid="{00000000-0005-0000-0000-000055730000}"/>
    <cellStyle name="Normal 387 2 4 2" xfId="29779" xr:uid="{00000000-0005-0000-0000-000056730000}"/>
    <cellStyle name="Normal 387 2 4 2 2" xfId="29780" xr:uid="{00000000-0005-0000-0000-000057730000}"/>
    <cellStyle name="Normal 387 2 4 3" xfId="29781" xr:uid="{00000000-0005-0000-0000-000058730000}"/>
    <cellStyle name="Normal 387 2 5" xfId="29782" xr:uid="{00000000-0005-0000-0000-000059730000}"/>
    <cellStyle name="Normal 387 3" xfId="29783" xr:uid="{00000000-0005-0000-0000-00005A730000}"/>
    <cellStyle name="Normal 387 3 2" xfId="29784" xr:uid="{00000000-0005-0000-0000-00005B730000}"/>
    <cellStyle name="Normal 387 3 2 2" xfId="29785" xr:uid="{00000000-0005-0000-0000-00005C730000}"/>
    <cellStyle name="Normal 387 3 2 2 2" xfId="29786" xr:uid="{00000000-0005-0000-0000-00005D730000}"/>
    <cellStyle name="Normal 387 3 2 3" xfId="29787" xr:uid="{00000000-0005-0000-0000-00005E730000}"/>
    <cellStyle name="Normal 387 3 2 3 2" xfId="29788" xr:uid="{00000000-0005-0000-0000-00005F730000}"/>
    <cellStyle name="Normal 387 3 2 3 2 2" xfId="29789" xr:uid="{00000000-0005-0000-0000-000060730000}"/>
    <cellStyle name="Normal 387 3 2 3 3" xfId="29790" xr:uid="{00000000-0005-0000-0000-000061730000}"/>
    <cellStyle name="Normal 387 3 2 4" xfId="29791" xr:uid="{00000000-0005-0000-0000-000062730000}"/>
    <cellStyle name="Normal 387 3 3" xfId="29792" xr:uid="{00000000-0005-0000-0000-000063730000}"/>
    <cellStyle name="Normal 387 3 3 2" xfId="29793" xr:uid="{00000000-0005-0000-0000-000064730000}"/>
    <cellStyle name="Normal 387 3 3 2 2" xfId="29794" xr:uid="{00000000-0005-0000-0000-000065730000}"/>
    <cellStyle name="Normal 387 3 3 3" xfId="29795" xr:uid="{00000000-0005-0000-0000-000066730000}"/>
    <cellStyle name="Normal 387 3 4" xfId="29796" xr:uid="{00000000-0005-0000-0000-000067730000}"/>
    <cellStyle name="Normal 387 3 4 2" xfId="29797" xr:uid="{00000000-0005-0000-0000-000068730000}"/>
    <cellStyle name="Normal 387 3 4 2 2" xfId="29798" xr:uid="{00000000-0005-0000-0000-000069730000}"/>
    <cellStyle name="Normal 387 3 4 3" xfId="29799" xr:uid="{00000000-0005-0000-0000-00006A730000}"/>
    <cellStyle name="Normal 387 3 5" xfId="29800" xr:uid="{00000000-0005-0000-0000-00006B730000}"/>
    <cellStyle name="Normal 387 3 5 2" xfId="29801" xr:uid="{00000000-0005-0000-0000-00006C730000}"/>
    <cellStyle name="Normal 387 3 5 2 2" xfId="29802" xr:uid="{00000000-0005-0000-0000-00006D730000}"/>
    <cellStyle name="Normal 387 3 5 3" xfId="29803" xr:uid="{00000000-0005-0000-0000-00006E730000}"/>
    <cellStyle name="Normal 387 3 6" xfId="29804" xr:uid="{00000000-0005-0000-0000-00006F730000}"/>
    <cellStyle name="Normal 387 4" xfId="29805" xr:uid="{00000000-0005-0000-0000-000070730000}"/>
    <cellStyle name="Normal 387 4 2" xfId="29806" xr:uid="{00000000-0005-0000-0000-000071730000}"/>
    <cellStyle name="Normal 387 4 2 2" xfId="29807" xr:uid="{00000000-0005-0000-0000-000072730000}"/>
    <cellStyle name="Normal 387 4 3" xfId="29808" xr:uid="{00000000-0005-0000-0000-000073730000}"/>
    <cellStyle name="Normal 387 5" xfId="29809" xr:uid="{00000000-0005-0000-0000-000074730000}"/>
    <cellStyle name="Normal 387 5 2" xfId="29810" xr:uid="{00000000-0005-0000-0000-000075730000}"/>
    <cellStyle name="Normal 387 5 2 2" xfId="29811" xr:uid="{00000000-0005-0000-0000-000076730000}"/>
    <cellStyle name="Normal 387 5 3" xfId="29812" xr:uid="{00000000-0005-0000-0000-000077730000}"/>
    <cellStyle name="Normal 387 6" xfId="29813" xr:uid="{00000000-0005-0000-0000-000078730000}"/>
    <cellStyle name="Normal 387 6 2" xfId="29814" xr:uid="{00000000-0005-0000-0000-000079730000}"/>
    <cellStyle name="Normal 387 6 2 2" xfId="29815" xr:uid="{00000000-0005-0000-0000-00007A730000}"/>
    <cellStyle name="Normal 387 6 3" xfId="29816" xr:uid="{00000000-0005-0000-0000-00007B730000}"/>
    <cellStyle name="Normal 387 7" xfId="29817" xr:uid="{00000000-0005-0000-0000-00007C730000}"/>
    <cellStyle name="Normal 388" xfId="29818" xr:uid="{00000000-0005-0000-0000-00007D730000}"/>
    <cellStyle name="Normal 388 2" xfId="29819" xr:uid="{00000000-0005-0000-0000-00007E730000}"/>
    <cellStyle name="Normal 388 2 2" xfId="29820" xr:uid="{00000000-0005-0000-0000-00007F730000}"/>
    <cellStyle name="Normal 388 2 2 2" xfId="29821" xr:uid="{00000000-0005-0000-0000-000080730000}"/>
    <cellStyle name="Normal 388 2 3" xfId="29822" xr:uid="{00000000-0005-0000-0000-000081730000}"/>
    <cellStyle name="Normal 388 2 3 2" xfId="29823" xr:uid="{00000000-0005-0000-0000-000082730000}"/>
    <cellStyle name="Normal 388 2 3 2 2" xfId="29824" xr:uid="{00000000-0005-0000-0000-000083730000}"/>
    <cellStyle name="Normal 388 2 3 3" xfId="29825" xr:uid="{00000000-0005-0000-0000-000084730000}"/>
    <cellStyle name="Normal 388 2 4" xfId="29826" xr:uid="{00000000-0005-0000-0000-000085730000}"/>
    <cellStyle name="Normal 388 2 4 2" xfId="29827" xr:uid="{00000000-0005-0000-0000-000086730000}"/>
    <cellStyle name="Normal 388 2 4 2 2" xfId="29828" xr:uid="{00000000-0005-0000-0000-000087730000}"/>
    <cellStyle name="Normal 388 2 4 3" xfId="29829" xr:uid="{00000000-0005-0000-0000-000088730000}"/>
    <cellStyle name="Normal 388 2 5" xfId="29830" xr:uid="{00000000-0005-0000-0000-000089730000}"/>
    <cellStyle name="Normal 388 3" xfId="29831" xr:uid="{00000000-0005-0000-0000-00008A730000}"/>
    <cellStyle name="Normal 388 3 2" xfId="29832" xr:uid="{00000000-0005-0000-0000-00008B730000}"/>
    <cellStyle name="Normal 388 3 2 2" xfId="29833" xr:uid="{00000000-0005-0000-0000-00008C730000}"/>
    <cellStyle name="Normal 388 3 2 2 2" xfId="29834" xr:uid="{00000000-0005-0000-0000-00008D730000}"/>
    <cellStyle name="Normal 388 3 2 3" xfId="29835" xr:uid="{00000000-0005-0000-0000-00008E730000}"/>
    <cellStyle name="Normal 388 3 2 3 2" xfId="29836" xr:uid="{00000000-0005-0000-0000-00008F730000}"/>
    <cellStyle name="Normal 388 3 2 3 2 2" xfId="29837" xr:uid="{00000000-0005-0000-0000-000090730000}"/>
    <cellStyle name="Normal 388 3 2 3 3" xfId="29838" xr:uid="{00000000-0005-0000-0000-000091730000}"/>
    <cellStyle name="Normal 388 3 2 4" xfId="29839" xr:uid="{00000000-0005-0000-0000-000092730000}"/>
    <cellStyle name="Normal 388 3 3" xfId="29840" xr:uid="{00000000-0005-0000-0000-000093730000}"/>
    <cellStyle name="Normal 388 3 3 2" xfId="29841" xr:uid="{00000000-0005-0000-0000-000094730000}"/>
    <cellStyle name="Normal 388 3 3 2 2" xfId="29842" xr:uid="{00000000-0005-0000-0000-000095730000}"/>
    <cellStyle name="Normal 388 3 3 3" xfId="29843" xr:uid="{00000000-0005-0000-0000-000096730000}"/>
    <cellStyle name="Normal 388 3 4" xfId="29844" xr:uid="{00000000-0005-0000-0000-000097730000}"/>
    <cellStyle name="Normal 388 3 4 2" xfId="29845" xr:uid="{00000000-0005-0000-0000-000098730000}"/>
    <cellStyle name="Normal 388 3 4 2 2" xfId="29846" xr:uid="{00000000-0005-0000-0000-000099730000}"/>
    <cellStyle name="Normal 388 3 4 3" xfId="29847" xr:uid="{00000000-0005-0000-0000-00009A730000}"/>
    <cellStyle name="Normal 388 3 5" xfId="29848" xr:uid="{00000000-0005-0000-0000-00009B730000}"/>
    <cellStyle name="Normal 388 3 5 2" xfId="29849" xr:uid="{00000000-0005-0000-0000-00009C730000}"/>
    <cellStyle name="Normal 388 3 5 2 2" xfId="29850" xr:uid="{00000000-0005-0000-0000-00009D730000}"/>
    <cellStyle name="Normal 388 3 5 3" xfId="29851" xr:uid="{00000000-0005-0000-0000-00009E730000}"/>
    <cellStyle name="Normal 388 3 6" xfId="29852" xr:uid="{00000000-0005-0000-0000-00009F730000}"/>
    <cellStyle name="Normal 388 4" xfId="29853" xr:uid="{00000000-0005-0000-0000-0000A0730000}"/>
    <cellStyle name="Normal 388 4 2" xfId="29854" xr:uid="{00000000-0005-0000-0000-0000A1730000}"/>
    <cellStyle name="Normal 388 4 2 2" xfId="29855" xr:uid="{00000000-0005-0000-0000-0000A2730000}"/>
    <cellStyle name="Normal 388 4 3" xfId="29856" xr:uid="{00000000-0005-0000-0000-0000A3730000}"/>
    <cellStyle name="Normal 388 5" xfId="29857" xr:uid="{00000000-0005-0000-0000-0000A4730000}"/>
    <cellStyle name="Normal 388 5 2" xfId="29858" xr:uid="{00000000-0005-0000-0000-0000A5730000}"/>
    <cellStyle name="Normal 388 5 2 2" xfId="29859" xr:uid="{00000000-0005-0000-0000-0000A6730000}"/>
    <cellStyle name="Normal 388 5 3" xfId="29860" xr:uid="{00000000-0005-0000-0000-0000A7730000}"/>
    <cellStyle name="Normal 388 6" xfId="29861" xr:uid="{00000000-0005-0000-0000-0000A8730000}"/>
    <cellStyle name="Normal 388 6 2" xfId="29862" xr:uid="{00000000-0005-0000-0000-0000A9730000}"/>
    <cellStyle name="Normal 388 6 2 2" xfId="29863" xr:uid="{00000000-0005-0000-0000-0000AA730000}"/>
    <cellStyle name="Normal 388 6 3" xfId="29864" xr:uid="{00000000-0005-0000-0000-0000AB730000}"/>
    <cellStyle name="Normal 388 7" xfId="29865" xr:uid="{00000000-0005-0000-0000-0000AC730000}"/>
    <cellStyle name="Normal 389" xfId="29866" xr:uid="{00000000-0005-0000-0000-0000AD730000}"/>
    <cellStyle name="Normal 389 2" xfId="29867" xr:uid="{00000000-0005-0000-0000-0000AE730000}"/>
    <cellStyle name="Normal 389 2 2" xfId="29868" xr:uid="{00000000-0005-0000-0000-0000AF730000}"/>
    <cellStyle name="Normal 389 2 2 2" xfId="29869" xr:uid="{00000000-0005-0000-0000-0000B0730000}"/>
    <cellStyle name="Normal 389 2 3" xfId="29870" xr:uid="{00000000-0005-0000-0000-0000B1730000}"/>
    <cellStyle name="Normal 389 2 3 2" xfId="29871" xr:uid="{00000000-0005-0000-0000-0000B2730000}"/>
    <cellStyle name="Normal 389 2 3 2 2" xfId="29872" xr:uid="{00000000-0005-0000-0000-0000B3730000}"/>
    <cellStyle name="Normal 389 2 3 3" xfId="29873" xr:uid="{00000000-0005-0000-0000-0000B4730000}"/>
    <cellStyle name="Normal 389 2 4" xfId="29874" xr:uid="{00000000-0005-0000-0000-0000B5730000}"/>
    <cellStyle name="Normal 389 2 4 2" xfId="29875" xr:uid="{00000000-0005-0000-0000-0000B6730000}"/>
    <cellStyle name="Normal 389 2 4 2 2" xfId="29876" xr:uid="{00000000-0005-0000-0000-0000B7730000}"/>
    <cellStyle name="Normal 389 2 4 3" xfId="29877" xr:uid="{00000000-0005-0000-0000-0000B8730000}"/>
    <cellStyle name="Normal 389 2 5" xfId="29878" xr:uid="{00000000-0005-0000-0000-0000B9730000}"/>
    <cellStyle name="Normal 389 3" xfId="29879" xr:uid="{00000000-0005-0000-0000-0000BA730000}"/>
    <cellStyle name="Normal 389 3 2" xfId="29880" xr:uid="{00000000-0005-0000-0000-0000BB730000}"/>
    <cellStyle name="Normal 389 3 2 2" xfId="29881" xr:uid="{00000000-0005-0000-0000-0000BC730000}"/>
    <cellStyle name="Normal 389 3 2 2 2" xfId="29882" xr:uid="{00000000-0005-0000-0000-0000BD730000}"/>
    <cellStyle name="Normal 389 3 2 3" xfId="29883" xr:uid="{00000000-0005-0000-0000-0000BE730000}"/>
    <cellStyle name="Normal 389 3 2 3 2" xfId="29884" xr:uid="{00000000-0005-0000-0000-0000BF730000}"/>
    <cellStyle name="Normal 389 3 2 3 2 2" xfId="29885" xr:uid="{00000000-0005-0000-0000-0000C0730000}"/>
    <cellStyle name="Normal 389 3 2 3 3" xfId="29886" xr:uid="{00000000-0005-0000-0000-0000C1730000}"/>
    <cellStyle name="Normal 389 3 2 4" xfId="29887" xr:uid="{00000000-0005-0000-0000-0000C2730000}"/>
    <cellStyle name="Normal 389 3 3" xfId="29888" xr:uid="{00000000-0005-0000-0000-0000C3730000}"/>
    <cellStyle name="Normal 389 3 3 2" xfId="29889" xr:uid="{00000000-0005-0000-0000-0000C4730000}"/>
    <cellStyle name="Normal 389 3 3 2 2" xfId="29890" xr:uid="{00000000-0005-0000-0000-0000C5730000}"/>
    <cellStyle name="Normal 389 3 3 3" xfId="29891" xr:uid="{00000000-0005-0000-0000-0000C6730000}"/>
    <cellStyle name="Normal 389 3 4" xfId="29892" xr:uid="{00000000-0005-0000-0000-0000C7730000}"/>
    <cellStyle name="Normal 389 3 4 2" xfId="29893" xr:uid="{00000000-0005-0000-0000-0000C8730000}"/>
    <cellStyle name="Normal 389 3 4 2 2" xfId="29894" xr:uid="{00000000-0005-0000-0000-0000C9730000}"/>
    <cellStyle name="Normal 389 3 4 3" xfId="29895" xr:uid="{00000000-0005-0000-0000-0000CA730000}"/>
    <cellStyle name="Normal 389 3 5" xfId="29896" xr:uid="{00000000-0005-0000-0000-0000CB730000}"/>
    <cellStyle name="Normal 389 3 5 2" xfId="29897" xr:uid="{00000000-0005-0000-0000-0000CC730000}"/>
    <cellStyle name="Normal 389 3 5 2 2" xfId="29898" xr:uid="{00000000-0005-0000-0000-0000CD730000}"/>
    <cellStyle name="Normal 389 3 5 3" xfId="29899" xr:uid="{00000000-0005-0000-0000-0000CE730000}"/>
    <cellStyle name="Normal 389 3 6" xfId="29900" xr:uid="{00000000-0005-0000-0000-0000CF730000}"/>
    <cellStyle name="Normal 389 4" xfId="29901" xr:uid="{00000000-0005-0000-0000-0000D0730000}"/>
    <cellStyle name="Normal 389 4 2" xfId="29902" xr:uid="{00000000-0005-0000-0000-0000D1730000}"/>
    <cellStyle name="Normal 389 4 2 2" xfId="29903" xr:uid="{00000000-0005-0000-0000-0000D2730000}"/>
    <cellStyle name="Normal 389 4 3" xfId="29904" xr:uid="{00000000-0005-0000-0000-0000D3730000}"/>
    <cellStyle name="Normal 389 5" xfId="29905" xr:uid="{00000000-0005-0000-0000-0000D4730000}"/>
    <cellStyle name="Normal 389 5 2" xfId="29906" xr:uid="{00000000-0005-0000-0000-0000D5730000}"/>
    <cellStyle name="Normal 389 5 2 2" xfId="29907" xr:uid="{00000000-0005-0000-0000-0000D6730000}"/>
    <cellStyle name="Normal 389 5 3" xfId="29908" xr:uid="{00000000-0005-0000-0000-0000D7730000}"/>
    <cellStyle name="Normal 389 6" xfId="29909" xr:uid="{00000000-0005-0000-0000-0000D8730000}"/>
    <cellStyle name="Normal 389 6 2" xfId="29910" xr:uid="{00000000-0005-0000-0000-0000D9730000}"/>
    <cellStyle name="Normal 389 6 2 2" xfId="29911" xr:uid="{00000000-0005-0000-0000-0000DA730000}"/>
    <cellStyle name="Normal 389 6 3" xfId="29912" xr:uid="{00000000-0005-0000-0000-0000DB730000}"/>
    <cellStyle name="Normal 389 7" xfId="29913" xr:uid="{00000000-0005-0000-0000-0000DC730000}"/>
    <cellStyle name="Normal 39" xfId="29914" xr:uid="{00000000-0005-0000-0000-0000DD730000}"/>
    <cellStyle name="Normal 39 2" xfId="29915" xr:uid="{00000000-0005-0000-0000-0000DE730000}"/>
    <cellStyle name="Normal 39 2 2" xfId="29916" xr:uid="{00000000-0005-0000-0000-0000DF730000}"/>
    <cellStyle name="Normal 39 2 2 2" xfId="29917" xr:uid="{00000000-0005-0000-0000-0000E0730000}"/>
    <cellStyle name="Normal 39 2 2 2 2" xfId="29918" xr:uid="{00000000-0005-0000-0000-0000E1730000}"/>
    <cellStyle name="Normal 39 2 2 3" xfId="29919" xr:uid="{00000000-0005-0000-0000-0000E2730000}"/>
    <cellStyle name="Normal 39 2 2 3 2" xfId="29920" xr:uid="{00000000-0005-0000-0000-0000E3730000}"/>
    <cellStyle name="Normal 39 2 2 3 2 2" xfId="29921" xr:uid="{00000000-0005-0000-0000-0000E4730000}"/>
    <cellStyle name="Normal 39 2 2 3 3" xfId="29922" xr:uid="{00000000-0005-0000-0000-0000E5730000}"/>
    <cellStyle name="Normal 39 2 2 4" xfId="29923" xr:uid="{00000000-0005-0000-0000-0000E6730000}"/>
    <cellStyle name="Normal 39 2 2 4 2" xfId="29924" xr:uid="{00000000-0005-0000-0000-0000E7730000}"/>
    <cellStyle name="Normal 39 2 2 4 2 2" xfId="29925" xr:uid="{00000000-0005-0000-0000-0000E8730000}"/>
    <cellStyle name="Normal 39 2 2 4 3" xfId="29926" xr:uid="{00000000-0005-0000-0000-0000E9730000}"/>
    <cellStyle name="Normal 39 2 2 5" xfId="29927" xr:uid="{00000000-0005-0000-0000-0000EA730000}"/>
    <cellStyle name="Normal 39 2 3" xfId="29928" xr:uid="{00000000-0005-0000-0000-0000EB730000}"/>
    <cellStyle name="Normal 39 2 3 2" xfId="29929" xr:uid="{00000000-0005-0000-0000-0000EC730000}"/>
    <cellStyle name="Normal 39 2 3 2 2" xfId="29930" xr:uid="{00000000-0005-0000-0000-0000ED730000}"/>
    <cellStyle name="Normal 39 2 3 3" xfId="29931" xr:uid="{00000000-0005-0000-0000-0000EE730000}"/>
    <cellStyle name="Normal 39 2 4" xfId="29932" xr:uid="{00000000-0005-0000-0000-0000EF730000}"/>
    <cellStyle name="Normal 39 2 4 2" xfId="29933" xr:uid="{00000000-0005-0000-0000-0000F0730000}"/>
    <cellStyle name="Normal 39 2 4 2 2" xfId="29934" xr:uid="{00000000-0005-0000-0000-0000F1730000}"/>
    <cellStyle name="Normal 39 2 4 3" xfId="29935" xr:uid="{00000000-0005-0000-0000-0000F2730000}"/>
    <cellStyle name="Normal 39 2 5" xfId="29936" xr:uid="{00000000-0005-0000-0000-0000F3730000}"/>
    <cellStyle name="Normal 39 2 5 2" xfId="29937" xr:uid="{00000000-0005-0000-0000-0000F4730000}"/>
    <cellStyle name="Normal 39 2 5 2 2" xfId="29938" xr:uid="{00000000-0005-0000-0000-0000F5730000}"/>
    <cellStyle name="Normal 39 2 5 3" xfId="29939" xr:uid="{00000000-0005-0000-0000-0000F6730000}"/>
    <cellStyle name="Normal 39 2 6" xfId="29940" xr:uid="{00000000-0005-0000-0000-0000F7730000}"/>
    <cellStyle name="Normal 39 3" xfId="29941" xr:uid="{00000000-0005-0000-0000-0000F8730000}"/>
    <cellStyle name="Normal 39 3 2" xfId="29942" xr:uid="{00000000-0005-0000-0000-0000F9730000}"/>
    <cellStyle name="Normal 39 3 2 2" xfId="29943" xr:uid="{00000000-0005-0000-0000-0000FA730000}"/>
    <cellStyle name="Normal 39 3 3" xfId="29944" xr:uid="{00000000-0005-0000-0000-0000FB730000}"/>
    <cellStyle name="Normal 39 3 3 2" xfId="29945" xr:uid="{00000000-0005-0000-0000-0000FC730000}"/>
    <cellStyle name="Normal 39 3 3 2 2" xfId="29946" xr:uid="{00000000-0005-0000-0000-0000FD730000}"/>
    <cellStyle name="Normal 39 3 3 3" xfId="29947" xr:uid="{00000000-0005-0000-0000-0000FE730000}"/>
    <cellStyle name="Normal 39 3 4" xfId="29948" xr:uid="{00000000-0005-0000-0000-0000FF730000}"/>
    <cellStyle name="Normal 39 3 4 2" xfId="29949" xr:uid="{00000000-0005-0000-0000-000000740000}"/>
    <cellStyle name="Normal 39 3 4 2 2" xfId="29950" xr:uid="{00000000-0005-0000-0000-000001740000}"/>
    <cellStyle name="Normal 39 3 4 3" xfId="29951" xr:uid="{00000000-0005-0000-0000-000002740000}"/>
    <cellStyle name="Normal 39 3 5" xfId="29952" xr:uid="{00000000-0005-0000-0000-000003740000}"/>
    <cellStyle name="Normal 39 4" xfId="29953" xr:uid="{00000000-0005-0000-0000-000004740000}"/>
    <cellStyle name="Normal 39 4 2" xfId="29954" xr:uid="{00000000-0005-0000-0000-000005740000}"/>
    <cellStyle name="Normal 39 4 2 2" xfId="29955" xr:uid="{00000000-0005-0000-0000-000006740000}"/>
    <cellStyle name="Normal 39 4 3" xfId="29956" xr:uid="{00000000-0005-0000-0000-000007740000}"/>
    <cellStyle name="Normal 39 5" xfId="29957" xr:uid="{00000000-0005-0000-0000-000008740000}"/>
    <cellStyle name="Normal 39 5 2" xfId="29958" xr:uid="{00000000-0005-0000-0000-000009740000}"/>
    <cellStyle name="Normal 39 5 2 2" xfId="29959" xr:uid="{00000000-0005-0000-0000-00000A740000}"/>
    <cellStyle name="Normal 39 5 3" xfId="29960" xr:uid="{00000000-0005-0000-0000-00000B740000}"/>
    <cellStyle name="Normal 39 6" xfId="29961" xr:uid="{00000000-0005-0000-0000-00000C740000}"/>
    <cellStyle name="Normal 39 6 2" xfId="29962" xr:uid="{00000000-0005-0000-0000-00000D740000}"/>
    <cellStyle name="Normal 39 6 2 2" xfId="29963" xr:uid="{00000000-0005-0000-0000-00000E740000}"/>
    <cellStyle name="Normal 39 6 3" xfId="29964" xr:uid="{00000000-0005-0000-0000-00000F740000}"/>
    <cellStyle name="Normal 39 7" xfId="29965" xr:uid="{00000000-0005-0000-0000-000010740000}"/>
    <cellStyle name="Normal 390" xfId="29966" xr:uid="{00000000-0005-0000-0000-000011740000}"/>
    <cellStyle name="Normal 390 2" xfId="29967" xr:uid="{00000000-0005-0000-0000-000012740000}"/>
    <cellStyle name="Normal 390 2 2" xfId="29968" xr:uid="{00000000-0005-0000-0000-000013740000}"/>
    <cellStyle name="Normal 390 2 2 2" xfId="29969" xr:uid="{00000000-0005-0000-0000-000014740000}"/>
    <cellStyle name="Normal 390 2 3" xfId="29970" xr:uid="{00000000-0005-0000-0000-000015740000}"/>
    <cellStyle name="Normal 390 2 3 2" xfId="29971" xr:uid="{00000000-0005-0000-0000-000016740000}"/>
    <cellStyle name="Normal 390 2 3 2 2" xfId="29972" xr:uid="{00000000-0005-0000-0000-000017740000}"/>
    <cellStyle name="Normal 390 2 3 3" xfId="29973" xr:uid="{00000000-0005-0000-0000-000018740000}"/>
    <cellStyle name="Normal 390 2 4" xfId="29974" xr:uid="{00000000-0005-0000-0000-000019740000}"/>
    <cellStyle name="Normal 390 2 4 2" xfId="29975" xr:uid="{00000000-0005-0000-0000-00001A740000}"/>
    <cellStyle name="Normal 390 2 4 2 2" xfId="29976" xr:uid="{00000000-0005-0000-0000-00001B740000}"/>
    <cellStyle name="Normal 390 2 4 3" xfId="29977" xr:uid="{00000000-0005-0000-0000-00001C740000}"/>
    <cellStyle name="Normal 390 2 5" xfId="29978" xr:uid="{00000000-0005-0000-0000-00001D740000}"/>
    <cellStyle name="Normal 390 3" xfId="29979" xr:uid="{00000000-0005-0000-0000-00001E740000}"/>
    <cellStyle name="Normal 390 3 2" xfId="29980" xr:uid="{00000000-0005-0000-0000-00001F740000}"/>
    <cellStyle name="Normal 390 3 2 2" xfId="29981" xr:uid="{00000000-0005-0000-0000-000020740000}"/>
    <cellStyle name="Normal 390 3 2 2 2" xfId="29982" xr:uid="{00000000-0005-0000-0000-000021740000}"/>
    <cellStyle name="Normal 390 3 2 3" xfId="29983" xr:uid="{00000000-0005-0000-0000-000022740000}"/>
    <cellStyle name="Normal 390 3 2 3 2" xfId="29984" xr:uid="{00000000-0005-0000-0000-000023740000}"/>
    <cellStyle name="Normal 390 3 2 3 2 2" xfId="29985" xr:uid="{00000000-0005-0000-0000-000024740000}"/>
    <cellStyle name="Normal 390 3 2 3 3" xfId="29986" xr:uid="{00000000-0005-0000-0000-000025740000}"/>
    <cellStyle name="Normal 390 3 2 4" xfId="29987" xr:uid="{00000000-0005-0000-0000-000026740000}"/>
    <cellStyle name="Normal 390 3 3" xfId="29988" xr:uid="{00000000-0005-0000-0000-000027740000}"/>
    <cellStyle name="Normal 390 3 3 2" xfId="29989" xr:uid="{00000000-0005-0000-0000-000028740000}"/>
    <cellStyle name="Normal 390 3 3 2 2" xfId="29990" xr:uid="{00000000-0005-0000-0000-000029740000}"/>
    <cellStyle name="Normal 390 3 3 3" xfId="29991" xr:uid="{00000000-0005-0000-0000-00002A740000}"/>
    <cellStyle name="Normal 390 3 4" xfId="29992" xr:uid="{00000000-0005-0000-0000-00002B740000}"/>
    <cellStyle name="Normal 390 3 4 2" xfId="29993" xr:uid="{00000000-0005-0000-0000-00002C740000}"/>
    <cellStyle name="Normal 390 3 4 2 2" xfId="29994" xr:uid="{00000000-0005-0000-0000-00002D740000}"/>
    <cellStyle name="Normal 390 3 4 3" xfId="29995" xr:uid="{00000000-0005-0000-0000-00002E740000}"/>
    <cellStyle name="Normal 390 3 5" xfId="29996" xr:uid="{00000000-0005-0000-0000-00002F740000}"/>
    <cellStyle name="Normal 390 3 5 2" xfId="29997" xr:uid="{00000000-0005-0000-0000-000030740000}"/>
    <cellStyle name="Normal 390 3 5 2 2" xfId="29998" xr:uid="{00000000-0005-0000-0000-000031740000}"/>
    <cellStyle name="Normal 390 3 5 3" xfId="29999" xr:uid="{00000000-0005-0000-0000-000032740000}"/>
    <cellStyle name="Normal 390 3 6" xfId="30000" xr:uid="{00000000-0005-0000-0000-000033740000}"/>
    <cellStyle name="Normal 390 4" xfId="30001" xr:uid="{00000000-0005-0000-0000-000034740000}"/>
    <cellStyle name="Normal 390 4 2" xfId="30002" xr:uid="{00000000-0005-0000-0000-000035740000}"/>
    <cellStyle name="Normal 390 4 2 2" xfId="30003" xr:uid="{00000000-0005-0000-0000-000036740000}"/>
    <cellStyle name="Normal 390 4 3" xfId="30004" xr:uid="{00000000-0005-0000-0000-000037740000}"/>
    <cellStyle name="Normal 390 5" xfId="30005" xr:uid="{00000000-0005-0000-0000-000038740000}"/>
    <cellStyle name="Normal 390 5 2" xfId="30006" xr:uid="{00000000-0005-0000-0000-000039740000}"/>
    <cellStyle name="Normal 390 5 2 2" xfId="30007" xr:uid="{00000000-0005-0000-0000-00003A740000}"/>
    <cellStyle name="Normal 390 5 3" xfId="30008" xr:uid="{00000000-0005-0000-0000-00003B740000}"/>
    <cellStyle name="Normal 390 6" xfId="30009" xr:uid="{00000000-0005-0000-0000-00003C740000}"/>
    <cellStyle name="Normal 390 6 2" xfId="30010" xr:uid="{00000000-0005-0000-0000-00003D740000}"/>
    <cellStyle name="Normal 390 6 2 2" xfId="30011" xr:uid="{00000000-0005-0000-0000-00003E740000}"/>
    <cellStyle name="Normal 390 6 3" xfId="30012" xr:uid="{00000000-0005-0000-0000-00003F740000}"/>
    <cellStyle name="Normal 390 7" xfId="30013" xr:uid="{00000000-0005-0000-0000-000040740000}"/>
    <cellStyle name="Normal 391" xfId="30014" xr:uid="{00000000-0005-0000-0000-000041740000}"/>
    <cellStyle name="Normal 391 2" xfId="30015" xr:uid="{00000000-0005-0000-0000-000042740000}"/>
    <cellStyle name="Normal 391 2 2" xfId="30016" xr:uid="{00000000-0005-0000-0000-000043740000}"/>
    <cellStyle name="Normal 391 2 2 2" xfId="30017" xr:uid="{00000000-0005-0000-0000-000044740000}"/>
    <cellStyle name="Normal 391 2 3" xfId="30018" xr:uid="{00000000-0005-0000-0000-000045740000}"/>
    <cellStyle name="Normal 391 2 3 2" xfId="30019" xr:uid="{00000000-0005-0000-0000-000046740000}"/>
    <cellStyle name="Normal 391 2 3 2 2" xfId="30020" xr:uid="{00000000-0005-0000-0000-000047740000}"/>
    <cellStyle name="Normal 391 2 3 3" xfId="30021" xr:uid="{00000000-0005-0000-0000-000048740000}"/>
    <cellStyle name="Normal 391 2 4" xfId="30022" xr:uid="{00000000-0005-0000-0000-000049740000}"/>
    <cellStyle name="Normal 391 2 4 2" xfId="30023" xr:uid="{00000000-0005-0000-0000-00004A740000}"/>
    <cellStyle name="Normal 391 2 4 2 2" xfId="30024" xr:uid="{00000000-0005-0000-0000-00004B740000}"/>
    <cellStyle name="Normal 391 2 4 3" xfId="30025" xr:uid="{00000000-0005-0000-0000-00004C740000}"/>
    <cellStyle name="Normal 391 2 5" xfId="30026" xr:uid="{00000000-0005-0000-0000-00004D740000}"/>
    <cellStyle name="Normal 391 3" xfId="30027" xr:uid="{00000000-0005-0000-0000-00004E740000}"/>
    <cellStyle name="Normal 391 3 2" xfId="30028" xr:uid="{00000000-0005-0000-0000-00004F740000}"/>
    <cellStyle name="Normal 391 3 2 2" xfId="30029" xr:uid="{00000000-0005-0000-0000-000050740000}"/>
    <cellStyle name="Normal 391 3 2 2 2" xfId="30030" xr:uid="{00000000-0005-0000-0000-000051740000}"/>
    <cellStyle name="Normal 391 3 2 3" xfId="30031" xr:uid="{00000000-0005-0000-0000-000052740000}"/>
    <cellStyle name="Normal 391 3 2 3 2" xfId="30032" xr:uid="{00000000-0005-0000-0000-000053740000}"/>
    <cellStyle name="Normal 391 3 2 3 2 2" xfId="30033" xr:uid="{00000000-0005-0000-0000-000054740000}"/>
    <cellStyle name="Normal 391 3 2 3 3" xfId="30034" xr:uid="{00000000-0005-0000-0000-000055740000}"/>
    <cellStyle name="Normal 391 3 2 4" xfId="30035" xr:uid="{00000000-0005-0000-0000-000056740000}"/>
    <cellStyle name="Normal 391 3 3" xfId="30036" xr:uid="{00000000-0005-0000-0000-000057740000}"/>
    <cellStyle name="Normal 391 3 3 2" xfId="30037" xr:uid="{00000000-0005-0000-0000-000058740000}"/>
    <cellStyle name="Normal 391 3 3 2 2" xfId="30038" xr:uid="{00000000-0005-0000-0000-000059740000}"/>
    <cellStyle name="Normal 391 3 3 3" xfId="30039" xr:uid="{00000000-0005-0000-0000-00005A740000}"/>
    <cellStyle name="Normal 391 3 4" xfId="30040" xr:uid="{00000000-0005-0000-0000-00005B740000}"/>
    <cellStyle name="Normal 391 3 4 2" xfId="30041" xr:uid="{00000000-0005-0000-0000-00005C740000}"/>
    <cellStyle name="Normal 391 3 4 2 2" xfId="30042" xr:uid="{00000000-0005-0000-0000-00005D740000}"/>
    <cellStyle name="Normal 391 3 4 3" xfId="30043" xr:uid="{00000000-0005-0000-0000-00005E740000}"/>
    <cellStyle name="Normal 391 3 5" xfId="30044" xr:uid="{00000000-0005-0000-0000-00005F740000}"/>
    <cellStyle name="Normal 391 3 5 2" xfId="30045" xr:uid="{00000000-0005-0000-0000-000060740000}"/>
    <cellStyle name="Normal 391 3 5 2 2" xfId="30046" xr:uid="{00000000-0005-0000-0000-000061740000}"/>
    <cellStyle name="Normal 391 3 5 3" xfId="30047" xr:uid="{00000000-0005-0000-0000-000062740000}"/>
    <cellStyle name="Normal 391 3 6" xfId="30048" xr:uid="{00000000-0005-0000-0000-000063740000}"/>
    <cellStyle name="Normal 391 4" xfId="30049" xr:uid="{00000000-0005-0000-0000-000064740000}"/>
    <cellStyle name="Normal 391 4 2" xfId="30050" xr:uid="{00000000-0005-0000-0000-000065740000}"/>
    <cellStyle name="Normal 391 4 2 2" xfId="30051" xr:uid="{00000000-0005-0000-0000-000066740000}"/>
    <cellStyle name="Normal 391 4 3" xfId="30052" xr:uid="{00000000-0005-0000-0000-000067740000}"/>
    <cellStyle name="Normal 391 5" xfId="30053" xr:uid="{00000000-0005-0000-0000-000068740000}"/>
    <cellStyle name="Normal 391 5 2" xfId="30054" xr:uid="{00000000-0005-0000-0000-000069740000}"/>
    <cellStyle name="Normal 391 5 2 2" xfId="30055" xr:uid="{00000000-0005-0000-0000-00006A740000}"/>
    <cellStyle name="Normal 391 5 3" xfId="30056" xr:uid="{00000000-0005-0000-0000-00006B740000}"/>
    <cellStyle name="Normal 391 6" xfId="30057" xr:uid="{00000000-0005-0000-0000-00006C740000}"/>
    <cellStyle name="Normal 391 6 2" xfId="30058" xr:uid="{00000000-0005-0000-0000-00006D740000}"/>
    <cellStyle name="Normal 391 6 2 2" xfId="30059" xr:uid="{00000000-0005-0000-0000-00006E740000}"/>
    <cellStyle name="Normal 391 6 3" xfId="30060" xr:uid="{00000000-0005-0000-0000-00006F740000}"/>
    <cellStyle name="Normal 391 7" xfId="30061" xr:uid="{00000000-0005-0000-0000-000070740000}"/>
    <cellStyle name="Normal 392" xfId="30062" xr:uid="{00000000-0005-0000-0000-000071740000}"/>
    <cellStyle name="Normal 392 2" xfId="30063" xr:uid="{00000000-0005-0000-0000-000072740000}"/>
    <cellStyle name="Normal 392 2 2" xfId="30064" xr:uid="{00000000-0005-0000-0000-000073740000}"/>
    <cellStyle name="Normal 392 2 2 2" xfId="30065" xr:uid="{00000000-0005-0000-0000-000074740000}"/>
    <cellStyle name="Normal 392 2 3" xfId="30066" xr:uid="{00000000-0005-0000-0000-000075740000}"/>
    <cellStyle name="Normal 392 2 3 2" xfId="30067" xr:uid="{00000000-0005-0000-0000-000076740000}"/>
    <cellStyle name="Normal 392 2 3 2 2" xfId="30068" xr:uid="{00000000-0005-0000-0000-000077740000}"/>
    <cellStyle name="Normal 392 2 3 3" xfId="30069" xr:uid="{00000000-0005-0000-0000-000078740000}"/>
    <cellStyle name="Normal 392 2 4" xfId="30070" xr:uid="{00000000-0005-0000-0000-000079740000}"/>
    <cellStyle name="Normal 392 2 4 2" xfId="30071" xr:uid="{00000000-0005-0000-0000-00007A740000}"/>
    <cellStyle name="Normal 392 2 4 2 2" xfId="30072" xr:uid="{00000000-0005-0000-0000-00007B740000}"/>
    <cellStyle name="Normal 392 2 4 3" xfId="30073" xr:uid="{00000000-0005-0000-0000-00007C740000}"/>
    <cellStyle name="Normal 392 2 5" xfId="30074" xr:uid="{00000000-0005-0000-0000-00007D740000}"/>
    <cellStyle name="Normal 392 3" xfId="30075" xr:uid="{00000000-0005-0000-0000-00007E740000}"/>
    <cellStyle name="Normal 392 3 2" xfId="30076" xr:uid="{00000000-0005-0000-0000-00007F740000}"/>
    <cellStyle name="Normal 392 3 2 2" xfId="30077" xr:uid="{00000000-0005-0000-0000-000080740000}"/>
    <cellStyle name="Normal 392 3 2 2 2" xfId="30078" xr:uid="{00000000-0005-0000-0000-000081740000}"/>
    <cellStyle name="Normal 392 3 2 3" xfId="30079" xr:uid="{00000000-0005-0000-0000-000082740000}"/>
    <cellStyle name="Normal 392 3 2 3 2" xfId="30080" xr:uid="{00000000-0005-0000-0000-000083740000}"/>
    <cellStyle name="Normal 392 3 2 3 2 2" xfId="30081" xr:uid="{00000000-0005-0000-0000-000084740000}"/>
    <cellStyle name="Normal 392 3 2 3 3" xfId="30082" xr:uid="{00000000-0005-0000-0000-000085740000}"/>
    <cellStyle name="Normal 392 3 2 4" xfId="30083" xr:uid="{00000000-0005-0000-0000-000086740000}"/>
    <cellStyle name="Normal 392 3 3" xfId="30084" xr:uid="{00000000-0005-0000-0000-000087740000}"/>
    <cellStyle name="Normal 392 3 3 2" xfId="30085" xr:uid="{00000000-0005-0000-0000-000088740000}"/>
    <cellStyle name="Normal 392 3 3 2 2" xfId="30086" xr:uid="{00000000-0005-0000-0000-000089740000}"/>
    <cellStyle name="Normal 392 3 3 3" xfId="30087" xr:uid="{00000000-0005-0000-0000-00008A740000}"/>
    <cellStyle name="Normal 392 3 4" xfId="30088" xr:uid="{00000000-0005-0000-0000-00008B740000}"/>
    <cellStyle name="Normal 392 3 4 2" xfId="30089" xr:uid="{00000000-0005-0000-0000-00008C740000}"/>
    <cellStyle name="Normal 392 3 4 2 2" xfId="30090" xr:uid="{00000000-0005-0000-0000-00008D740000}"/>
    <cellStyle name="Normal 392 3 4 3" xfId="30091" xr:uid="{00000000-0005-0000-0000-00008E740000}"/>
    <cellStyle name="Normal 392 3 5" xfId="30092" xr:uid="{00000000-0005-0000-0000-00008F740000}"/>
    <cellStyle name="Normal 392 3 5 2" xfId="30093" xr:uid="{00000000-0005-0000-0000-000090740000}"/>
    <cellStyle name="Normal 392 3 5 2 2" xfId="30094" xr:uid="{00000000-0005-0000-0000-000091740000}"/>
    <cellStyle name="Normal 392 3 5 3" xfId="30095" xr:uid="{00000000-0005-0000-0000-000092740000}"/>
    <cellStyle name="Normal 392 3 6" xfId="30096" xr:uid="{00000000-0005-0000-0000-000093740000}"/>
    <cellStyle name="Normal 392 4" xfId="30097" xr:uid="{00000000-0005-0000-0000-000094740000}"/>
    <cellStyle name="Normal 392 4 2" xfId="30098" xr:uid="{00000000-0005-0000-0000-000095740000}"/>
    <cellStyle name="Normal 392 4 2 2" xfId="30099" xr:uid="{00000000-0005-0000-0000-000096740000}"/>
    <cellStyle name="Normal 392 4 3" xfId="30100" xr:uid="{00000000-0005-0000-0000-000097740000}"/>
    <cellStyle name="Normal 392 5" xfId="30101" xr:uid="{00000000-0005-0000-0000-000098740000}"/>
    <cellStyle name="Normal 392 5 2" xfId="30102" xr:uid="{00000000-0005-0000-0000-000099740000}"/>
    <cellStyle name="Normal 392 5 2 2" xfId="30103" xr:uid="{00000000-0005-0000-0000-00009A740000}"/>
    <cellStyle name="Normal 392 5 3" xfId="30104" xr:uid="{00000000-0005-0000-0000-00009B740000}"/>
    <cellStyle name="Normal 392 6" xfId="30105" xr:uid="{00000000-0005-0000-0000-00009C740000}"/>
    <cellStyle name="Normal 392 6 2" xfId="30106" xr:uid="{00000000-0005-0000-0000-00009D740000}"/>
    <cellStyle name="Normal 392 6 2 2" xfId="30107" xr:uid="{00000000-0005-0000-0000-00009E740000}"/>
    <cellStyle name="Normal 392 6 3" xfId="30108" xr:uid="{00000000-0005-0000-0000-00009F740000}"/>
    <cellStyle name="Normal 392 7" xfId="30109" xr:uid="{00000000-0005-0000-0000-0000A0740000}"/>
    <cellStyle name="Normal 393" xfId="30110" xr:uid="{00000000-0005-0000-0000-0000A1740000}"/>
    <cellStyle name="Normal 393 2" xfId="30111" xr:uid="{00000000-0005-0000-0000-0000A2740000}"/>
    <cellStyle name="Normal 393 2 2" xfId="30112" xr:uid="{00000000-0005-0000-0000-0000A3740000}"/>
    <cellStyle name="Normal 393 2 2 2" xfId="30113" xr:uid="{00000000-0005-0000-0000-0000A4740000}"/>
    <cellStyle name="Normal 393 2 3" xfId="30114" xr:uid="{00000000-0005-0000-0000-0000A5740000}"/>
    <cellStyle name="Normal 393 2 3 2" xfId="30115" xr:uid="{00000000-0005-0000-0000-0000A6740000}"/>
    <cellStyle name="Normal 393 2 3 2 2" xfId="30116" xr:uid="{00000000-0005-0000-0000-0000A7740000}"/>
    <cellStyle name="Normal 393 2 3 3" xfId="30117" xr:uid="{00000000-0005-0000-0000-0000A8740000}"/>
    <cellStyle name="Normal 393 2 4" xfId="30118" xr:uid="{00000000-0005-0000-0000-0000A9740000}"/>
    <cellStyle name="Normal 393 2 4 2" xfId="30119" xr:uid="{00000000-0005-0000-0000-0000AA740000}"/>
    <cellStyle name="Normal 393 2 4 2 2" xfId="30120" xr:uid="{00000000-0005-0000-0000-0000AB740000}"/>
    <cellStyle name="Normal 393 2 4 3" xfId="30121" xr:uid="{00000000-0005-0000-0000-0000AC740000}"/>
    <cellStyle name="Normal 393 2 5" xfId="30122" xr:uid="{00000000-0005-0000-0000-0000AD740000}"/>
    <cellStyle name="Normal 393 3" xfId="30123" xr:uid="{00000000-0005-0000-0000-0000AE740000}"/>
    <cellStyle name="Normal 393 3 2" xfId="30124" xr:uid="{00000000-0005-0000-0000-0000AF740000}"/>
    <cellStyle name="Normal 393 3 2 2" xfId="30125" xr:uid="{00000000-0005-0000-0000-0000B0740000}"/>
    <cellStyle name="Normal 393 3 2 2 2" xfId="30126" xr:uid="{00000000-0005-0000-0000-0000B1740000}"/>
    <cellStyle name="Normal 393 3 2 3" xfId="30127" xr:uid="{00000000-0005-0000-0000-0000B2740000}"/>
    <cellStyle name="Normal 393 3 2 3 2" xfId="30128" xr:uid="{00000000-0005-0000-0000-0000B3740000}"/>
    <cellStyle name="Normal 393 3 2 3 2 2" xfId="30129" xr:uid="{00000000-0005-0000-0000-0000B4740000}"/>
    <cellStyle name="Normal 393 3 2 3 3" xfId="30130" xr:uid="{00000000-0005-0000-0000-0000B5740000}"/>
    <cellStyle name="Normal 393 3 2 4" xfId="30131" xr:uid="{00000000-0005-0000-0000-0000B6740000}"/>
    <cellStyle name="Normal 393 3 3" xfId="30132" xr:uid="{00000000-0005-0000-0000-0000B7740000}"/>
    <cellStyle name="Normal 393 3 3 2" xfId="30133" xr:uid="{00000000-0005-0000-0000-0000B8740000}"/>
    <cellStyle name="Normal 393 3 3 2 2" xfId="30134" xr:uid="{00000000-0005-0000-0000-0000B9740000}"/>
    <cellStyle name="Normal 393 3 3 3" xfId="30135" xr:uid="{00000000-0005-0000-0000-0000BA740000}"/>
    <cellStyle name="Normal 393 3 4" xfId="30136" xr:uid="{00000000-0005-0000-0000-0000BB740000}"/>
    <cellStyle name="Normal 393 3 4 2" xfId="30137" xr:uid="{00000000-0005-0000-0000-0000BC740000}"/>
    <cellStyle name="Normal 393 3 4 2 2" xfId="30138" xr:uid="{00000000-0005-0000-0000-0000BD740000}"/>
    <cellStyle name="Normal 393 3 4 3" xfId="30139" xr:uid="{00000000-0005-0000-0000-0000BE740000}"/>
    <cellStyle name="Normal 393 3 5" xfId="30140" xr:uid="{00000000-0005-0000-0000-0000BF740000}"/>
    <cellStyle name="Normal 393 3 5 2" xfId="30141" xr:uid="{00000000-0005-0000-0000-0000C0740000}"/>
    <cellStyle name="Normal 393 3 5 2 2" xfId="30142" xr:uid="{00000000-0005-0000-0000-0000C1740000}"/>
    <cellStyle name="Normal 393 3 5 3" xfId="30143" xr:uid="{00000000-0005-0000-0000-0000C2740000}"/>
    <cellStyle name="Normal 393 3 6" xfId="30144" xr:uid="{00000000-0005-0000-0000-0000C3740000}"/>
    <cellStyle name="Normal 393 4" xfId="30145" xr:uid="{00000000-0005-0000-0000-0000C4740000}"/>
    <cellStyle name="Normal 393 4 2" xfId="30146" xr:uid="{00000000-0005-0000-0000-0000C5740000}"/>
    <cellStyle name="Normal 393 4 2 2" xfId="30147" xr:uid="{00000000-0005-0000-0000-0000C6740000}"/>
    <cellStyle name="Normal 393 4 3" xfId="30148" xr:uid="{00000000-0005-0000-0000-0000C7740000}"/>
    <cellStyle name="Normal 393 5" xfId="30149" xr:uid="{00000000-0005-0000-0000-0000C8740000}"/>
    <cellStyle name="Normal 393 5 2" xfId="30150" xr:uid="{00000000-0005-0000-0000-0000C9740000}"/>
    <cellStyle name="Normal 393 5 2 2" xfId="30151" xr:uid="{00000000-0005-0000-0000-0000CA740000}"/>
    <cellStyle name="Normal 393 5 3" xfId="30152" xr:uid="{00000000-0005-0000-0000-0000CB740000}"/>
    <cellStyle name="Normal 393 6" xfId="30153" xr:uid="{00000000-0005-0000-0000-0000CC740000}"/>
    <cellStyle name="Normal 393 6 2" xfId="30154" xr:uid="{00000000-0005-0000-0000-0000CD740000}"/>
    <cellStyle name="Normal 393 6 2 2" xfId="30155" xr:uid="{00000000-0005-0000-0000-0000CE740000}"/>
    <cellStyle name="Normal 393 6 3" xfId="30156" xr:uid="{00000000-0005-0000-0000-0000CF740000}"/>
    <cellStyle name="Normal 393 7" xfId="30157" xr:uid="{00000000-0005-0000-0000-0000D0740000}"/>
    <cellStyle name="Normal 394" xfId="30158" xr:uid="{00000000-0005-0000-0000-0000D1740000}"/>
    <cellStyle name="Normal 394 2" xfId="30159" xr:uid="{00000000-0005-0000-0000-0000D2740000}"/>
    <cellStyle name="Normal 394 2 2" xfId="30160" xr:uid="{00000000-0005-0000-0000-0000D3740000}"/>
    <cellStyle name="Normal 394 2 2 2" xfId="30161" xr:uid="{00000000-0005-0000-0000-0000D4740000}"/>
    <cellStyle name="Normal 394 2 3" xfId="30162" xr:uid="{00000000-0005-0000-0000-0000D5740000}"/>
    <cellStyle name="Normal 394 2 3 2" xfId="30163" xr:uid="{00000000-0005-0000-0000-0000D6740000}"/>
    <cellStyle name="Normal 394 2 3 2 2" xfId="30164" xr:uid="{00000000-0005-0000-0000-0000D7740000}"/>
    <cellStyle name="Normal 394 2 3 3" xfId="30165" xr:uid="{00000000-0005-0000-0000-0000D8740000}"/>
    <cellStyle name="Normal 394 2 4" xfId="30166" xr:uid="{00000000-0005-0000-0000-0000D9740000}"/>
    <cellStyle name="Normal 394 2 4 2" xfId="30167" xr:uid="{00000000-0005-0000-0000-0000DA740000}"/>
    <cellStyle name="Normal 394 2 4 2 2" xfId="30168" xr:uid="{00000000-0005-0000-0000-0000DB740000}"/>
    <cellStyle name="Normal 394 2 4 3" xfId="30169" xr:uid="{00000000-0005-0000-0000-0000DC740000}"/>
    <cellStyle name="Normal 394 2 5" xfId="30170" xr:uid="{00000000-0005-0000-0000-0000DD740000}"/>
    <cellStyle name="Normal 394 3" xfId="30171" xr:uid="{00000000-0005-0000-0000-0000DE740000}"/>
    <cellStyle name="Normal 394 3 2" xfId="30172" xr:uid="{00000000-0005-0000-0000-0000DF740000}"/>
    <cellStyle name="Normal 394 3 2 2" xfId="30173" xr:uid="{00000000-0005-0000-0000-0000E0740000}"/>
    <cellStyle name="Normal 394 3 2 2 2" xfId="30174" xr:uid="{00000000-0005-0000-0000-0000E1740000}"/>
    <cellStyle name="Normal 394 3 2 3" xfId="30175" xr:uid="{00000000-0005-0000-0000-0000E2740000}"/>
    <cellStyle name="Normal 394 3 2 3 2" xfId="30176" xr:uid="{00000000-0005-0000-0000-0000E3740000}"/>
    <cellStyle name="Normal 394 3 2 3 2 2" xfId="30177" xr:uid="{00000000-0005-0000-0000-0000E4740000}"/>
    <cellStyle name="Normal 394 3 2 3 3" xfId="30178" xr:uid="{00000000-0005-0000-0000-0000E5740000}"/>
    <cellStyle name="Normal 394 3 2 4" xfId="30179" xr:uid="{00000000-0005-0000-0000-0000E6740000}"/>
    <cellStyle name="Normal 394 3 3" xfId="30180" xr:uid="{00000000-0005-0000-0000-0000E7740000}"/>
    <cellStyle name="Normal 394 3 3 2" xfId="30181" xr:uid="{00000000-0005-0000-0000-0000E8740000}"/>
    <cellStyle name="Normal 394 3 3 2 2" xfId="30182" xr:uid="{00000000-0005-0000-0000-0000E9740000}"/>
    <cellStyle name="Normal 394 3 3 3" xfId="30183" xr:uid="{00000000-0005-0000-0000-0000EA740000}"/>
    <cellStyle name="Normal 394 3 4" xfId="30184" xr:uid="{00000000-0005-0000-0000-0000EB740000}"/>
    <cellStyle name="Normal 394 3 4 2" xfId="30185" xr:uid="{00000000-0005-0000-0000-0000EC740000}"/>
    <cellStyle name="Normal 394 3 4 2 2" xfId="30186" xr:uid="{00000000-0005-0000-0000-0000ED740000}"/>
    <cellStyle name="Normal 394 3 4 3" xfId="30187" xr:uid="{00000000-0005-0000-0000-0000EE740000}"/>
    <cellStyle name="Normal 394 3 5" xfId="30188" xr:uid="{00000000-0005-0000-0000-0000EF740000}"/>
    <cellStyle name="Normal 394 3 5 2" xfId="30189" xr:uid="{00000000-0005-0000-0000-0000F0740000}"/>
    <cellStyle name="Normal 394 3 5 2 2" xfId="30190" xr:uid="{00000000-0005-0000-0000-0000F1740000}"/>
    <cellStyle name="Normal 394 3 5 3" xfId="30191" xr:uid="{00000000-0005-0000-0000-0000F2740000}"/>
    <cellStyle name="Normal 394 3 6" xfId="30192" xr:uid="{00000000-0005-0000-0000-0000F3740000}"/>
    <cellStyle name="Normal 394 4" xfId="30193" xr:uid="{00000000-0005-0000-0000-0000F4740000}"/>
    <cellStyle name="Normal 394 4 2" xfId="30194" xr:uid="{00000000-0005-0000-0000-0000F5740000}"/>
    <cellStyle name="Normal 394 4 2 2" xfId="30195" xr:uid="{00000000-0005-0000-0000-0000F6740000}"/>
    <cellStyle name="Normal 394 4 3" xfId="30196" xr:uid="{00000000-0005-0000-0000-0000F7740000}"/>
    <cellStyle name="Normal 394 5" xfId="30197" xr:uid="{00000000-0005-0000-0000-0000F8740000}"/>
    <cellStyle name="Normal 394 5 2" xfId="30198" xr:uid="{00000000-0005-0000-0000-0000F9740000}"/>
    <cellStyle name="Normal 394 5 2 2" xfId="30199" xr:uid="{00000000-0005-0000-0000-0000FA740000}"/>
    <cellStyle name="Normal 394 5 3" xfId="30200" xr:uid="{00000000-0005-0000-0000-0000FB740000}"/>
    <cellStyle name="Normal 394 6" xfId="30201" xr:uid="{00000000-0005-0000-0000-0000FC740000}"/>
    <cellStyle name="Normal 394 6 2" xfId="30202" xr:uid="{00000000-0005-0000-0000-0000FD740000}"/>
    <cellStyle name="Normal 394 6 2 2" xfId="30203" xr:uid="{00000000-0005-0000-0000-0000FE740000}"/>
    <cellStyle name="Normal 394 6 3" xfId="30204" xr:uid="{00000000-0005-0000-0000-0000FF740000}"/>
    <cellStyle name="Normal 394 7" xfId="30205" xr:uid="{00000000-0005-0000-0000-000000750000}"/>
    <cellStyle name="Normal 395" xfId="30206" xr:uid="{00000000-0005-0000-0000-000001750000}"/>
    <cellStyle name="Normal 395 2" xfId="30207" xr:uid="{00000000-0005-0000-0000-000002750000}"/>
    <cellStyle name="Normal 395 2 2" xfId="30208" xr:uid="{00000000-0005-0000-0000-000003750000}"/>
    <cellStyle name="Normal 395 2 2 2" xfId="30209" xr:uid="{00000000-0005-0000-0000-000004750000}"/>
    <cellStyle name="Normal 395 2 3" xfId="30210" xr:uid="{00000000-0005-0000-0000-000005750000}"/>
    <cellStyle name="Normal 395 2 3 2" xfId="30211" xr:uid="{00000000-0005-0000-0000-000006750000}"/>
    <cellStyle name="Normal 395 2 3 2 2" xfId="30212" xr:uid="{00000000-0005-0000-0000-000007750000}"/>
    <cellStyle name="Normal 395 2 3 3" xfId="30213" xr:uid="{00000000-0005-0000-0000-000008750000}"/>
    <cellStyle name="Normal 395 2 4" xfId="30214" xr:uid="{00000000-0005-0000-0000-000009750000}"/>
    <cellStyle name="Normal 395 2 4 2" xfId="30215" xr:uid="{00000000-0005-0000-0000-00000A750000}"/>
    <cellStyle name="Normal 395 2 4 2 2" xfId="30216" xr:uid="{00000000-0005-0000-0000-00000B750000}"/>
    <cellStyle name="Normal 395 2 4 3" xfId="30217" xr:uid="{00000000-0005-0000-0000-00000C750000}"/>
    <cellStyle name="Normal 395 2 5" xfId="30218" xr:uid="{00000000-0005-0000-0000-00000D750000}"/>
    <cellStyle name="Normal 395 3" xfId="30219" xr:uid="{00000000-0005-0000-0000-00000E750000}"/>
    <cellStyle name="Normal 395 3 2" xfId="30220" xr:uid="{00000000-0005-0000-0000-00000F750000}"/>
    <cellStyle name="Normal 395 3 2 2" xfId="30221" xr:uid="{00000000-0005-0000-0000-000010750000}"/>
    <cellStyle name="Normal 395 3 2 2 2" xfId="30222" xr:uid="{00000000-0005-0000-0000-000011750000}"/>
    <cellStyle name="Normal 395 3 2 3" xfId="30223" xr:uid="{00000000-0005-0000-0000-000012750000}"/>
    <cellStyle name="Normal 395 3 2 3 2" xfId="30224" xr:uid="{00000000-0005-0000-0000-000013750000}"/>
    <cellStyle name="Normal 395 3 2 3 2 2" xfId="30225" xr:uid="{00000000-0005-0000-0000-000014750000}"/>
    <cellStyle name="Normal 395 3 2 3 3" xfId="30226" xr:uid="{00000000-0005-0000-0000-000015750000}"/>
    <cellStyle name="Normal 395 3 2 4" xfId="30227" xr:uid="{00000000-0005-0000-0000-000016750000}"/>
    <cellStyle name="Normal 395 3 3" xfId="30228" xr:uid="{00000000-0005-0000-0000-000017750000}"/>
    <cellStyle name="Normal 395 3 3 2" xfId="30229" xr:uid="{00000000-0005-0000-0000-000018750000}"/>
    <cellStyle name="Normal 395 3 3 2 2" xfId="30230" xr:uid="{00000000-0005-0000-0000-000019750000}"/>
    <cellStyle name="Normal 395 3 3 3" xfId="30231" xr:uid="{00000000-0005-0000-0000-00001A750000}"/>
    <cellStyle name="Normal 395 3 4" xfId="30232" xr:uid="{00000000-0005-0000-0000-00001B750000}"/>
    <cellStyle name="Normal 395 3 4 2" xfId="30233" xr:uid="{00000000-0005-0000-0000-00001C750000}"/>
    <cellStyle name="Normal 395 3 4 2 2" xfId="30234" xr:uid="{00000000-0005-0000-0000-00001D750000}"/>
    <cellStyle name="Normal 395 3 4 3" xfId="30235" xr:uid="{00000000-0005-0000-0000-00001E750000}"/>
    <cellStyle name="Normal 395 3 5" xfId="30236" xr:uid="{00000000-0005-0000-0000-00001F750000}"/>
    <cellStyle name="Normal 395 3 5 2" xfId="30237" xr:uid="{00000000-0005-0000-0000-000020750000}"/>
    <cellStyle name="Normal 395 3 5 2 2" xfId="30238" xr:uid="{00000000-0005-0000-0000-000021750000}"/>
    <cellStyle name="Normal 395 3 5 3" xfId="30239" xr:uid="{00000000-0005-0000-0000-000022750000}"/>
    <cellStyle name="Normal 395 3 6" xfId="30240" xr:uid="{00000000-0005-0000-0000-000023750000}"/>
    <cellStyle name="Normal 395 4" xfId="30241" xr:uid="{00000000-0005-0000-0000-000024750000}"/>
    <cellStyle name="Normal 395 4 2" xfId="30242" xr:uid="{00000000-0005-0000-0000-000025750000}"/>
    <cellStyle name="Normal 395 4 2 2" xfId="30243" xr:uid="{00000000-0005-0000-0000-000026750000}"/>
    <cellStyle name="Normal 395 4 3" xfId="30244" xr:uid="{00000000-0005-0000-0000-000027750000}"/>
    <cellStyle name="Normal 395 5" xfId="30245" xr:uid="{00000000-0005-0000-0000-000028750000}"/>
    <cellStyle name="Normal 395 5 2" xfId="30246" xr:uid="{00000000-0005-0000-0000-000029750000}"/>
    <cellStyle name="Normal 395 5 2 2" xfId="30247" xr:uid="{00000000-0005-0000-0000-00002A750000}"/>
    <cellStyle name="Normal 395 5 3" xfId="30248" xr:uid="{00000000-0005-0000-0000-00002B750000}"/>
    <cellStyle name="Normal 395 6" xfId="30249" xr:uid="{00000000-0005-0000-0000-00002C750000}"/>
    <cellStyle name="Normal 395 6 2" xfId="30250" xr:uid="{00000000-0005-0000-0000-00002D750000}"/>
    <cellStyle name="Normal 395 6 2 2" xfId="30251" xr:uid="{00000000-0005-0000-0000-00002E750000}"/>
    <cellStyle name="Normal 395 6 3" xfId="30252" xr:uid="{00000000-0005-0000-0000-00002F750000}"/>
    <cellStyle name="Normal 395 7" xfId="30253" xr:uid="{00000000-0005-0000-0000-000030750000}"/>
    <cellStyle name="Normal 396" xfId="30254" xr:uid="{00000000-0005-0000-0000-000031750000}"/>
    <cellStyle name="Normal 396 2" xfId="30255" xr:uid="{00000000-0005-0000-0000-000032750000}"/>
    <cellStyle name="Normal 396 2 2" xfId="30256" xr:uid="{00000000-0005-0000-0000-000033750000}"/>
    <cellStyle name="Normal 396 2 2 2" xfId="30257" xr:uid="{00000000-0005-0000-0000-000034750000}"/>
    <cellStyle name="Normal 396 2 3" xfId="30258" xr:uid="{00000000-0005-0000-0000-000035750000}"/>
    <cellStyle name="Normal 396 2 3 2" xfId="30259" xr:uid="{00000000-0005-0000-0000-000036750000}"/>
    <cellStyle name="Normal 396 2 3 2 2" xfId="30260" xr:uid="{00000000-0005-0000-0000-000037750000}"/>
    <cellStyle name="Normal 396 2 3 3" xfId="30261" xr:uid="{00000000-0005-0000-0000-000038750000}"/>
    <cellStyle name="Normal 396 2 4" xfId="30262" xr:uid="{00000000-0005-0000-0000-000039750000}"/>
    <cellStyle name="Normal 396 2 4 2" xfId="30263" xr:uid="{00000000-0005-0000-0000-00003A750000}"/>
    <cellStyle name="Normal 396 2 4 2 2" xfId="30264" xr:uid="{00000000-0005-0000-0000-00003B750000}"/>
    <cellStyle name="Normal 396 2 4 3" xfId="30265" xr:uid="{00000000-0005-0000-0000-00003C750000}"/>
    <cellStyle name="Normal 396 2 5" xfId="30266" xr:uid="{00000000-0005-0000-0000-00003D750000}"/>
    <cellStyle name="Normal 396 3" xfId="30267" xr:uid="{00000000-0005-0000-0000-00003E750000}"/>
    <cellStyle name="Normal 396 3 2" xfId="30268" xr:uid="{00000000-0005-0000-0000-00003F750000}"/>
    <cellStyle name="Normal 396 3 2 2" xfId="30269" xr:uid="{00000000-0005-0000-0000-000040750000}"/>
    <cellStyle name="Normal 396 3 2 2 2" xfId="30270" xr:uid="{00000000-0005-0000-0000-000041750000}"/>
    <cellStyle name="Normal 396 3 2 3" xfId="30271" xr:uid="{00000000-0005-0000-0000-000042750000}"/>
    <cellStyle name="Normal 396 3 2 3 2" xfId="30272" xr:uid="{00000000-0005-0000-0000-000043750000}"/>
    <cellStyle name="Normal 396 3 2 3 2 2" xfId="30273" xr:uid="{00000000-0005-0000-0000-000044750000}"/>
    <cellStyle name="Normal 396 3 2 3 3" xfId="30274" xr:uid="{00000000-0005-0000-0000-000045750000}"/>
    <cellStyle name="Normal 396 3 2 4" xfId="30275" xr:uid="{00000000-0005-0000-0000-000046750000}"/>
    <cellStyle name="Normal 396 3 3" xfId="30276" xr:uid="{00000000-0005-0000-0000-000047750000}"/>
    <cellStyle name="Normal 396 3 3 2" xfId="30277" xr:uid="{00000000-0005-0000-0000-000048750000}"/>
    <cellStyle name="Normal 396 3 3 2 2" xfId="30278" xr:uid="{00000000-0005-0000-0000-000049750000}"/>
    <cellStyle name="Normal 396 3 3 3" xfId="30279" xr:uid="{00000000-0005-0000-0000-00004A750000}"/>
    <cellStyle name="Normal 396 3 4" xfId="30280" xr:uid="{00000000-0005-0000-0000-00004B750000}"/>
    <cellStyle name="Normal 396 3 4 2" xfId="30281" xr:uid="{00000000-0005-0000-0000-00004C750000}"/>
    <cellStyle name="Normal 396 3 4 2 2" xfId="30282" xr:uid="{00000000-0005-0000-0000-00004D750000}"/>
    <cellStyle name="Normal 396 3 4 3" xfId="30283" xr:uid="{00000000-0005-0000-0000-00004E750000}"/>
    <cellStyle name="Normal 396 3 5" xfId="30284" xr:uid="{00000000-0005-0000-0000-00004F750000}"/>
    <cellStyle name="Normal 396 3 5 2" xfId="30285" xr:uid="{00000000-0005-0000-0000-000050750000}"/>
    <cellStyle name="Normal 396 3 5 2 2" xfId="30286" xr:uid="{00000000-0005-0000-0000-000051750000}"/>
    <cellStyle name="Normal 396 3 5 3" xfId="30287" xr:uid="{00000000-0005-0000-0000-000052750000}"/>
    <cellStyle name="Normal 396 3 6" xfId="30288" xr:uid="{00000000-0005-0000-0000-000053750000}"/>
    <cellStyle name="Normal 396 4" xfId="30289" xr:uid="{00000000-0005-0000-0000-000054750000}"/>
    <cellStyle name="Normal 396 4 2" xfId="30290" xr:uid="{00000000-0005-0000-0000-000055750000}"/>
    <cellStyle name="Normal 396 4 2 2" xfId="30291" xr:uid="{00000000-0005-0000-0000-000056750000}"/>
    <cellStyle name="Normal 396 4 3" xfId="30292" xr:uid="{00000000-0005-0000-0000-000057750000}"/>
    <cellStyle name="Normal 396 5" xfId="30293" xr:uid="{00000000-0005-0000-0000-000058750000}"/>
    <cellStyle name="Normal 396 5 2" xfId="30294" xr:uid="{00000000-0005-0000-0000-000059750000}"/>
    <cellStyle name="Normal 396 5 2 2" xfId="30295" xr:uid="{00000000-0005-0000-0000-00005A750000}"/>
    <cellStyle name="Normal 396 5 3" xfId="30296" xr:uid="{00000000-0005-0000-0000-00005B750000}"/>
    <cellStyle name="Normal 396 6" xfId="30297" xr:uid="{00000000-0005-0000-0000-00005C750000}"/>
    <cellStyle name="Normal 396 6 2" xfId="30298" xr:uid="{00000000-0005-0000-0000-00005D750000}"/>
    <cellStyle name="Normal 396 6 2 2" xfId="30299" xr:uid="{00000000-0005-0000-0000-00005E750000}"/>
    <cellStyle name="Normal 396 6 3" xfId="30300" xr:uid="{00000000-0005-0000-0000-00005F750000}"/>
    <cellStyle name="Normal 396 7" xfId="30301" xr:uid="{00000000-0005-0000-0000-000060750000}"/>
    <cellStyle name="Normal 397" xfId="30302" xr:uid="{00000000-0005-0000-0000-000061750000}"/>
    <cellStyle name="Normal 397 2" xfId="30303" xr:uid="{00000000-0005-0000-0000-000062750000}"/>
    <cellStyle name="Normal 397 2 2" xfId="30304" xr:uid="{00000000-0005-0000-0000-000063750000}"/>
    <cellStyle name="Normal 397 2 2 2" xfId="30305" xr:uid="{00000000-0005-0000-0000-000064750000}"/>
    <cellStyle name="Normal 397 2 3" xfId="30306" xr:uid="{00000000-0005-0000-0000-000065750000}"/>
    <cellStyle name="Normal 397 2 3 2" xfId="30307" xr:uid="{00000000-0005-0000-0000-000066750000}"/>
    <cellStyle name="Normal 397 2 3 2 2" xfId="30308" xr:uid="{00000000-0005-0000-0000-000067750000}"/>
    <cellStyle name="Normal 397 2 3 3" xfId="30309" xr:uid="{00000000-0005-0000-0000-000068750000}"/>
    <cellStyle name="Normal 397 2 4" xfId="30310" xr:uid="{00000000-0005-0000-0000-000069750000}"/>
    <cellStyle name="Normal 397 2 4 2" xfId="30311" xr:uid="{00000000-0005-0000-0000-00006A750000}"/>
    <cellStyle name="Normal 397 2 4 2 2" xfId="30312" xr:uid="{00000000-0005-0000-0000-00006B750000}"/>
    <cellStyle name="Normal 397 2 4 3" xfId="30313" xr:uid="{00000000-0005-0000-0000-00006C750000}"/>
    <cellStyle name="Normal 397 2 5" xfId="30314" xr:uid="{00000000-0005-0000-0000-00006D750000}"/>
    <cellStyle name="Normal 397 3" xfId="30315" xr:uid="{00000000-0005-0000-0000-00006E750000}"/>
    <cellStyle name="Normal 397 3 2" xfId="30316" xr:uid="{00000000-0005-0000-0000-00006F750000}"/>
    <cellStyle name="Normal 397 3 2 2" xfId="30317" xr:uid="{00000000-0005-0000-0000-000070750000}"/>
    <cellStyle name="Normal 397 3 2 2 2" xfId="30318" xr:uid="{00000000-0005-0000-0000-000071750000}"/>
    <cellStyle name="Normal 397 3 2 3" xfId="30319" xr:uid="{00000000-0005-0000-0000-000072750000}"/>
    <cellStyle name="Normal 397 3 2 3 2" xfId="30320" xr:uid="{00000000-0005-0000-0000-000073750000}"/>
    <cellStyle name="Normal 397 3 2 3 2 2" xfId="30321" xr:uid="{00000000-0005-0000-0000-000074750000}"/>
    <cellStyle name="Normal 397 3 2 3 3" xfId="30322" xr:uid="{00000000-0005-0000-0000-000075750000}"/>
    <cellStyle name="Normal 397 3 2 4" xfId="30323" xr:uid="{00000000-0005-0000-0000-000076750000}"/>
    <cellStyle name="Normal 397 3 3" xfId="30324" xr:uid="{00000000-0005-0000-0000-000077750000}"/>
    <cellStyle name="Normal 397 3 3 2" xfId="30325" xr:uid="{00000000-0005-0000-0000-000078750000}"/>
    <cellStyle name="Normal 397 3 3 2 2" xfId="30326" xr:uid="{00000000-0005-0000-0000-000079750000}"/>
    <cellStyle name="Normal 397 3 3 3" xfId="30327" xr:uid="{00000000-0005-0000-0000-00007A750000}"/>
    <cellStyle name="Normal 397 3 4" xfId="30328" xr:uid="{00000000-0005-0000-0000-00007B750000}"/>
    <cellStyle name="Normal 397 3 4 2" xfId="30329" xr:uid="{00000000-0005-0000-0000-00007C750000}"/>
    <cellStyle name="Normal 397 3 4 2 2" xfId="30330" xr:uid="{00000000-0005-0000-0000-00007D750000}"/>
    <cellStyle name="Normal 397 3 4 3" xfId="30331" xr:uid="{00000000-0005-0000-0000-00007E750000}"/>
    <cellStyle name="Normal 397 3 5" xfId="30332" xr:uid="{00000000-0005-0000-0000-00007F750000}"/>
    <cellStyle name="Normal 397 3 5 2" xfId="30333" xr:uid="{00000000-0005-0000-0000-000080750000}"/>
    <cellStyle name="Normal 397 3 5 2 2" xfId="30334" xr:uid="{00000000-0005-0000-0000-000081750000}"/>
    <cellStyle name="Normal 397 3 5 3" xfId="30335" xr:uid="{00000000-0005-0000-0000-000082750000}"/>
    <cellStyle name="Normal 397 3 6" xfId="30336" xr:uid="{00000000-0005-0000-0000-000083750000}"/>
    <cellStyle name="Normal 397 4" xfId="30337" xr:uid="{00000000-0005-0000-0000-000084750000}"/>
    <cellStyle name="Normal 397 4 2" xfId="30338" xr:uid="{00000000-0005-0000-0000-000085750000}"/>
    <cellStyle name="Normal 397 4 2 2" xfId="30339" xr:uid="{00000000-0005-0000-0000-000086750000}"/>
    <cellStyle name="Normal 397 4 3" xfId="30340" xr:uid="{00000000-0005-0000-0000-000087750000}"/>
    <cellStyle name="Normal 397 5" xfId="30341" xr:uid="{00000000-0005-0000-0000-000088750000}"/>
    <cellStyle name="Normal 397 5 2" xfId="30342" xr:uid="{00000000-0005-0000-0000-000089750000}"/>
    <cellStyle name="Normal 397 5 2 2" xfId="30343" xr:uid="{00000000-0005-0000-0000-00008A750000}"/>
    <cellStyle name="Normal 397 5 3" xfId="30344" xr:uid="{00000000-0005-0000-0000-00008B750000}"/>
    <cellStyle name="Normal 397 6" xfId="30345" xr:uid="{00000000-0005-0000-0000-00008C750000}"/>
    <cellStyle name="Normal 397 6 2" xfId="30346" xr:uid="{00000000-0005-0000-0000-00008D750000}"/>
    <cellStyle name="Normal 397 6 2 2" xfId="30347" xr:uid="{00000000-0005-0000-0000-00008E750000}"/>
    <cellStyle name="Normal 397 6 3" xfId="30348" xr:uid="{00000000-0005-0000-0000-00008F750000}"/>
    <cellStyle name="Normal 397 7" xfId="30349" xr:uid="{00000000-0005-0000-0000-000090750000}"/>
    <cellStyle name="Normal 398" xfId="30350" xr:uid="{00000000-0005-0000-0000-000091750000}"/>
    <cellStyle name="Normal 398 2" xfId="30351" xr:uid="{00000000-0005-0000-0000-000092750000}"/>
    <cellStyle name="Normal 398 2 2" xfId="30352" xr:uid="{00000000-0005-0000-0000-000093750000}"/>
    <cellStyle name="Normal 398 2 2 2" xfId="30353" xr:uid="{00000000-0005-0000-0000-000094750000}"/>
    <cellStyle name="Normal 398 2 3" xfId="30354" xr:uid="{00000000-0005-0000-0000-000095750000}"/>
    <cellStyle name="Normal 398 2 3 2" xfId="30355" xr:uid="{00000000-0005-0000-0000-000096750000}"/>
    <cellStyle name="Normal 398 2 3 2 2" xfId="30356" xr:uid="{00000000-0005-0000-0000-000097750000}"/>
    <cellStyle name="Normal 398 2 3 3" xfId="30357" xr:uid="{00000000-0005-0000-0000-000098750000}"/>
    <cellStyle name="Normal 398 2 4" xfId="30358" xr:uid="{00000000-0005-0000-0000-000099750000}"/>
    <cellStyle name="Normal 398 2 4 2" xfId="30359" xr:uid="{00000000-0005-0000-0000-00009A750000}"/>
    <cellStyle name="Normal 398 2 4 2 2" xfId="30360" xr:uid="{00000000-0005-0000-0000-00009B750000}"/>
    <cellStyle name="Normal 398 2 4 3" xfId="30361" xr:uid="{00000000-0005-0000-0000-00009C750000}"/>
    <cellStyle name="Normal 398 2 5" xfId="30362" xr:uid="{00000000-0005-0000-0000-00009D750000}"/>
    <cellStyle name="Normal 398 3" xfId="30363" xr:uid="{00000000-0005-0000-0000-00009E750000}"/>
    <cellStyle name="Normal 398 3 2" xfId="30364" xr:uid="{00000000-0005-0000-0000-00009F750000}"/>
    <cellStyle name="Normal 398 3 2 2" xfId="30365" xr:uid="{00000000-0005-0000-0000-0000A0750000}"/>
    <cellStyle name="Normal 398 3 2 2 2" xfId="30366" xr:uid="{00000000-0005-0000-0000-0000A1750000}"/>
    <cellStyle name="Normal 398 3 2 3" xfId="30367" xr:uid="{00000000-0005-0000-0000-0000A2750000}"/>
    <cellStyle name="Normal 398 3 2 3 2" xfId="30368" xr:uid="{00000000-0005-0000-0000-0000A3750000}"/>
    <cellStyle name="Normal 398 3 2 3 2 2" xfId="30369" xr:uid="{00000000-0005-0000-0000-0000A4750000}"/>
    <cellStyle name="Normal 398 3 2 3 3" xfId="30370" xr:uid="{00000000-0005-0000-0000-0000A5750000}"/>
    <cellStyle name="Normal 398 3 2 4" xfId="30371" xr:uid="{00000000-0005-0000-0000-0000A6750000}"/>
    <cellStyle name="Normal 398 3 3" xfId="30372" xr:uid="{00000000-0005-0000-0000-0000A7750000}"/>
    <cellStyle name="Normal 398 3 3 2" xfId="30373" xr:uid="{00000000-0005-0000-0000-0000A8750000}"/>
    <cellStyle name="Normal 398 3 3 2 2" xfId="30374" xr:uid="{00000000-0005-0000-0000-0000A9750000}"/>
    <cellStyle name="Normal 398 3 3 3" xfId="30375" xr:uid="{00000000-0005-0000-0000-0000AA750000}"/>
    <cellStyle name="Normal 398 3 4" xfId="30376" xr:uid="{00000000-0005-0000-0000-0000AB750000}"/>
    <cellStyle name="Normal 398 3 4 2" xfId="30377" xr:uid="{00000000-0005-0000-0000-0000AC750000}"/>
    <cellStyle name="Normal 398 3 4 2 2" xfId="30378" xr:uid="{00000000-0005-0000-0000-0000AD750000}"/>
    <cellStyle name="Normal 398 3 4 3" xfId="30379" xr:uid="{00000000-0005-0000-0000-0000AE750000}"/>
    <cellStyle name="Normal 398 3 5" xfId="30380" xr:uid="{00000000-0005-0000-0000-0000AF750000}"/>
    <cellStyle name="Normal 398 3 5 2" xfId="30381" xr:uid="{00000000-0005-0000-0000-0000B0750000}"/>
    <cellStyle name="Normal 398 3 5 2 2" xfId="30382" xr:uid="{00000000-0005-0000-0000-0000B1750000}"/>
    <cellStyle name="Normal 398 3 5 3" xfId="30383" xr:uid="{00000000-0005-0000-0000-0000B2750000}"/>
    <cellStyle name="Normal 398 3 6" xfId="30384" xr:uid="{00000000-0005-0000-0000-0000B3750000}"/>
    <cellStyle name="Normal 398 4" xfId="30385" xr:uid="{00000000-0005-0000-0000-0000B4750000}"/>
    <cellStyle name="Normal 398 4 2" xfId="30386" xr:uid="{00000000-0005-0000-0000-0000B5750000}"/>
    <cellStyle name="Normal 398 4 2 2" xfId="30387" xr:uid="{00000000-0005-0000-0000-0000B6750000}"/>
    <cellStyle name="Normal 398 4 3" xfId="30388" xr:uid="{00000000-0005-0000-0000-0000B7750000}"/>
    <cellStyle name="Normal 398 5" xfId="30389" xr:uid="{00000000-0005-0000-0000-0000B8750000}"/>
    <cellStyle name="Normal 398 5 2" xfId="30390" xr:uid="{00000000-0005-0000-0000-0000B9750000}"/>
    <cellStyle name="Normal 398 5 2 2" xfId="30391" xr:uid="{00000000-0005-0000-0000-0000BA750000}"/>
    <cellStyle name="Normal 398 5 3" xfId="30392" xr:uid="{00000000-0005-0000-0000-0000BB750000}"/>
    <cellStyle name="Normal 398 6" xfId="30393" xr:uid="{00000000-0005-0000-0000-0000BC750000}"/>
    <cellStyle name="Normal 398 6 2" xfId="30394" xr:uid="{00000000-0005-0000-0000-0000BD750000}"/>
    <cellStyle name="Normal 398 6 2 2" xfId="30395" xr:uid="{00000000-0005-0000-0000-0000BE750000}"/>
    <cellStyle name="Normal 398 6 3" xfId="30396" xr:uid="{00000000-0005-0000-0000-0000BF750000}"/>
    <cellStyle name="Normal 398 7" xfId="30397" xr:uid="{00000000-0005-0000-0000-0000C0750000}"/>
    <cellStyle name="Normal 399" xfId="30398" xr:uid="{00000000-0005-0000-0000-0000C1750000}"/>
    <cellStyle name="Normal 399 2" xfId="30399" xr:uid="{00000000-0005-0000-0000-0000C2750000}"/>
    <cellStyle name="Normal 399 2 2" xfId="30400" xr:uid="{00000000-0005-0000-0000-0000C3750000}"/>
    <cellStyle name="Normal 399 2 2 2" xfId="30401" xr:uid="{00000000-0005-0000-0000-0000C4750000}"/>
    <cellStyle name="Normal 399 2 3" xfId="30402" xr:uid="{00000000-0005-0000-0000-0000C5750000}"/>
    <cellStyle name="Normal 399 2 3 2" xfId="30403" xr:uid="{00000000-0005-0000-0000-0000C6750000}"/>
    <cellStyle name="Normal 399 2 3 2 2" xfId="30404" xr:uid="{00000000-0005-0000-0000-0000C7750000}"/>
    <cellStyle name="Normal 399 2 3 3" xfId="30405" xr:uid="{00000000-0005-0000-0000-0000C8750000}"/>
    <cellStyle name="Normal 399 2 4" xfId="30406" xr:uid="{00000000-0005-0000-0000-0000C9750000}"/>
    <cellStyle name="Normal 399 2 4 2" xfId="30407" xr:uid="{00000000-0005-0000-0000-0000CA750000}"/>
    <cellStyle name="Normal 399 2 4 2 2" xfId="30408" xr:uid="{00000000-0005-0000-0000-0000CB750000}"/>
    <cellStyle name="Normal 399 2 4 3" xfId="30409" xr:uid="{00000000-0005-0000-0000-0000CC750000}"/>
    <cellStyle name="Normal 399 2 5" xfId="30410" xr:uid="{00000000-0005-0000-0000-0000CD750000}"/>
    <cellStyle name="Normal 399 3" xfId="30411" xr:uid="{00000000-0005-0000-0000-0000CE750000}"/>
    <cellStyle name="Normal 399 3 2" xfId="30412" xr:uid="{00000000-0005-0000-0000-0000CF750000}"/>
    <cellStyle name="Normal 399 3 2 2" xfId="30413" xr:uid="{00000000-0005-0000-0000-0000D0750000}"/>
    <cellStyle name="Normal 399 3 2 2 2" xfId="30414" xr:uid="{00000000-0005-0000-0000-0000D1750000}"/>
    <cellStyle name="Normal 399 3 2 3" xfId="30415" xr:uid="{00000000-0005-0000-0000-0000D2750000}"/>
    <cellStyle name="Normal 399 3 2 3 2" xfId="30416" xr:uid="{00000000-0005-0000-0000-0000D3750000}"/>
    <cellStyle name="Normal 399 3 2 3 2 2" xfId="30417" xr:uid="{00000000-0005-0000-0000-0000D4750000}"/>
    <cellStyle name="Normal 399 3 2 3 3" xfId="30418" xr:uid="{00000000-0005-0000-0000-0000D5750000}"/>
    <cellStyle name="Normal 399 3 2 4" xfId="30419" xr:uid="{00000000-0005-0000-0000-0000D6750000}"/>
    <cellStyle name="Normal 399 3 3" xfId="30420" xr:uid="{00000000-0005-0000-0000-0000D7750000}"/>
    <cellStyle name="Normal 399 3 3 2" xfId="30421" xr:uid="{00000000-0005-0000-0000-0000D8750000}"/>
    <cellStyle name="Normal 399 3 3 2 2" xfId="30422" xr:uid="{00000000-0005-0000-0000-0000D9750000}"/>
    <cellStyle name="Normal 399 3 3 3" xfId="30423" xr:uid="{00000000-0005-0000-0000-0000DA750000}"/>
    <cellStyle name="Normal 399 3 4" xfId="30424" xr:uid="{00000000-0005-0000-0000-0000DB750000}"/>
    <cellStyle name="Normal 399 3 4 2" xfId="30425" xr:uid="{00000000-0005-0000-0000-0000DC750000}"/>
    <cellStyle name="Normal 399 3 4 2 2" xfId="30426" xr:uid="{00000000-0005-0000-0000-0000DD750000}"/>
    <cellStyle name="Normal 399 3 4 3" xfId="30427" xr:uid="{00000000-0005-0000-0000-0000DE750000}"/>
    <cellStyle name="Normal 399 3 5" xfId="30428" xr:uid="{00000000-0005-0000-0000-0000DF750000}"/>
    <cellStyle name="Normal 399 3 5 2" xfId="30429" xr:uid="{00000000-0005-0000-0000-0000E0750000}"/>
    <cellStyle name="Normal 399 3 5 2 2" xfId="30430" xr:uid="{00000000-0005-0000-0000-0000E1750000}"/>
    <cellStyle name="Normal 399 3 5 3" xfId="30431" xr:uid="{00000000-0005-0000-0000-0000E2750000}"/>
    <cellStyle name="Normal 399 3 6" xfId="30432" xr:uid="{00000000-0005-0000-0000-0000E3750000}"/>
    <cellStyle name="Normal 399 4" xfId="30433" xr:uid="{00000000-0005-0000-0000-0000E4750000}"/>
    <cellStyle name="Normal 399 4 2" xfId="30434" xr:uid="{00000000-0005-0000-0000-0000E5750000}"/>
    <cellStyle name="Normal 399 4 2 2" xfId="30435" xr:uid="{00000000-0005-0000-0000-0000E6750000}"/>
    <cellStyle name="Normal 399 4 3" xfId="30436" xr:uid="{00000000-0005-0000-0000-0000E7750000}"/>
    <cellStyle name="Normal 399 5" xfId="30437" xr:uid="{00000000-0005-0000-0000-0000E8750000}"/>
    <cellStyle name="Normal 399 5 2" xfId="30438" xr:uid="{00000000-0005-0000-0000-0000E9750000}"/>
    <cellStyle name="Normal 399 5 2 2" xfId="30439" xr:uid="{00000000-0005-0000-0000-0000EA750000}"/>
    <cellStyle name="Normal 399 5 3" xfId="30440" xr:uid="{00000000-0005-0000-0000-0000EB750000}"/>
    <cellStyle name="Normal 399 6" xfId="30441" xr:uid="{00000000-0005-0000-0000-0000EC750000}"/>
    <cellStyle name="Normal 399 6 2" xfId="30442" xr:uid="{00000000-0005-0000-0000-0000ED750000}"/>
    <cellStyle name="Normal 399 6 2 2" xfId="30443" xr:uid="{00000000-0005-0000-0000-0000EE750000}"/>
    <cellStyle name="Normal 399 6 3" xfId="30444" xr:uid="{00000000-0005-0000-0000-0000EF750000}"/>
    <cellStyle name="Normal 399 7" xfId="30445" xr:uid="{00000000-0005-0000-0000-0000F0750000}"/>
    <cellStyle name="Normal 4" xfId="33" xr:uid="{00000000-0005-0000-0000-0000F1750000}"/>
    <cellStyle name="Normal 4 10" xfId="30446" xr:uid="{00000000-0005-0000-0000-0000F2750000}"/>
    <cellStyle name="Normal 4 10 2" xfId="30447" xr:uid="{00000000-0005-0000-0000-0000F3750000}"/>
    <cellStyle name="Normal 4 11" xfId="30448" xr:uid="{00000000-0005-0000-0000-0000F4750000}"/>
    <cellStyle name="Normal 4 12" xfId="30449" xr:uid="{00000000-0005-0000-0000-0000F5750000}"/>
    <cellStyle name="Normal 4 2" xfId="104" xr:uid="{00000000-0005-0000-0000-0000F6750000}"/>
    <cellStyle name="Normal 4 2 2" xfId="30450" xr:uid="{00000000-0005-0000-0000-0000F7750000}"/>
    <cellStyle name="Normal 4 2 2 2" xfId="30451" xr:uid="{00000000-0005-0000-0000-0000F8750000}"/>
    <cellStyle name="Normal 4 2 2 2 2" xfId="30452" xr:uid="{00000000-0005-0000-0000-0000F9750000}"/>
    <cellStyle name="Normal 4 2 2 3" xfId="30453" xr:uid="{00000000-0005-0000-0000-0000FA750000}"/>
    <cellStyle name="Normal 4 2 2 3 2" xfId="30454" xr:uid="{00000000-0005-0000-0000-0000FB750000}"/>
    <cellStyle name="Normal 4 2 2 3 2 2" xfId="30455" xr:uid="{00000000-0005-0000-0000-0000FC750000}"/>
    <cellStyle name="Normal 4 2 2 3 3" xfId="30456" xr:uid="{00000000-0005-0000-0000-0000FD750000}"/>
    <cellStyle name="Normal 4 2 2 4" xfId="30457" xr:uid="{00000000-0005-0000-0000-0000FE750000}"/>
    <cellStyle name="Normal 4 2 2 4 2" xfId="30458" xr:uid="{00000000-0005-0000-0000-0000FF750000}"/>
    <cellStyle name="Normal 4 2 2 4 2 2" xfId="30459" xr:uid="{00000000-0005-0000-0000-000000760000}"/>
    <cellStyle name="Normal 4 2 2 4 3" xfId="30460" xr:uid="{00000000-0005-0000-0000-000001760000}"/>
    <cellStyle name="Normal 4 2 2 5" xfId="30461" xr:uid="{00000000-0005-0000-0000-000002760000}"/>
    <cellStyle name="Normal 4 2 3" xfId="30462" xr:uid="{00000000-0005-0000-0000-000003760000}"/>
    <cellStyle name="Normal 4 2 3 2" xfId="30463" xr:uid="{00000000-0005-0000-0000-000004760000}"/>
    <cellStyle name="Normal 4 2 3 2 2" xfId="30464" xr:uid="{00000000-0005-0000-0000-000005760000}"/>
    <cellStyle name="Normal 4 2 3 2 2 2" xfId="30465" xr:uid="{00000000-0005-0000-0000-000006760000}"/>
    <cellStyle name="Normal 4 2 3 2 3" xfId="30466" xr:uid="{00000000-0005-0000-0000-000007760000}"/>
    <cellStyle name="Normal 4 2 3 2 3 2" xfId="30467" xr:uid="{00000000-0005-0000-0000-000008760000}"/>
    <cellStyle name="Normal 4 2 3 2 3 2 2" xfId="30468" xr:uid="{00000000-0005-0000-0000-000009760000}"/>
    <cellStyle name="Normal 4 2 3 2 3 3" xfId="30469" xr:uid="{00000000-0005-0000-0000-00000A760000}"/>
    <cellStyle name="Normal 4 2 3 2 4" xfId="30470" xr:uid="{00000000-0005-0000-0000-00000B760000}"/>
    <cellStyle name="Normal 4 2 3 3" xfId="30471" xr:uid="{00000000-0005-0000-0000-00000C760000}"/>
    <cellStyle name="Normal 4 2 3 3 2" xfId="30472" xr:uid="{00000000-0005-0000-0000-00000D760000}"/>
    <cellStyle name="Normal 4 2 3 3 2 2" xfId="30473" xr:uid="{00000000-0005-0000-0000-00000E760000}"/>
    <cellStyle name="Normal 4 2 3 3 3" xfId="30474" xr:uid="{00000000-0005-0000-0000-00000F760000}"/>
    <cellStyle name="Normal 4 2 3 4" xfId="30475" xr:uid="{00000000-0005-0000-0000-000010760000}"/>
    <cellStyle name="Normal 4 2 3 4 2" xfId="30476" xr:uid="{00000000-0005-0000-0000-000011760000}"/>
    <cellStyle name="Normal 4 2 3 4 2 2" xfId="30477" xr:uid="{00000000-0005-0000-0000-000012760000}"/>
    <cellStyle name="Normal 4 2 3 4 3" xfId="30478" xr:uid="{00000000-0005-0000-0000-000013760000}"/>
    <cellStyle name="Normal 4 2 3 5" xfId="30479" xr:uid="{00000000-0005-0000-0000-000014760000}"/>
    <cellStyle name="Normal 4 2 3 5 2" xfId="30480" xr:uid="{00000000-0005-0000-0000-000015760000}"/>
    <cellStyle name="Normal 4 2 3 5 2 2" xfId="30481" xr:uid="{00000000-0005-0000-0000-000016760000}"/>
    <cellStyle name="Normal 4 2 3 5 3" xfId="30482" xr:uid="{00000000-0005-0000-0000-000017760000}"/>
    <cellStyle name="Normal 4 2 3 6" xfId="30483" xr:uid="{00000000-0005-0000-0000-000018760000}"/>
    <cellStyle name="Normal 4 2 4" xfId="30484" xr:uid="{00000000-0005-0000-0000-000019760000}"/>
    <cellStyle name="Normal 4 2 4 2" xfId="30485" xr:uid="{00000000-0005-0000-0000-00001A760000}"/>
    <cellStyle name="Normal 4 2 4 2 2" xfId="30486" xr:uid="{00000000-0005-0000-0000-00001B760000}"/>
    <cellStyle name="Normal 4 2 4 3" xfId="30487" xr:uid="{00000000-0005-0000-0000-00001C760000}"/>
    <cellStyle name="Normal 4 2 5" xfId="30488" xr:uid="{00000000-0005-0000-0000-00001D760000}"/>
    <cellStyle name="Normal 4 2 5 2" xfId="30489" xr:uid="{00000000-0005-0000-0000-00001E760000}"/>
    <cellStyle name="Normal 4 2 5 2 2" xfId="30490" xr:uid="{00000000-0005-0000-0000-00001F760000}"/>
    <cellStyle name="Normal 4 2 5 3" xfId="30491" xr:uid="{00000000-0005-0000-0000-000020760000}"/>
    <cellStyle name="Normal 4 2 6" xfId="30492" xr:uid="{00000000-0005-0000-0000-000021760000}"/>
    <cellStyle name="Normal 4 2 6 2" xfId="30493" xr:uid="{00000000-0005-0000-0000-000022760000}"/>
    <cellStyle name="Normal 4 2 6 2 2" xfId="30494" xr:uid="{00000000-0005-0000-0000-000023760000}"/>
    <cellStyle name="Normal 4 2 6 3" xfId="30495" xr:uid="{00000000-0005-0000-0000-000024760000}"/>
    <cellStyle name="Normal 4 2 7" xfId="30496" xr:uid="{00000000-0005-0000-0000-000025760000}"/>
    <cellStyle name="Normal 4 2 7 2" xfId="30497" xr:uid="{00000000-0005-0000-0000-000026760000}"/>
    <cellStyle name="Normal 4 2 8" xfId="30498" xr:uid="{00000000-0005-0000-0000-000027760000}"/>
    <cellStyle name="Normal 4 3" xfId="30499" xr:uid="{00000000-0005-0000-0000-000028760000}"/>
    <cellStyle name="Normal 4 3 2" xfId="30500" xr:uid="{00000000-0005-0000-0000-000029760000}"/>
    <cellStyle name="Normal 4 3 2 2" xfId="30501" xr:uid="{00000000-0005-0000-0000-00002A760000}"/>
    <cellStyle name="Normal 4 3 2 2 2" xfId="30502" xr:uid="{00000000-0005-0000-0000-00002B760000}"/>
    <cellStyle name="Normal 4 3 2 3" xfId="30503" xr:uid="{00000000-0005-0000-0000-00002C760000}"/>
    <cellStyle name="Normal 4 3 2 3 2" xfId="30504" xr:uid="{00000000-0005-0000-0000-00002D760000}"/>
    <cellStyle name="Normal 4 3 2 3 2 2" xfId="30505" xr:uid="{00000000-0005-0000-0000-00002E760000}"/>
    <cellStyle name="Normal 4 3 2 3 3" xfId="30506" xr:uid="{00000000-0005-0000-0000-00002F760000}"/>
    <cellStyle name="Normal 4 3 2 4" xfId="30507" xr:uid="{00000000-0005-0000-0000-000030760000}"/>
    <cellStyle name="Normal 4 3 2 4 2" xfId="30508" xr:uid="{00000000-0005-0000-0000-000031760000}"/>
    <cellStyle name="Normal 4 3 2 4 2 2" xfId="30509" xr:uid="{00000000-0005-0000-0000-000032760000}"/>
    <cellStyle name="Normal 4 3 2 4 3" xfId="30510" xr:uid="{00000000-0005-0000-0000-000033760000}"/>
    <cellStyle name="Normal 4 3 2 5" xfId="30511" xr:uid="{00000000-0005-0000-0000-000034760000}"/>
    <cellStyle name="Normal 4 3 3" xfId="30512" xr:uid="{00000000-0005-0000-0000-000035760000}"/>
    <cellStyle name="Normal 4 3 3 2" xfId="30513" xr:uid="{00000000-0005-0000-0000-000036760000}"/>
    <cellStyle name="Normal 4 3 3 2 2" xfId="30514" xr:uid="{00000000-0005-0000-0000-000037760000}"/>
    <cellStyle name="Normal 4 3 3 3" xfId="30515" xr:uid="{00000000-0005-0000-0000-000038760000}"/>
    <cellStyle name="Normal 4 3 4" xfId="30516" xr:uid="{00000000-0005-0000-0000-000039760000}"/>
    <cellStyle name="Normal 4 3 4 2" xfId="30517" xr:uid="{00000000-0005-0000-0000-00003A760000}"/>
    <cellStyle name="Normal 4 3 4 2 2" xfId="30518" xr:uid="{00000000-0005-0000-0000-00003B760000}"/>
    <cellStyle name="Normal 4 3 4 3" xfId="30519" xr:uid="{00000000-0005-0000-0000-00003C760000}"/>
    <cellStyle name="Normal 4 3 5" xfId="30520" xr:uid="{00000000-0005-0000-0000-00003D760000}"/>
    <cellStyle name="Normal 4 3 5 2" xfId="30521" xr:uid="{00000000-0005-0000-0000-00003E760000}"/>
    <cellStyle name="Normal 4 3 5 2 2" xfId="30522" xr:uid="{00000000-0005-0000-0000-00003F760000}"/>
    <cellStyle name="Normal 4 3 5 3" xfId="30523" xr:uid="{00000000-0005-0000-0000-000040760000}"/>
    <cellStyle name="Normal 4 3 6" xfId="30524" xr:uid="{00000000-0005-0000-0000-000041760000}"/>
    <cellStyle name="Normal 4 4" xfId="30525" xr:uid="{00000000-0005-0000-0000-000042760000}"/>
    <cellStyle name="Normal 4 4 2" xfId="30526" xr:uid="{00000000-0005-0000-0000-000043760000}"/>
    <cellStyle name="Normal 4 4 2 2" xfId="30527" xr:uid="{00000000-0005-0000-0000-000044760000}"/>
    <cellStyle name="Normal 4 4 2 2 2" xfId="30528" xr:uid="{00000000-0005-0000-0000-000045760000}"/>
    <cellStyle name="Normal 4 4 2 3" xfId="30529" xr:uid="{00000000-0005-0000-0000-000046760000}"/>
    <cellStyle name="Normal 4 4 2 3 2" xfId="30530" xr:uid="{00000000-0005-0000-0000-000047760000}"/>
    <cellStyle name="Normal 4 4 2 3 2 2" xfId="30531" xr:uid="{00000000-0005-0000-0000-000048760000}"/>
    <cellStyle name="Normal 4 4 2 3 3" xfId="30532" xr:uid="{00000000-0005-0000-0000-000049760000}"/>
    <cellStyle name="Normal 4 4 2 4" xfId="30533" xr:uid="{00000000-0005-0000-0000-00004A760000}"/>
    <cellStyle name="Normal 4 4 2 4 2" xfId="30534" xr:uid="{00000000-0005-0000-0000-00004B760000}"/>
    <cellStyle name="Normal 4 4 2 4 2 2" xfId="30535" xr:uid="{00000000-0005-0000-0000-00004C760000}"/>
    <cellStyle name="Normal 4 4 2 4 3" xfId="30536" xr:uid="{00000000-0005-0000-0000-00004D760000}"/>
    <cellStyle name="Normal 4 4 2 5" xfId="30537" xr:uid="{00000000-0005-0000-0000-00004E760000}"/>
    <cellStyle name="Normal 4 4 3" xfId="30538" xr:uid="{00000000-0005-0000-0000-00004F760000}"/>
    <cellStyle name="Normal 4 4 3 2" xfId="30539" xr:uid="{00000000-0005-0000-0000-000050760000}"/>
    <cellStyle name="Normal 4 4 3 2 2" xfId="30540" xr:uid="{00000000-0005-0000-0000-000051760000}"/>
    <cellStyle name="Normal 4 4 3 3" xfId="30541" xr:uid="{00000000-0005-0000-0000-000052760000}"/>
    <cellStyle name="Normal 4 4 4" xfId="30542" xr:uid="{00000000-0005-0000-0000-000053760000}"/>
    <cellStyle name="Normal 4 4 4 2" xfId="30543" xr:uid="{00000000-0005-0000-0000-000054760000}"/>
    <cellStyle name="Normal 4 4 4 2 2" xfId="30544" xr:uid="{00000000-0005-0000-0000-000055760000}"/>
    <cellStyle name="Normal 4 4 4 3" xfId="30545" xr:uid="{00000000-0005-0000-0000-000056760000}"/>
    <cellStyle name="Normal 4 4 5" xfId="30546" xr:uid="{00000000-0005-0000-0000-000057760000}"/>
    <cellStyle name="Normal 4 4 5 2" xfId="30547" xr:uid="{00000000-0005-0000-0000-000058760000}"/>
    <cellStyle name="Normal 4 4 5 2 2" xfId="30548" xr:uid="{00000000-0005-0000-0000-000059760000}"/>
    <cellStyle name="Normal 4 4 5 3" xfId="30549" xr:uid="{00000000-0005-0000-0000-00005A760000}"/>
    <cellStyle name="Normal 4 4 6" xfId="30550" xr:uid="{00000000-0005-0000-0000-00005B760000}"/>
    <cellStyle name="Normal 4 5" xfId="30551" xr:uid="{00000000-0005-0000-0000-00005C760000}"/>
    <cellStyle name="Normal 4 5 2" xfId="30552" xr:uid="{00000000-0005-0000-0000-00005D760000}"/>
    <cellStyle name="Normal 4 5 2 2" xfId="30553" xr:uid="{00000000-0005-0000-0000-00005E760000}"/>
    <cellStyle name="Normal 4 5 3" xfId="30554" xr:uid="{00000000-0005-0000-0000-00005F760000}"/>
    <cellStyle name="Normal 4 5 3 2" xfId="30555" xr:uid="{00000000-0005-0000-0000-000060760000}"/>
    <cellStyle name="Normal 4 5 3 2 2" xfId="30556" xr:uid="{00000000-0005-0000-0000-000061760000}"/>
    <cellStyle name="Normal 4 5 3 3" xfId="30557" xr:uid="{00000000-0005-0000-0000-000062760000}"/>
    <cellStyle name="Normal 4 5 4" xfId="30558" xr:uid="{00000000-0005-0000-0000-000063760000}"/>
    <cellStyle name="Normal 4 5 4 2" xfId="30559" xr:uid="{00000000-0005-0000-0000-000064760000}"/>
    <cellStyle name="Normal 4 5 4 2 2" xfId="30560" xr:uid="{00000000-0005-0000-0000-000065760000}"/>
    <cellStyle name="Normal 4 5 4 3" xfId="30561" xr:uid="{00000000-0005-0000-0000-000066760000}"/>
    <cellStyle name="Normal 4 5 5" xfId="30562" xr:uid="{00000000-0005-0000-0000-000067760000}"/>
    <cellStyle name="Normal 4 6" xfId="30563" xr:uid="{00000000-0005-0000-0000-000068760000}"/>
    <cellStyle name="Normal 4 6 2" xfId="30564" xr:uid="{00000000-0005-0000-0000-000069760000}"/>
    <cellStyle name="Normal 4 6 2 2" xfId="30565" xr:uid="{00000000-0005-0000-0000-00006A760000}"/>
    <cellStyle name="Normal 4 6 3" xfId="30566" xr:uid="{00000000-0005-0000-0000-00006B760000}"/>
    <cellStyle name="Normal 4 6 3 2" xfId="30567" xr:uid="{00000000-0005-0000-0000-00006C760000}"/>
    <cellStyle name="Normal 4 6 3 2 2" xfId="30568" xr:uid="{00000000-0005-0000-0000-00006D760000}"/>
    <cellStyle name="Normal 4 6 3 3" xfId="30569" xr:uid="{00000000-0005-0000-0000-00006E760000}"/>
    <cellStyle name="Normal 4 6 4" xfId="30570" xr:uid="{00000000-0005-0000-0000-00006F760000}"/>
    <cellStyle name="Normal 4 6 4 2" xfId="30571" xr:uid="{00000000-0005-0000-0000-000070760000}"/>
    <cellStyle name="Normal 4 6 4 2 2" xfId="30572" xr:uid="{00000000-0005-0000-0000-000071760000}"/>
    <cellStyle name="Normal 4 6 4 3" xfId="30573" xr:uid="{00000000-0005-0000-0000-000072760000}"/>
    <cellStyle name="Normal 4 6 5" xfId="30574" xr:uid="{00000000-0005-0000-0000-000073760000}"/>
    <cellStyle name="Normal 4 7" xfId="30575" xr:uid="{00000000-0005-0000-0000-000074760000}"/>
    <cellStyle name="Normal 4 7 2" xfId="30576" xr:uid="{00000000-0005-0000-0000-000075760000}"/>
    <cellStyle name="Normal 4 7 2 2" xfId="30577" xr:uid="{00000000-0005-0000-0000-000076760000}"/>
    <cellStyle name="Normal 4 7 3" xfId="30578" xr:uid="{00000000-0005-0000-0000-000077760000}"/>
    <cellStyle name="Normal 4 8" xfId="30579" xr:uid="{00000000-0005-0000-0000-000078760000}"/>
    <cellStyle name="Normal 4 8 2" xfId="30580" xr:uid="{00000000-0005-0000-0000-000079760000}"/>
    <cellStyle name="Normal 4 8 2 2" xfId="30581" xr:uid="{00000000-0005-0000-0000-00007A760000}"/>
    <cellStyle name="Normal 4 8 3" xfId="30582" xr:uid="{00000000-0005-0000-0000-00007B760000}"/>
    <cellStyle name="Normal 4 9" xfId="30583" xr:uid="{00000000-0005-0000-0000-00007C760000}"/>
    <cellStyle name="Normal 4 9 2" xfId="30584" xr:uid="{00000000-0005-0000-0000-00007D760000}"/>
    <cellStyle name="Normal 4 9 2 2" xfId="30585" xr:uid="{00000000-0005-0000-0000-00007E760000}"/>
    <cellStyle name="Normal 4 9 3" xfId="30586" xr:uid="{00000000-0005-0000-0000-00007F760000}"/>
    <cellStyle name="Normal 40" xfId="30587" xr:uid="{00000000-0005-0000-0000-000080760000}"/>
    <cellStyle name="Normal 40 2" xfId="30588" xr:uid="{00000000-0005-0000-0000-000081760000}"/>
    <cellStyle name="Normal 40 2 2" xfId="30589" xr:uid="{00000000-0005-0000-0000-000082760000}"/>
    <cellStyle name="Normal 40 2 2 2" xfId="30590" xr:uid="{00000000-0005-0000-0000-000083760000}"/>
    <cellStyle name="Normal 40 2 2 2 2" xfId="30591" xr:uid="{00000000-0005-0000-0000-000084760000}"/>
    <cellStyle name="Normal 40 2 2 3" xfId="30592" xr:uid="{00000000-0005-0000-0000-000085760000}"/>
    <cellStyle name="Normal 40 2 2 3 2" xfId="30593" xr:uid="{00000000-0005-0000-0000-000086760000}"/>
    <cellStyle name="Normal 40 2 2 3 2 2" xfId="30594" xr:uid="{00000000-0005-0000-0000-000087760000}"/>
    <cellStyle name="Normal 40 2 2 3 3" xfId="30595" xr:uid="{00000000-0005-0000-0000-000088760000}"/>
    <cellStyle name="Normal 40 2 2 4" xfId="30596" xr:uid="{00000000-0005-0000-0000-000089760000}"/>
    <cellStyle name="Normal 40 2 2 4 2" xfId="30597" xr:uid="{00000000-0005-0000-0000-00008A760000}"/>
    <cellStyle name="Normal 40 2 2 4 2 2" xfId="30598" xr:uid="{00000000-0005-0000-0000-00008B760000}"/>
    <cellStyle name="Normal 40 2 2 4 3" xfId="30599" xr:uid="{00000000-0005-0000-0000-00008C760000}"/>
    <cellStyle name="Normal 40 2 2 5" xfId="30600" xr:uid="{00000000-0005-0000-0000-00008D760000}"/>
    <cellStyle name="Normal 40 2 3" xfId="30601" xr:uid="{00000000-0005-0000-0000-00008E760000}"/>
    <cellStyle name="Normal 40 2 3 2" xfId="30602" xr:uid="{00000000-0005-0000-0000-00008F760000}"/>
    <cellStyle name="Normal 40 2 3 2 2" xfId="30603" xr:uid="{00000000-0005-0000-0000-000090760000}"/>
    <cellStyle name="Normal 40 2 3 3" xfId="30604" xr:uid="{00000000-0005-0000-0000-000091760000}"/>
    <cellStyle name="Normal 40 2 4" xfId="30605" xr:uid="{00000000-0005-0000-0000-000092760000}"/>
    <cellStyle name="Normal 40 2 4 2" xfId="30606" xr:uid="{00000000-0005-0000-0000-000093760000}"/>
    <cellStyle name="Normal 40 2 4 2 2" xfId="30607" xr:uid="{00000000-0005-0000-0000-000094760000}"/>
    <cellStyle name="Normal 40 2 4 3" xfId="30608" xr:uid="{00000000-0005-0000-0000-000095760000}"/>
    <cellStyle name="Normal 40 2 5" xfId="30609" xr:uid="{00000000-0005-0000-0000-000096760000}"/>
    <cellStyle name="Normal 40 2 5 2" xfId="30610" xr:uid="{00000000-0005-0000-0000-000097760000}"/>
    <cellStyle name="Normal 40 2 5 2 2" xfId="30611" xr:uid="{00000000-0005-0000-0000-000098760000}"/>
    <cellStyle name="Normal 40 2 5 3" xfId="30612" xr:uid="{00000000-0005-0000-0000-000099760000}"/>
    <cellStyle name="Normal 40 2 6" xfId="30613" xr:uid="{00000000-0005-0000-0000-00009A760000}"/>
    <cellStyle name="Normal 40 3" xfId="30614" xr:uid="{00000000-0005-0000-0000-00009B760000}"/>
    <cellStyle name="Normal 40 3 2" xfId="30615" xr:uid="{00000000-0005-0000-0000-00009C760000}"/>
    <cellStyle name="Normal 40 3 2 2" xfId="30616" xr:uid="{00000000-0005-0000-0000-00009D760000}"/>
    <cellStyle name="Normal 40 3 3" xfId="30617" xr:uid="{00000000-0005-0000-0000-00009E760000}"/>
    <cellStyle name="Normal 40 3 3 2" xfId="30618" xr:uid="{00000000-0005-0000-0000-00009F760000}"/>
    <cellStyle name="Normal 40 3 3 2 2" xfId="30619" xr:uid="{00000000-0005-0000-0000-0000A0760000}"/>
    <cellStyle name="Normal 40 3 3 3" xfId="30620" xr:uid="{00000000-0005-0000-0000-0000A1760000}"/>
    <cellStyle name="Normal 40 3 4" xfId="30621" xr:uid="{00000000-0005-0000-0000-0000A2760000}"/>
    <cellStyle name="Normal 40 3 4 2" xfId="30622" xr:uid="{00000000-0005-0000-0000-0000A3760000}"/>
    <cellStyle name="Normal 40 3 4 2 2" xfId="30623" xr:uid="{00000000-0005-0000-0000-0000A4760000}"/>
    <cellStyle name="Normal 40 3 4 3" xfId="30624" xr:uid="{00000000-0005-0000-0000-0000A5760000}"/>
    <cellStyle name="Normal 40 3 5" xfId="30625" xr:uid="{00000000-0005-0000-0000-0000A6760000}"/>
    <cellStyle name="Normal 40 4" xfId="30626" xr:uid="{00000000-0005-0000-0000-0000A7760000}"/>
    <cellStyle name="Normal 40 4 2" xfId="30627" xr:uid="{00000000-0005-0000-0000-0000A8760000}"/>
    <cellStyle name="Normal 40 4 2 2" xfId="30628" xr:uid="{00000000-0005-0000-0000-0000A9760000}"/>
    <cellStyle name="Normal 40 4 3" xfId="30629" xr:uid="{00000000-0005-0000-0000-0000AA760000}"/>
    <cellStyle name="Normal 40 5" xfId="30630" xr:uid="{00000000-0005-0000-0000-0000AB760000}"/>
    <cellStyle name="Normal 40 5 2" xfId="30631" xr:uid="{00000000-0005-0000-0000-0000AC760000}"/>
    <cellStyle name="Normal 40 5 2 2" xfId="30632" xr:uid="{00000000-0005-0000-0000-0000AD760000}"/>
    <cellStyle name="Normal 40 5 3" xfId="30633" xr:uid="{00000000-0005-0000-0000-0000AE760000}"/>
    <cellStyle name="Normal 40 6" xfId="30634" xr:uid="{00000000-0005-0000-0000-0000AF760000}"/>
    <cellStyle name="Normal 40 6 2" xfId="30635" xr:uid="{00000000-0005-0000-0000-0000B0760000}"/>
    <cellStyle name="Normal 40 6 2 2" xfId="30636" xr:uid="{00000000-0005-0000-0000-0000B1760000}"/>
    <cellStyle name="Normal 40 6 3" xfId="30637" xr:uid="{00000000-0005-0000-0000-0000B2760000}"/>
    <cellStyle name="Normal 40 7" xfId="30638" xr:uid="{00000000-0005-0000-0000-0000B3760000}"/>
    <cellStyle name="Normal 400" xfId="30639" xr:uid="{00000000-0005-0000-0000-0000B4760000}"/>
    <cellStyle name="Normal 400 2" xfId="30640" xr:uid="{00000000-0005-0000-0000-0000B5760000}"/>
    <cellStyle name="Normal 400 2 2" xfId="30641" xr:uid="{00000000-0005-0000-0000-0000B6760000}"/>
    <cellStyle name="Normal 400 2 2 2" xfId="30642" xr:uid="{00000000-0005-0000-0000-0000B7760000}"/>
    <cellStyle name="Normal 400 2 3" xfId="30643" xr:uid="{00000000-0005-0000-0000-0000B8760000}"/>
    <cellStyle name="Normal 400 2 3 2" xfId="30644" xr:uid="{00000000-0005-0000-0000-0000B9760000}"/>
    <cellStyle name="Normal 400 2 3 2 2" xfId="30645" xr:uid="{00000000-0005-0000-0000-0000BA760000}"/>
    <cellStyle name="Normal 400 2 3 3" xfId="30646" xr:uid="{00000000-0005-0000-0000-0000BB760000}"/>
    <cellStyle name="Normal 400 2 4" xfId="30647" xr:uid="{00000000-0005-0000-0000-0000BC760000}"/>
    <cellStyle name="Normal 400 2 4 2" xfId="30648" xr:uid="{00000000-0005-0000-0000-0000BD760000}"/>
    <cellStyle name="Normal 400 2 4 2 2" xfId="30649" xr:uid="{00000000-0005-0000-0000-0000BE760000}"/>
    <cellStyle name="Normal 400 2 4 3" xfId="30650" xr:uid="{00000000-0005-0000-0000-0000BF760000}"/>
    <cellStyle name="Normal 400 2 5" xfId="30651" xr:uid="{00000000-0005-0000-0000-0000C0760000}"/>
    <cellStyle name="Normal 400 3" xfId="30652" xr:uid="{00000000-0005-0000-0000-0000C1760000}"/>
    <cellStyle name="Normal 400 3 2" xfId="30653" xr:uid="{00000000-0005-0000-0000-0000C2760000}"/>
    <cellStyle name="Normal 400 3 2 2" xfId="30654" xr:uid="{00000000-0005-0000-0000-0000C3760000}"/>
    <cellStyle name="Normal 400 3 2 2 2" xfId="30655" xr:uid="{00000000-0005-0000-0000-0000C4760000}"/>
    <cellStyle name="Normal 400 3 2 3" xfId="30656" xr:uid="{00000000-0005-0000-0000-0000C5760000}"/>
    <cellStyle name="Normal 400 3 2 3 2" xfId="30657" xr:uid="{00000000-0005-0000-0000-0000C6760000}"/>
    <cellStyle name="Normal 400 3 2 3 2 2" xfId="30658" xr:uid="{00000000-0005-0000-0000-0000C7760000}"/>
    <cellStyle name="Normal 400 3 2 3 3" xfId="30659" xr:uid="{00000000-0005-0000-0000-0000C8760000}"/>
    <cellStyle name="Normal 400 3 2 4" xfId="30660" xr:uid="{00000000-0005-0000-0000-0000C9760000}"/>
    <cellStyle name="Normal 400 3 3" xfId="30661" xr:uid="{00000000-0005-0000-0000-0000CA760000}"/>
    <cellStyle name="Normal 400 3 3 2" xfId="30662" xr:uid="{00000000-0005-0000-0000-0000CB760000}"/>
    <cellStyle name="Normal 400 3 3 2 2" xfId="30663" xr:uid="{00000000-0005-0000-0000-0000CC760000}"/>
    <cellStyle name="Normal 400 3 3 3" xfId="30664" xr:uid="{00000000-0005-0000-0000-0000CD760000}"/>
    <cellStyle name="Normal 400 3 4" xfId="30665" xr:uid="{00000000-0005-0000-0000-0000CE760000}"/>
    <cellStyle name="Normal 400 3 4 2" xfId="30666" xr:uid="{00000000-0005-0000-0000-0000CF760000}"/>
    <cellStyle name="Normal 400 3 4 2 2" xfId="30667" xr:uid="{00000000-0005-0000-0000-0000D0760000}"/>
    <cellStyle name="Normal 400 3 4 3" xfId="30668" xr:uid="{00000000-0005-0000-0000-0000D1760000}"/>
    <cellStyle name="Normal 400 3 5" xfId="30669" xr:uid="{00000000-0005-0000-0000-0000D2760000}"/>
    <cellStyle name="Normal 400 3 5 2" xfId="30670" xr:uid="{00000000-0005-0000-0000-0000D3760000}"/>
    <cellStyle name="Normal 400 3 5 2 2" xfId="30671" xr:uid="{00000000-0005-0000-0000-0000D4760000}"/>
    <cellStyle name="Normal 400 3 5 3" xfId="30672" xr:uid="{00000000-0005-0000-0000-0000D5760000}"/>
    <cellStyle name="Normal 400 3 6" xfId="30673" xr:uid="{00000000-0005-0000-0000-0000D6760000}"/>
    <cellStyle name="Normal 400 4" xfId="30674" xr:uid="{00000000-0005-0000-0000-0000D7760000}"/>
    <cellStyle name="Normal 400 4 2" xfId="30675" xr:uid="{00000000-0005-0000-0000-0000D8760000}"/>
    <cellStyle name="Normal 400 4 2 2" xfId="30676" xr:uid="{00000000-0005-0000-0000-0000D9760000}"/>
    <cellStyle name="Normal 400 4 3" xfId="30677" xr:uid="{00000000-0005-0000-0000-0000DA760000}"/>
    <cellStyle name="Normal 400 5" xfId="30678" xr:uid="{00000000-0005-0000-0000-0000DB760000}"/>
    <cellStyle name="Normal 400 5 2" xfId="30679" xr:uid="{00000000-0005-0000-0000-0000DC760000}"/>
    <cellStyle name="Normal 400 5 2 2" xfId="30680" xr:uid="{00000000-0005-0000-0000-0000DD760000}"/>
    <cellStyle name="Normal 400 5 3" xfId="30681" xr:uid="{00000000-0005-0000-0000-0000DE760000}"/>
    <cellStyle name="Normal 400 6" xfId="30682" xr:uid="{00000000-0005-0000-0000-0000DF760000}"/>
    <cellStyle name="Normal 400 6 2" xfId="30683" xr:uid="{00000000-0005-0000-0000-0000E0760000}"/>
    <cellStyle name="Normal 400 6 2 2" xfId="30684" xr:uid="{00000000-0005-0000-0000-0000E1760000}"/>
    <cellStyle name="Normal 400 6 3" xfId="30685" xr:uid="{00000000-0005-0000-0000-0000E2760000}"/>
    <cellStyle name="Normal 400 7" xfId="30686" xr:uid="{00000000-0005-0000-0000-0000E3760000}"/>
    <cellStyle name="Normal 401" xfId="30687" xr:uid="{00000000-0005-0000-0000-0000E4760000}"/>
    <cellStyle name="Normal 401 2" xfId="30688" xr:uid="{00000000-0005-0000-0000-0000E5760000}"/>
    <cellStyle name="Normal 401 2 2" xfId="30689" xr:uid="{00000000-0005-0000-0000-0000E6760000}"/>
    <cellStyle name="Normal 401 2 2 2" xfId="30690" xr:uid="{00000000-0005-0000-0000-0000E7760000}"/>
    <cellStyle name="Normal 401 2 3" xfId="30691" xr:uid="{00000000-0005-0000-0000-0000E8760000}"/>
    <cellStyle name="Normal 401 2 3 2" xfId="30692" xr:uid="{00000000-0005-0000-0000-0000E9760000}"/>
    <cellStyle name="Normal 401 2 3 2 2" xfId="30693" xr:uid="{00000000-0005-0000-0000-0000EA760000}"/>
    <cellStyle name="Normal 401 2 3 3" xfId="30694" xr:uid="{00000000-0005-0000-0000-0000EB760000}"/>
    <cellStyle name="Normal 401 2 4" xfId="30695" xr:uid="{00000000-0005-0000-0000-0000EC760000}"/>
    <cellStyle name="Normal 401 2 4 2" xfId="30696" xr:uid="{00000000-0005-0000-0000-0000ED760000}"/>
    <cellStyle name="Normal 401 2 4 2 2" xfId="30697" xr:uid="{00000000-0005-0000-0000-0000EE760000}"/>
    <cellStyle name="Normal 401 2 4 3" xfId="30698" xr:uid="{00000000-0005-0000-0000-0000EF760000}"/>
    <cellStyle name="Normal 401 2 5" xfId="30699" xr:uid="{00000000-0005-0000-0000-0000F0760000}"/>
    <cellStyle name="Normal 401 3" xfId="30700" xr:uid="{00000000-0005-0000-0000-0000F1760000}"/>
    <cellStyle name="Normal 401 3 2" xfId="30701" xr:uid="{00000000-0005-0000-0000-0000F2760000}"/>
    <cellStyle name="Normal 401 3 2 2" xfId="30702" xr:uid="{00000000-0005-0000-0000-0000F3760000}"/>
    <cellStyle name="Normal 401 3 2 2 2" xfId="30703" xr:uid="{00000000-0005-0000-0000-0000F4760000}"/>
    <cellStyle name="Normal 401 3 2 3" xfId="30704" xr:uid="{00000000-0005-0000-0000-0000F5760000}"/>
    <cellStyle name="Normal 401 3 2 3 2" xfId="30705" xr:uid="{00000000-0005-0000-0000-0000F6760000}"/>
    <cellStyle name="Normal 401 3 2 3 2 2" xfId="30706" xr:uid="{00000000-0005-0000-0000-0000F7760000}"/>
    <cellStyle name="Normal 401 3 2 3 3" xfId="30707" xr:uid="{00000000-0005-0000-0000-0000F8760000}"/>
    <cellStyle name="Normal 401 3 2 4" xfId="30708" xr:uid="{00000000-0005-0000-0000-0000F9760000}"/>
    <cellStyle name="Normal 401 3 3" xfId="30709" xr:uid="{00000000-0005-0000-0000-0000FA760000}"/>
    <cellStyle name="Normal 401 3 3 2" xfId="30710" xr:uid="{00000000-0005-0000-0000-0000FB760000}"/>
    <cellStyle name="Normal 401 3 3 2 2" xfId="30711" xr:uid="{00000000-0005-0000-0000-0000FC760000}"/>
    <cellStyle name="Normal 401 3 3 3" xfId="30712" xr:uid="{00000000-0005-0000-0000-0000FD760000}"/>
    <cellStyle name="Normal 401 3 4" xfId="30713" xr:uid="{00000000-0005-0000-0000-0000FE760000}"/>
    <cellStyle name="Normal 401 3 4 2" xfId="30714" xr:uid="{00000000-0005-0000-0000-0000FF760000}"/>
    <cellStyle name="Normal 401 3 4 2 2" xfId="30715" xr:uid="{00000000-0005-0000-0000-000000770000}"/>
    <cellStyle name="Normal 401 3 4 3" xfId="30716" xr:uid="{00000000-0005-0000-0000-000001770000}"/>
    <cellStyle name="Normal 401 3 5" xfId="30717" xr:uid="{00000000-0005-0000-0000-000002770000}"/>
    <cellStyle name="Normal 401 3 5 2" xfId="30718" xr:uid="{00000000-0005-0000-0000-000003770000}"/>
    <cellStyle name="Normal 401 3 5 2 2" xfId="30719" xr:uid="{00000000-0005-0000-0000-000004770000}"/>
    <cellStyle name="Normal 401 3 5 3" xfId="30720" xr:uid="{00000000-0005-0000-0000-000005770000}"/>
    <cellStyle name="Normal 401 3 6" xfId="30721" xr:uid="{00000000-0005-0000-0000-000006770000}"/>
    <cellStyle name="Normal 401 4" xfId="30722" xr:uid="{00000000-0005-0000-0000-000007770000}"/>
    <cellStyle name="Normal 401 4 2" xfId="30723" xr:uid="{00000000-0005-0000-0000-000008770000}"/>
    <cellStyle name="Normal 401 4 2 2" xfId="30724" xr:uid="{00000000-0005-0000-0000-000009770000}"/>
    <cellStyle name="Normal 401 4 3" xfId="30725" xr:uid="{00000000-0005-0000-0000-00000A770000}"/>
    <cellStyle name="Normal 401 5" xfId="30726" xr:uid="{00000000-0005-0000-0000-00000B770000}"/>
    <cellStyle name="Normal 401 5 2" xfId="30727" xr:uid="{00000000-0005-0000-0000-00000C770000}"/>
    <cellStyle name="Normal 401 5 2 2" xfId="30728" xr:uid="{00000000-0005-0000-0000-00000D770000}"/>
    <cellStyle name="Normal 401 5 3" xfId="30729" xr:uid="{00000000-0005-0000-0000-00000E770000}"/>
    <cellStyle name="Normal 401 6" xfId="30730" xr:uid="{00000000-0005-0000-0000-00000F770000}"/>
    <cellStyle name="Normal 401 6 2" xfId="30731" xr:uid="{00000000-0005-0000-0000-000010770000}"/>
    <cellStyle name="Normal 401 6 2 2" xfId="30732" xr:uid="{00000000-0005-0000-0000-000011770000}"/>
    <cellStyle name="Normal 401 6 3" xfId="30733" xr:uid="{00000000-0005-0000-0000-000012770000}"/>
    <cellStyle name="Normal 401 7" xfId="30734" xr:uid="{00000000-0005-0000-0000-000013770000}"/>
    <cellStyle name="Normal 402" xfId="30735" xr:uid="{00000000-0005-0000-0000-000014770000}"/>
    <cellStyle name="Normal 402 2" xfId="30736" xr:uid="{00000000-0005-0000-0000-000015770000}"/>
    <cellStyle name="Normal 402 2 2" xfId="30737" xr:uid="{00000000-0005-0000-0000-000016770000}"/>
    <cellStyle name="Normal 402 2 2 2" xfId="30738" xr:uid="{00000000-0005-0000-0000-000017770000}"/>
    <cellStyle name="Normal 402 2 3" xfId="30739" xr:uid="{00000000-0005-0000-0000-000018770000}"/>
    <cellStyle name="Normal 402 2 3 2" xfId="30740" xr:uid="{00000000-0005-0000-0000-000019770000}"/>
    <cellStyle name="Normal 402 2 3 2 2" xfId="30741" xr:uid="{00000000-0005-0000-0000-00001A770000}"/>
    <cellStyle name="Normal 402 2 3 3" xfId="30742" xr:uid="{00000000-0005-0000-0000-00001B770000}"/>
    <cellStyle name="Normal 402 2 4" xfId="30743" xr:uid="{00000000-0005-0000-0000-00001C770000}"/>
    <cellStyle name="Normal 402 2 4 2" xfId="30744" xr:uid="{00000000-0005-0000-0000-00001D770000}"/>
    <cellStyle name="Normal 402 2 4 2 2" xfId="30745" xr:uid="{00000000-0005-0000-0000-00001E770000}"/>
    <cellStyle name="Normal 402 2 4 3" xfId="30746" xr:uid="{00000000-0005-0000-0000-00001F770000}"/>
    <cellStyle name="Normal 402 2 5" xfId="30747" xr:uid="{00000000-0005-0000-0000-000020770000}"/>
    <cellStyle name="Normal 402 3" xfId="30748" xr:uid="{00000000-0005-0000-0000-000021770000}"/>
    <cellStyle name="Normal 402 3 2" xfId="30749" xr:uid="{00000000-0005-0000-0000-000022770000}"/>
    <cellStyle name="Normal 402 3 2 2" xfId="30750" xr:uid="{00000000-0005-0000-0000-000023770000}"/>
    <cellStyle name="Normal 402 3 2 2 2" xfId="30751" xr:uid="{00000000-0005-0000-0000-000024770000}"/>
    <cellStyle name="Normal 402 3 2 3" xfId="30752" xr:uid="{00000000-0005-0000-0000-000025770000}"/>
    <cellStyle name="Normal 402 3 2 3 2" xfId="30753" xr:uid="{00000000-0005-0000-0000-000026770000}"/>
    <cellStyle name="Normal 402 3 2 3 2 2" xfId="30754" xr:uid="{00000000-0005-0000-0000-000027770000}"/>
    <cellStyle name="Normal 402 3 2 3 3" xfId="30755" xr:uid="{00000000-0005-0000-0000-000028770000}"/>
    <cellStyle name="Normal 402 3 2 4" xfId="30756" xr:uid="{00000000-0005-0000-0000-000029770000}"/>
    <cellStyle name="Normal 402 3 3" xfId="30757" xr:uid="{00000000-0005-0000-0000-00002A770000}"/>
    <cellStyle name="Normal 402 3 3 2" xfId="30758" xr:uid="{00000000-0005-0000-0000-00002B770000}"/>
    <cellStyle name="Normal 402 3 3 2 2" xfId="30759" xr:uid="{00000000-0005-0000-0000-00002C770000}"/>
    <cellStyle name="Normal 402 3 3 3" xfId="30760" xr:uid="{00000000-0005-0000-0000-00002D770000}"/>
    <cellStyle name="Normal 402 3 4" xfId="30761" xr:uid="{00000000-0005-0000-0000-00002E770000}"/>
    <cellStyle name="Normal 402 3 4 2" xfId="30762" xr:uid="{00000000-0005-0000-0000-00002F770000}"/>
    <cellStyle name="Normal 402 3 4 2 2" xfId="30763" xr:uid="{00000000-0005-0000-0000-000030770000}"/>
    <cellStyle name="Normal 402 3 4 3" xfId="30764" xr:uid="{00000000-0005-0000-0000-000031770000}"/>
    <cellStyle name="Normal 402 3 5" xfId="30765" xr:uid="{00000000-0005-0000-0000-000032770000}"/>
    <cellStyle name="Normal 402 3 5 2" xfId="30766" xr:uid="{00000000-0005-0000-0000-000033770000}"/>
    <cellStyle name="Normal 402 3 5 2 2" xfId="30767" xr:uid="{00000000-0005-0000-0000-000034770000}"/>
    <cellStyle name="Normal 402 3 5 3" xfId="30768" xr:uid="{00000000-0005-0000-0000-000035770000}"/>
    <cellStyle name="Normal 402 3 6" xfId="30769" xr:uid="{00000000-0005-0000-0000-000036770000}"/>
    <cellStyle name="Normal 402 4" xfId="30770" xr:uid="{00000000-0005-0000-0000-000037770000}"/>
    <cellStyle name="Normal 402 4 2" xfId="30771" xr:uid="{00000000-0005-0000-0000-000038770000}"/>
    <cellStyle name="Normal 402 4 2 2" xfId="30772" xr:uid="{00000000-0005-0000-0000-000039770000}"/>
    <cellStyle name="Normal 402 4 3" xfId="30773" xr:uid="{00000000-0005-0000-0000-00003A770000}"/>
    <cellStyle name="Normal 402 5" xfId="30774" xr:uid="{00000000-0005-0000-0000-00003B770000}"/>
    <cellStyle name="Normal 402 5 2" xfId="30775" xr:uid="{00000000-0005-0000-0000-00003C770000}"/>
    <cellStyle name="Normal 402 5 2 2" xfId="30776" xr:uid="{00000000-0005-0000-0000-00003D770000}"/>
    <cellStyle name="Normal 402 5 3" xfId="30777" xr:uid="{00000000-0005-0000-0000-00003E770000}"/>
    <cellStyle name="Normal 402 6" xfId="30778" xr:uid="{00000000-0005-0000-0000-00003F770000}"/>
    <cellStyle name="Normal 402 6 2" xfId="30779" xr:uid="{00000000-0005-0000-0000-000040770000}"/>
    <cellStyle name="Normal 402 6 2 2" xfId="30780" xr:uid="{00000000-0005-0000-0000-000041770000}"/>
    <cellStyle name="Normal 402 6 3" xfId="30781" xr:uid="{00000000-0005-0000-0000-000042770000}"/>
    <cellStyle name="Normal 402 7" xfId="30782" xr:uid="{00000000-0005-0000-0000-000043770000}"/>
    <cellStyle name="Normal 403" xfId="30783" xr:uid="{00000000-0005-0000-0000-000044770000}"/>
    <cellStyle name="Normal 403 2" xfId="30784" xr:uid="{00000000-0005-0000-0000-000045770000}"/>
    <cellStyle name="Normal 403 2 2" xfId="30785" xr:uid="{00000000-0005-0000-0000-000046770000}"/>
    <cellStyle name="Normal 403 2 2 2" xfId="30786" xr:uid="{00000000-0005-0000-0000-000047770000}"/>
    <cellStyle name="Normal 403 2 3" xfId="30787" xr:uid="{00000000-0005-0000-0000-000048770000}"/>
    <cellStyle name="Normal 403 2 3 2" xfId="30788" xr:uid="{00000000-0005-0000-0000-000049770000}"/>
    <cellStyle name="Normal 403 2 3 2 2" xfId="30789" xr:uid="{00000000-0005-0000-0000-00004A770000}"/>
    <cellStyle name="Normal 403 2 3 3" xfId="30790" xr:uid="{00000000-0005-0000-0000-00004B770000}"/>
    <cellStyle name="Normal 403 2 4" xfId="30791" xr:uid="{00000000-0005-0000-0000-00004C770000}"/>
    <cellStyle name="Normal 403 2 4 2" xfId="30792" xr:uid="{00000000-0005-0000-0000-00004D770000}"/>
    <cellStyle name="Normal 403 2 4 2 2" xfId="30793" xr:uid="{00000000-0005-0000-0000-00004E770000}"/>
    <cellStyle name="Normal 403 2 4 3" xfId="30794" xr:uid="{00000000-0005-0000-0000-00004F770000}"/>
    <cellStyle name="Normal 403 2 5" xfId="30795" xr:uid="{00000000-0005-0000-0000-000050770000}"/>
    <cellStyle name="Normal 403 3" xfId="30796" xr:uid="{00000000-0005-0000-0000-000051770000}"/>
    <cellStyle name="Normal 403 3 2" xfId="30797" xr:uid="{00000000-0005-0000-0000-000052770000}"/>
    <cellStyle name="Normal 403 3 2 2" xfId="30798" xr:uid="{00000000-0005-0000-0000-000053770000}"/>
    <cellStyle name="Normal 403 3 2 2 2" xfId="30799" xr:uid="{00000000-0005-0000-0000-000054770000}"/>
    <cellStyle name="Normal 403 3 2 3" xfId="30800" xr:uid="{00000000-0005-0000-0000-000055770000}"/>
    <cellStyle name="Normal 403 3 2 3 2" xfId="30801" xr:uid="{00000000-0005-0000-0000-000056770000}"/>
    <cellStyle name="Normal 403 3 2 3 2 2" xfId="30802" xr:uid="{00000000-0005-0000-0000-000057770000}"/>
    <cellStyle name="Normal 403 3 2 3 3" xfId="30803" xr:uid="{00000000-0005-0000-0000-000058770000}"/>
    <cellStyle name="Normal 403 3 2 4" xfId="30804" xr:uid="{00000000-0005-0000-0000-000059770000}"/>
    <cellStyle name="Normal 403 3 3" xfId="30805" xr:uid="{00000000-0005-0000-0000-00005A770000}"/>
    <cellStyle name="Normal 403 3 3 2" xfId="30806" xr:uid="{00000000-0005-0000-0000-00005B770000}"/>
    <cellStyle name="Normal 403 3 3 2 2" xfId="30807" xr:uid="{00000000-0005-0000-0000-00005C770000}"/>
    <cellStyle name="Normal 403 3 3 3" xfId="30808" xr:uid="{00000000-0005-0000-0000-00005D770000}"/>
    <cellStyle name="Normal 403 3 4" xfId="30809" xr:uid="{00000000-0005-0000-0000-00005E770000}"/>
    <cellStyle name="Normal 403 3 4 2" xfId="30810" xr:uid="{00000000-0005-0000-0000-00005F770000}"/>
    <cellStyle name="Normal 403 3 4 2 2" xfId="30811" xr:uid="{00000000-0005-0000-0000-000060770000}"/>
    <cellStyle name="Normal 403 3 4 3" xfId="30812" xr:uid="{00000000-0005-0000-0000-000061770000}"/>
    <cellStyle name="Normal 403 3 5" xfId="30813" xr:uid="{00000000-0005-0000-0000-000062770000}"/>
    <cellStyle name="Normal 403 3 5 2" xfId="30814" xr:uid="{00000000-0005-0000-0000-000063770000}"/>
    <cellStyle name="Normal 403 3 5 2 2" xfId="30815" xr:uid="{00000000-0005-0000-0000-000064770000}"/>
    <cellStyle name="Normal 403 3 5 3" xfId="30816" xr:uid="{00000000-0005-0000-0000-000065770000}"/>
    <cellStyle name="Normal 403 3 6" xfId="30817" xr:uid="{00000000-0005-0000-0000-000066770000}"/>
    <cellStyle name="Normal 403 4" xfId="30818" xr:uid="{00000000-0005-0000-0000-000067770000}"/>
    <cellStyle name="Normal 403 4 2" xfId="30819" xr:uid="{00000000-0005-0000-0000-000068770000}"/>
    <cellStyle name="Normal 403 4 2 2" xfId="30820" xr:uid="{00000000-0005-0000-0000-000069770000}"/>
    <cellStyle name="Normal 403 4 3" xfId="30821" xr:uid="{00000000-0005-0000-0000-00006A770000}"/>
    <cellStyle name="Normal 403 5" xfId="30822" xr:uid="{00000000-0005-0000-0000-00006B770000}"/>
    <cellStyle name="Normal 403 5 2" xfId="30823" xr:uid="{00000000-0005-0000-0000-00006C770000}"/>
    <cellStyle name="Normal 403 5 2 2" xfId="30824" xr:uid="{00000000-0005-0000-0000-00006D770000}"/>
    <cellStyle name="Normal 403 5 3" xfId="30825" xr:uid="{00000000-0005-0000-0000-00006E770000}"/>
    <cellStyle name="Normal 403 6" xfId="30826" xr:uid="{00000000-0005-0000-0000-00006F770000}"/>
    <cellStyle name="Normal 403 6 2" xfId="30827" xr:uid="{00000000-0005-0000-0000-000070770000}"/>
    <cellStyle name="Normal 403 6 2 2" xfId="30828" xr:uid="{00000000-0005-0000-0000-000071770000}"/>
    <cellStyle name="Normal 403 6 3" xfId="30829" xr:uid="{00000000-0005-0000-0000-000072770000}"/>
    <cellStyle name="Normal 403 7" xfId="30830" xr:uid="{00000000-0005-0000-0000-000073770000}"/>
    <cellStyle name="Normal 404" xfId="30831" xr:uid="{00000000-0005-0000-0000-000074770000}"/>
    <cellStyle name="Normal 404 2" xfId="30832" xr:uid="{00000000-0005-0000-0000-000075770000}"/>
    <cellStyle name="Normal 404 2 2" xfId="30833" xr:uid="{00000000-0005-0000-0000-000076770000}"/>
    <cellStyle name="Normal 404 2 2 2" xfId="30834" xr:uid="{00000000-0005-0000-0000-000077770000}"/>
    <cellStyle name="Normal 404 2 3" xfId="30835" xr:uid="{00000000-0005-0000-0000-000078770000}"/>
    <cellStyle name="Normal 404 2 3 2" xfId="30836" xr:uid="{00000000-0005-0000-0000-000079770000}"/>
    <cellStyle name="Normal 404 2 3 2 2" xfId="30837" xr:uid="{00000000-0005-0000-0000-00007A770000}"/>
    <cellStyle name="Normal 404 2 3 3" xfId="30838" xr:uid="{00000000-0005-0000-0000-00007B770000}"/>
    <cellStyle name="Normal 404 2 4" xfId="30839" xr:uid="{00000000-0005-0000-0000-00007C770000}"/>
    <cellStyle name="Normal 404 2 4 2" xfId="30840" xr:uid="{00000000-0005-0000-0000-00007D770000}"/>
    <cellStyle name="Normal 404 2 4 2 2" xfId="30841" xr:uid="{00000000-0005-0000-0000-00007E770000}"/>
    <cellStyle name="Normal 404 2 4 3" xfId="30842" xr:uid="{00000000-0005-0000-0000-00007F770000}"/>
    <cellStyle name="Normal 404 2 5" xfId="30843" xr:uid="{00000000-0005-0000-0000-000080770000}"/>
    <cellStyle name="Normal 404 3" xfId="30844" xr:uid="{00000000-0005-0000-0000-000081770000}"/>
    <cellStyle name="Normal 404 3 2" xfId="30845" xr:uid="{00000000-0005-0000-0000-000082770000}"/>
    <cellStyle name="Normal 404 3 2 2" xfId="30846" xr:uid="{00000000-0005-0000-0000-000083770000}"/>
    <cellStyle name="Normal 404 3 2 2 2" xfId="30847" xr:uid="{00000000-0005-0000-0000-000084770000}"/>
    <cellStyle name="Normal 404 3 2 3" xfId="30848" xr:uid="{00000000-0005-0000-0000-000085770000}"/>
    <cellStyle name="Normal 404 3 2 3 2" xfId="30849" xr:uid="{00000000-0005-0000-0000-000086770000}"/>
    <cellStyle name="Normal 404 3 2 3 2 2" xfId="30850" xr:uid="{00000000-0005-0000-0000-000087770000}"/>
    <cellStyle name="Normal 404 3 2 3 3" xfId="30851" xr:uid="{00000000-0005-0000-0000-000088770000}"/>
    <cellStyle name="Normal 404 3 2 4" xfId="30852" xr:uid="{00000000-0005-0000-0000-000089770000}"/>
    <cellStyle name="Normal 404 3 3" xfId="30853" xr:uid="{00000000-0005-0000-0000-00008A770000}"/>
    <cellStyle name="Normal 404 3 3 2" xfId="30854" xr:uid="{00000000-0005-0000-0000-00008B770000}"/>
    <cellStyle name="Normal 404 3 3 2 2" xfId="30855" xr:uid="{00000000-0005-0000-0000-00008C770000}"/>
    <cellStyle name="Normal 404 3 3 3" xfId="30856" xr:uid="{00000000-0005-0000-0000-00008D770000}"/>
    <cellStyle name="Normal 404 3 4" xfId="30857" xr:uid="{00000000-0005-0000-0000-00008E770000}"/>
    <cellStyle name="Normal 404 3 4 2" xfId="30858" xr:uid="{00000000-0005-0000-0000-00008F770000}"/>
    <cellStyle name="Normal 404 3 4 2 2" xfId="30859" xr:uid="{00000000-0005-0000-0000-000090770000}"/>
    <cellStyle name="Normal 404 3 4 3" xfId="30860" xr:uid="{00000000-0005-0000-0000-000091770000}"/>
    <cellStyle name="Normal 404 3 5" xfId="30861" xr:uid="{00000000-0005-0000-0000-000092770000}"/>
    <cellStyle name="Normal 404 3 5 2" xfId="30862" xr:uid="{00000000-0005-0000-0000-000093770000}"/>
    <cellStyle name="Normal 404 3 5 2 2" xfId="30863" xr:uid="{00000000-0005-0000-0000-000094770000}"/>
    <cellStyle name="Normal 404 3 5 3" xfId="30864" xr:uid="{00000000-0005-0000-0000-000095770000}"/>
    <cellStyle name="Normal 404 3 6" xfId="30865" xr:uid="{00000000-0005-0000-0000-000096770000}"/>
    <cellStyle name="Normal 404 4" xfId="30866" xr:uid="{00000000-0005-0000-0000-000097770000}"/>
    <cellStyle name="Normal 404 4 2" xfId="30867" xr:uid="{00000000-0005-0000-0000-000098770000}"/>
    <cellStyle name="Normal 404 4 2 2" xfId="30868" xr:uid="{00000000-0005-0000-0000-000099770000}"/>
    <cellStyle name="Normal 404 4 3" xfId="30869" xr:uid="{00000000-0005-0000-0000-00009A770000}"/>
    <cellStyle name="Normal 404 5" xfId="30870" xr:uid="{00000000-0005-0000-0000-00009B770000}"/>
    <cellStyle name="Normal 404 5 2" xfId="30871" xr:uid="{00000000-0005-0000-0000-00009C770000}"/>
    <cellStyle name="Normal 404 5 2 2" xfId="30872" xr:uid="{00000000-0005-0000-0000-00009D770000}"/>
    <cellStyle name="Normal 404 5 3" xfId="30873" xr:uid="{00000000-0005-0000-0000-00009E770000}"/>
    <cellStyle name="Normal 404 6" xfId="30874" xr:uid="{00000000-0005-0000-0000-00009F770000}"/>
    <cellStyle name="Normal 404 6 2" xfId="30875" xr:uid="{00000000-0005-0000-0000-0000A0770000}"/>
    <cellStyle name="Normal 404 6 2 2" xfId="30876" xr:uid="{00000000-0005-0000-0000-0000A1770000}"/>
    <cellStyle name="Normal 404 6 3" xfId="30877" xr:uid="{00000000-0005-0000-0000-0000A2770000}"/>
    <cellStyle name="Normal 404 7" xfId="30878" xr:uid="{00000000-0005-0000-0000-0000A3770000}"/>
    <cellStyle name="Normal 405" xfId="30879" xr:uid="{00000000-0005-0000-0000-0000A4770000}"/>
    <cellStyle name="Normal 405 2" xfId="30880" xr:uid="{00000000-0005-0000-0000-0000A5770000}"/>
    <cellStyle name="Normal 405 2 2" xfId="30881" xr:uid="{00000000-0005-0000-0000-0000A6770000}"/>
    <cellStyle name="Normal 405 2 2 2" xfId="30882" xr:uid="{00000000-0005-0000-0000-0000A7770000}"/>
    <cellStyle name="Normal 405 2 3" xfId="30883" xr:uid="{00000000-0005-0000-0000-0000A8770000}"/>
    <cellStyle name="Normal 405 2 3 2" xfId="30884" xr:uid="{00000000-0005-0000-0000-0000A9770000}"/>
    <cellStyle name="Normal 405 2 3 2 2" xfId="30885" xr:uid="{00000000-0005-0000-0000-0000AA770000}"/>
    <cellStyle name="Normal 405 2 3 3" xfId="30886" xr:uid="{00000000-0005-0000-0000-0000AB770000}"/>
    <cellStyle name="Normal 405 2 4" xfId="30887" xr:uid="{00000000-0005-0000-0000-0000AC770000}"/>
    <cellStyle name="Normal 405 2 4 2" xfId="30888" xr:uid="{00000000-0005-0000-0000-0000AD770000}"/>
    <cellStyle name="Normal 405 2 4 2 2" xfId="30889" xr:uid="{00000000-0005-0000-0000-0000AE770000}"/>
    <cellStyle name="Normal 405 2 4 3" xfId="30890" xr:uid="{00000000-0005-0000-0000-0000AF770000}"/>
    <cellStyle name="Normal 405 2 5" xfId="30891" xr:uid="{00000000-0005-0000-0000-0000B0770000}"/>
    <cellStyle name="Normal 405 3" xfId="30892" xr:uid="{00000000-0005-0000-0000-0000B1770000}"/>
    <cellStyle name="Normal 405 3 2" xfId="30893" xr:uid="{00000000-0005-0000-0000-0000B2770000}"/>
    <cellStyle name="Normal 405 3 2 2" xfId="30894" xr:uid="{00000000-0005-0000-0000-0000B3770000}"/>
    <cellStyle name="Normal 405 3 2 2 2" xfId="30895" xr:uid="{00000000-0005-0000-0000-0000B4770000}"/>
    <cellStyle name="Normal 405 3 2 3" xfId="30896" xr:uid="{00000000-0005-0000-0000-0000B5770000}"/>
    <cellStyle name="Normal 405 3 2 3 2" xfId="30897" xr:uid="{00000000-0005-0000-0000-0000B6770000}"/>
    <cellStyle name="Normal 405 3 2 3 2 2" xfId="30898" xr:uid="{00000000-0005-0000-0000-0000B7770000}"/>
    <cellStyle name="Normal 405 3 2 3 3" xfId="30899" xr:uid="{00000000-0005-0000-0000-0000B8770000}"/>
    <cellStyle name="Normal 405 3 2 4" xfId="30900" xr:uid="{00000000-0005-0000-0000-0000B9770000}"/>
    <cellStyle name="Normal 405 3 3" xfId="30901" xr:uid="{00000000-0005-0000-0000-0000BA770000}"/>
    <cellStyle name="Normal 405 3 3 2" xfId="30902" xr:uid="{00000000-0005-0000-0000-0000BB770000}"/>
    <cellStyle name="Normal 405 3 3 2 2" xfId="30903" xr:uid="{00000000-0005-0000-0000-0000BC770000}"/>
    <cellStyle name="Normal 405 3 3 3" xfId="30904" xr:uid="{00000000-0005-0000-0000-0000BD770000}"/>
    <cellStyle name="Normal 405 3 4" xfId="30905" xr:uid="{00000000-0005-0000-0000-0000BE770000}"/>
    <cellStyle name="Normal 405 3 4 2" xfId="30906" xr:uid="{00000000-0005-0000-0000-0000BF770000}"/>
    <cellStyle name="Normal 405 3 4 2 2" xfId="30907" xr:uid="{00000000-0005-0000-0000-0000C0770000}"/>
    <cellStyle name="Normal 405 3 4 3" xfId="30908" xr:uid="{00000000-0005-0000-0000-0000C1770000}"/>
    <cellStyle name="Normal 405 3 5" xfId="30909" xr:uid="{00000000-0005-0000-0000-0000C2770000}"/>
    <cellStyle name="Normal 405 3 5 2" xfId="30910" xr:uid="{00000000-0005-0000-0000-0000C3770000}"/>
    <cellStyle name="Normal 405 3 5 2 2" xfId="30911" xr:uid="{00000000-0005-0000-0000-0000C4770000}"/>
    <cellStyle name="Normal 405 3 5 3" xfId="30912" xr:uid="{00000000-0005-0000-0000-0000C5770000}"/>
    <cellStyle name="Normal 405 3 6" xfId="30913" xr:uid="{00000000-0005-0000-0000-0000C6770000}"/>
    <cellStyle name="Normal 405 4" xfId="30914" xr:uid="{00000000-0005-0000-0000-0000C7770000}"/>
    <cellStyle name="Normal 405 4 2" xfId="30915" xr:uid="{00000000-0005-0000-0000-0000C8770000}"/>
    <cellStyle name="Normal 405 4 2 2" xfId="30916" xr:uid="{00000000-0005-0000-0000-0000C9770000}"/>
    <cellStyle name="Normal 405 4 3" xfId="30917" xr:uid="{00000000-0005-0000-0000-0000CA770000}"/>
    <cellStyle name="Normal 405 5" xfId="30918" xr:uid="{00000000-0005-0000-0000-0000CB770000}"/>
    <cellStyle name="Normal 405 5 2" xfId="30919" xr:uid="{00000000-0005-0000-0000-0000CC770000}"/>
    <cellStyle name="Normal 405 5 2 2" xfId="30920" xr:uid="{00000000-0005-0000-0000-0000CD770000}"/>
    <cellStyle name="Normal 405 5 3" xfId="30921" xr:uid="{00000000-0005-0000-0000-0000CE770000}"/>
    <cellStyle name="Normal 405 6" xfId="30922" xr:uid="{00000000-0005-0000-0000-0000CF770000}"/>
    <cellStyle name="Normal 405 6 2" xfId="30923" xr:uid="{00000000-0005-0000-0000-0000D0770000}"/>
    <cellStyle name="Normal 405 6 2 2" xfId="30924" xr:uid="{00000000-0005-0000-0000-0000D1770000}"/>
    <cellStyle name="Normal 405 6 3" xfId="30925" xr:uid="{00000000-0005-0000-0000-0000D2770000}"/>
    <cellStyle name="Normal 405 7" xfId="30926" xr:uid="{00000000-0005-0000-0000-0000D3770000}"/>
    <cellStyle name="Normal 406" xfId="30927" xr:uid="{00000000-0005-0000-0000-0000D4770000}"/>
    <cellStyle name="Normal 406 2" xfId="30928" xr:uid="{00000000-0005-0000-0000-0000D5770000}"/>
    <cellStyle name="Normal 406 2 2" xfId="30929" xr:uid="{00000000-0005-0000-0000-0000D6770000}"/>
    <cellStyle name="Normal 406 2 2 2" xfId="30930" xr:uid="{00000000-0005-0000-0000-0000D7770000}"/>
    <cellStyle name="Normal 406 2 3" xfId="30931" xr:uid="{00000000-0005-0000-0000-0000D8770000}"/>
    <cellStyle name="Normal 406 2 3 2" xfId="30932" xr:uid="{00000000-0005-0000-0000-0000D9770000}"/>
    <cellStyle name="Normal 406 2 3 2 2" xfId="30933" xr:uid="{00000000-0005-0000-0000-0000DA770000}"/>
    <cellStyle name="Normal 406 2 3 3" xfId="30934" xr:uid="{00000000-0005-0000-0000-0000DB770000}"/>
    <cellStyle name="Normal 406 2 4" xfId="30935" xr:uid="{00000000-0005-0000-0000-0000DC770000}"/>
    <cellStyle name="Normal 406 2 4 2" xfId="30936" xr:uid="{00000000-0005-0000-0000-0000DD770000}"/>
    <cellStyle name="Normal 406 2 4 2 2" xfId="30937" xr:uid="{00000000-0005-0000-0000-0000DE770000}"/>
    <cellStyle name="Normal 406 2 4 3" xfId="30938" xr:uid="{00000000-0005-0000-0000-0000DF770000}"/>
    <cellStyle name="Normal 406 2 5" xfId="30939" xr:uid="{00000000-0005-0000-0000-0000E0770000}"/>
    <cellStyle name="Normal 406 3" xfId="30940" xr:uid="{00000000-0005-0000-0000-0000E1770000}"/>
    <cellStyle name="Normal 406 3 2" xfId="30941" xr:uid="{00000000-0005-0000-0000-0000E2770000}"/>
    <cellStyle name="Normal 406 3 2 2" xfId="30942" xr:uid="{00000000-0005-0000-0000-0000E3770000}"/>
    <cellStyle name="Normal 406 3 2 2 2" xfId="30943" xr:uid="{00000000-0005-0000-0000-0000E4770000}"/>
    <cellStyle name="Normal 406 3 2 3" xfId="30944" xr:uid="{00000000-0005-0000-0000-0000E5770000}"/>
    <cellStyle name="Normal 406 3 2 3 2" xfId="30945" xr:uid="{00000000-0005-0000-0000-0000E6770000}"/>
    <cellStyle name="Normal 406 3 2 3 2 2" xfId="30946" xr:uid="{00000000-0005-0000-0000-0000E7770000}"/>
    <cellStyle name="Normal 406 3 2 3 3" xfId="30947" xr:uid="{00000000-0005-0000-0000-0000E8770000}"/>
    <cellStyle name="Normal 406 3 2 4" xfId="30948" xr:uid="{00000000-0005-0000-0000-0000E9770000}"/>
    <cellStyle name="Normal 406 3 3" xfId="30949" xr:uid="{00000000-0005-0000-0000-0000EA770000}"/>
    <cellStyle name="Normal 406 3 3 2" xfId="30950" xr:uid="{00000000-0005-0000-0000-0000EB770000}"/>
    <cellStyle name="Normal 406 3 3 2 2" xfId="30951" xr:uid="{00000000-0005-0000-0000-0000EC770000}"/>
    <cellStyle name="Normal 406 3 3 3" xfId="30952" xr:uid="{00000000-0005-0000-0000-0000ED770000}"/>
    <cellStyle name="Normal 406 3 4" xfId="30953" xr:uid="{00000000-0005-0000-0000-0000EE770000}"/>
    <cellStyle name="Normal 406 3 4 2" xfId="30954" xr:uid="{00000000-0005-0000-0000-0000EF770000}"/>
    <cellStyle name="Normal 406 3 4 2 2" xfId="30955" xr:uid="{00000000-0005-0000-0000-0000F0770000}"/>
    <cellStyle name="Normal 406 3 4 3" xfId="30956" xr:uid="{00000000-0005-0000-0000-0000F1770000}"/>
    <cellStyle name="Normal 406 3 5" xfId="30957" xr:uid="{00000000-0005-0000-0000-0000F2770000}"/>
    <cellStyle name="Normal 406 3 5 2" xfId="30958" xr:uid="{00000000-0005-0000-0000-0000F3770000}"/>
    <cellStyle name="Normal 406 3 5 2 2" xfId="30959" xr:uid="{00000000-0005-0000-0000-0000F4770000}"/>
    <cellStyle name="Normal 406 3 5 3" xfId="30960" xr:uid="{00000000-0005-0000-0000-0000F5770000}"/>
    <cellStyle name="Normal 406 3 6" xfId="30961" xr:uid="{00000000-0005-0000-0000-0000F6770000}"/>
    <cellStyle name="Normal 406 4" xfId="30962" xr:uid="{00000000-0005-0000-0000-0000F7770000}"/>
    <cellStyle name="Normal 406 4 2" xfId="30963" xr:uid="{00000000-0005-0000-0000-0000F8770000}"/>
    <cellStyle name="Normal 406 4 2 2" xfId="30964" xr:uid="{00000000-0005-0000-0000-0000F9770000}"/>
    <cellStyle name="Normal 406 4 3" xfId="30965" xr:uid="{00000000-0005-0000-0000-0000FA770000}"/>
    <cellStyle name="Normal 406 5" xfId="30966" xr:uid="{00000000-0005-0000-0000-0000FB770000}"/>
    <cellStyle name="Normal 406 5 2" xfId="30967" xr:uid="{00000000-0005-0000-0000-0000FC770000}"/>
    <cellStyle name="Normal 406 5 2 2" xfId="30968" xr:uid="{00000000-0005-0000-0000-0000FD770000}"/>
    <cellStyle name="Normal 406 5 3" xfId="30969" xr:uid="{00000000-0005-0000-0000-0000FE770000}"/>
    <cellStyle name="Normal 406 6" xfId="30970" xr:uid="{00000000-0005-0000-0000-0000FF770000}"/>
    <cellStyle name="Normal 406 6 2" xfId="30971" xr:uid="{00000000-0005-0000-0000-000000780000}"/>
    <cellStyle name="Normal 406 6 2 2" xfId="30972" xr:uid="{00000000-0005-0000-0000-000001780000}"/>
    <cellStyle name="Normal 406 6 3" xfId="30973" xr:uid="{00000000-0005-0000-0000-000002780000}"/>
    <cellStyle name="Normal 406 7" xfId="30974" xr:uid="{00000000-0005-0000-0000-000003780000}"/>
    <cellStyle name="Normal 407" xfId="30975" xr:uid="{00000000-0005-0000-0000-000004780000}"/>
    <cellStyle name="Normal 407 2" xfId="30976" xr:uid="{00000000-0005-0000-0000-000005780000}"/>
    <cellStyle name="Normal 407 2 2" xfId="30977" xr:uid="{00000000-0005-0000-0000-000006780000}"/>
    <cellStyle name="Normal 407 2 2 2" xfId="30978" xr:uid="{00000000-0005-0000-0000-000007780000}"/>
    <cellStyle name="Normal 407 2 3" xfId="30979" xr:uid="{00000000-0005-0000-0000-000008780000}"/>
    <cellStyle name="Normal 407 2 3 2" xfId="30980" xr:uid="{00000000-0005-0000-0000-000009780000}"/>
    <cellStyle name="Normal 407 2 3 2 2" xfId="30981" xr:uid="{00000000-0005-0000-0000-00000A780000}"/>
    <cellStyle name="Normal 407 2 3 3" xfId="30982" xr:uid="{00000000-0005-0000-0000-00000B780000}"/>
    <cellStyle name="Normal 407 2 4" xfId="30983" xr:uid="{00000000-0005-0000-0000-00000C780000}"/>
    <cellStyle name="Normal 407 2 4 2" xfId="30984" xr:uid="{00000000-0005-0000-0000-00000D780000}"/>
    <cellStyle name="Normal 407 2 4 2 2" xfId="30985" xr:uid="{00000000-0005-0000-0000-00000E780000}"/>
    <cellStyle name="Normal 407 2 4 3" xfId="30986" xr:uid="{00000000-0005-0000-0000-00000F780000}"/>
    <cellStyle name="Normal 407 2 5" xfId="30987" xr:uid="{00000000-0005-0000-0000-000010780000}"/>
    <cellStyle name="Normal 407 3" xfId="30988" xr:uid="{00000000-0005-0000-0000-000011780000}"/>
    <cellStyle name="Normal 407 3 2" xfId="30989" xr:uid="{00000000-0005-0000-0000-000012780000}"/>
    <cellStyle name="Normal 407 3 2 2" xfId="30990" xr:uid="{00000000-0005-0000-0000-000013780000}"/>
    <cellStyle name="Normal 407 3 2 2 2" xfId="30991" xr:uid="{00000000-0005-0000-0000-000014780000}"/>
    <cellStyle name="Normal 407 3 2 3" xfId="30992" xr:uid="{00000000-0005-0000-0000-000015780000}"/>
    <cellStyle name="Normal 407 3 2 3 2" xfId="30993" xr:uid="{00000000-0005-0000-0000-000016780000}"/>
    <cellStyle name="Normal 407 3 2 3 2 2" xfId="30994" xr:uid="{00000000-0005-0000-0000-000017780000}"/>
    <cellStyle name="Normal 407 3 2 3 3" xfId="30995" xr:uid="{00000000-0005-0000-0000-000018780000}"/>
    <cellStyle name="Normal 407 3 2 4" xfId="30996" xr:uid="{00000000-0005-0000-0000-000019780000}"/>
    <cellStyle name="Normal 407 3 3" xfId="30997" xr:uid="{00000000-0005-0000-0000-00001A780000}"/>
    <cellStyle name="Normal 407 3 3 2" xfId="30998" xr:uid="{00000000-0005-0000-0000-00001B780000}"/>
    <cellStyle name="Normal 407 3 3 2 2" xfId="30999" xr:uid="{00000000-0005-0000-0000-00001C780000}"/>
    <cellStyle name="Normal 407 3 3 3" xfId="31000" xr:uid="{00000000-0005-0000-0000-00001D780000}"/>
    <cellStyle name="Normal 407 3 4" xfId="31001" xr:uid="{00000000-0005-0000-0000-00001E780000}"/>
    <cellStyle name="Normal 407 3 4 2" xfId="31002" xr:uid="{00000000-0005-0000-0000-00001F780000}"/>
    <cellStyle name="Normal 407 3 4 2 2" xfId="31003" xr:uid="{00000000-0005-0000-0000-000020780000}"/>
    <cellStyle name="Normal 407 3 4 3" xfId="31004" xr:uid="{00000000-0005-0000-0000-000021780000}"/>
    <cellStyle name="Normal 407 3 5" xfId="31005" xr:uid="{00000000-0005-0000-0000-000022780000}"/>
    <cellStyle name="Normal 407 3 5 2" xfId="31006" xr:uid="{00000000-0005-0000-0000-000023780000}"/>
    <cellStyle name="Normal 407 3 5 2 2" xfId="31007" xr:uid="{00000000-0005-0000-0000-000024780000}"/>
    <cellStyle name="Normal 407 3 5 3" xfId="31008" xr:uid="{00000000-0005-0000-0000-000025780000}"/>
    <cellStyle name="Normal 407 3 6" xfId="31009" xr:uid="{00000000-0005-0000-0000-000026780000}"/>
    <cellStyle name="Normal 407 4" xfId="31010" xr:uid="{00000000-0005-0000-0000-000027780000}"/>
    <cellStyle name="Normal 407 4 2" xfId="31011" xr:uid="{00000000-0005-0000-0000-000028780000}"/>
    <cellStyle name="Normal 407 4 2 2" xfId="31012" xr:uid="{00000000-0005-0000-0000-000029780000}"/>
    <cellStyle name="Normal 407 4 3" xfId="31013" xr:uid="{00000000-0005-0000-0000-00002A780000}"/>
    <cellStyle name="Normal 407 5" xfId="31014" xr:uid="{00000000-0005-0000-0000-00002B780000}"/>
    <cellStyle name="Normal 407 5 2" xfId="31015" xr:uid="{00000000-0005-0000-0000-00002C780000}"/>
    <cellStyle name="Normal 407 5 2 2" xfId="31016" xr:uid="{00000000-0005-0000-0000-00002D780000}"/>
    <cellStyle name="Normal 407 5 3" xfId="31017" xr:uid="{00000000-0005-0000-0000-00002E780000}"/>
    <cellStyle name="Normal 407 6" xfId="31018" xr:uid="{00000000-0005-0000-0000-00002F780000}"/>
    <cellStyle name="Normal 407 6 2" xfId="31019" xr:uid="{00000000-0005-0000-0000-000030780000}"/>
    <cellStyle name="Normal 407 6 2 2" xfId="31020" xr:uid="{00000000-0005-0000-0000-000031780000}"/>
    <cellStyle name="Normal 407 6 3" xfId="31021" xr:uid="{00000000-0005-0000-0000-000032780000}"/>
    <cellStyle name="Normal 407 7" xfId="31022" xr:uid="{00000000-0005-0000-0000-000033780000}"/>
    <cellStyle name="Normal 408" xfId="31023" xr:uid="{00000000-0005-0000-0000-000034780000}"/>
    <cellStyle name="Normal 408 2" xfId="31024" xr:uid="{00000000-0005-0000-0000-000035780000}"/>
    <cellStyle name="Normal 408 2 2" xfId="31025" xr:uid="{00000000-0005-0000-0000-000036780000}"/>
    <cellStyle name="Normal 408 2 2 2" xfId="31026" xr:uid="{00000000-0005-0000-0000-000037780000}"/>
    <cellStyle name="Normal 408 2 3" xfId="31027" xr:uid="{00000000-0005-0000-0000-000038780000}"/>
    <cellStyle name="Normal 408 2 3 2" xfId="31028" xr:uid="{00000000-0005-0000-0000-000039780000}"/>
    <cellStyle name="Normal 408 2 3 2 2" xfId="31029" xr:uid="{00000000-0005-0000-0000-00003A780000}"/>
    <cellStyle name="Normal 408 2 3 3" xfId="31030" xr:uid="{00000000-0005-0000-0000-00003B780000}"/>
    <cellStyle name="Normal 408 2 4" xfId="31031" xr:uid="{00000000-0005-0000-0000-00003C780000}"/>
    <cellStyle name="Normal 408 2 4 2" xfId="31032" xr:uid="{00000000-0005-0000-0000-00003D780000}"/>
    <cellStyle name="Normal 408 2 4 2 2" xfId="31033" xr:uid="{00000000-0005-0000-0000-00003E780000}"/>
    <cellStyle name="Normal 408 2 4 3" xfId="31034" xr:uid="{00000000-0005-0000-0000-00003F780000}"/>
    <cellStyle name="Normal 408 2 5" xfId="31035" xr:uid="{00000000-0005-0000-0000-000040780000}"/>
    <cellStyle name="Normal 408 3" xfId="31036" xr:uid="{00000000-0005-0000-0000-000041780000}"/>
    <cellStyle name="Normal 408 3 2" xfId="31037" xr:uid="{00000000-0005-0000-0000-000042780000}"/>
    <cellStyle name="Normal 408 3 2 2" xfId="31038" xr:uid="{00000000-0005-0000-0000-000043780000}"/>
    <cellStyle name="Normal 408 3 2 2 2" xfId="31039" xr:uid="{00000000-0005-0000-0000-000044780000}"/>
    <cellStyle name="Normal 408 3 2 3" xfId="31040" xr:uid="{00000000-0005-0000-0000-000045780000}"/>
    <cellStyle name="Normal 408 3 2 3 2" xfId="31041" xr:uid="{00000000-0005-0000-0000-000046780000}"/>
    <cellStyle name="Normal 408 3 2 3 2 2" xfId="31042" xr:uid="{00000000-0005-0000-0000-000047780000}"/>
    <cellStyle name="Normal 408 3 2 3 3" xfId="31043" xr:uid="{00000000-0005-0000-0000-000048780000}"/>
    <cellStyle name="Normal 408 3 2 4" xfId="31044" xr:uid="{00000000-0005-0000-0000-000049780000}"/>
    <cellStyle name="Normal 408 3 3" xfId="31045" xr:uid="{00000000-0005-0000-0000-00004A780000}"/>
    <cellStyle name="Normal 408 3 3 2" xfId="31046" xr:uid="{00000000-0005-0000-0000-00004B780000}"/>
    <cellStyle name="Normal 408 3 3 2 2" xfId="31047" xr:uid="{00000000-0005-0000-0000-00004C780000}"/>
    <cellStyle name="Normal 408 3 3 3" xfId="31048" xr:uid="{00000000-0005-0000-0000-00004D780000}"/>
    <cellStyle name="Normal 408 3 4" xfId="31049" xr:uid="{00000000-0005-0000-0000-00004E780000}"/>
    <cellStyle name="Normal 408 3 4 2" xfId="31050" xr:uid="{00000000-0005-0000-0000-00004F780000}"/>
    <cellStyle name="Normal 408 3 4 2 2" xfId="31051" xr:uid="{00000000-0005-0000-0000-000050780000}"/>
    <cellStyle name="Normal 408 3 4 3" xfId="31052" xr:uid="{00000000-0005-0000-0000-000051780000}"/>
    <cellStyle name="Normal 408 3 5" xfId="31053" xr:uid="{00000000-0005-0000-0000-000052780000}"/>
    <cellStyle name="Normal 408 3 5 2" xfId="31054" xr:uid="{00000000-0005-0000-0000-000053780000}"/>
    <cellStyle name="Normal 408 3 5 2 2" xfId="31055" xr:uid="{00000000-0005-0000-0000-000054780000}"/>
    <cellStyle name="Normal 408 3 5 3" xfId="31056" xr:uid="{00000000-0005-0000-0000-000055780000}"/>
    <cellStyle name="Normal 408 3 6" xfId="31057" xr:uid="{00000000-0005-0000-0000-000056780000}"/>
    <cellStyle name="Normal 408 4" xfId="31058" xr:uid="{00000000-0005-0000-0000-000057780000}"/>
    <cellStyle name="Normal 408 4 2" xfId="31059" xr:uid="{00000000-0005-0000-0000-000058780000}"/>
    <cellStyle name="Normal 408 4 2 2" xfId="31060" xr:uid="{00000000-0005-0000-0000-000059780000}"/>
    <cellStyle name="Normal 408 4 3" xfId="31061" xr:uid="{00000000-0005-0000-0000-00005A780000}"/>
    <cellStyle name="Normal 408 5" xfId="31062" xr:uid="{00000000-0005-0000-0000-00005B780000}"/>
    <cellStyle name="Normal 408 5 2" xfId="31063" xr:uid="{00000000-0005-0000-0000-00005C780000}"/>
    <cellStyle name="Normal 408 5 2 2" xfId="31064" xr:uid="{00000000-0005-0000-0000-00005D780000}"/>
    <cellStyle name="Normal 408 5 3" xfId="31065" xr:uid="{00000000-0005-0000-0000-00005E780000}"/>
    <cellStyle name="Normal 408 6" xfId="31066" xr:uid="{00000000-0005-0000-0000-00005F780000}"/>
    <cellStyle name="Normal 408 6 2" xfId="31067" xr:uid="{00000000-0005-0000-0000-000060780000}"/>
    <cellStyle name="Normal 408 6 2 2" xfId="31068" xr:uid="{00000000-0005-0000-0000-000061780000}"/>
    <cellStyle name="Normal 408 6 3" xfId="31069" xr:uid="{00000000-0005-0000-0000-000062780000}"/>
    <cellStyle name="Normal 408 7" xfId="31070" xr:uid="{00000000-0005-0000-0000-000063780000}"/>
    <cellStyle name="Normal 409" xfId="31071" xr:uid="{00000000-0005-0000-0000-000064780000}"/>
    <cellStyle name="Normal 409 2" xfId="31072" xr:uid="{00000000-0005-0000-0000-000065780000}"/>
    <cellStyle name="Normal 409 2 2" xfId="31073" xr:uid="{00000000-0005-0000-0000-000066780000}"/>
    <cellStyle name="Normal 409 2 2 2" xfId="31074" xr:uid="{00000000-0005-0000-0000-000067780000}"/>
    <cellStyle name="Normal 409 2 3" xfId="31075" xr:uid="{00000000-0005-0000-0000-000068780000}"/>
    <cellStyle name="Normal 409 2 3 2" xfId="31076" xr:uid="{00000000-0005-0000-0000-000069780000}"/>
    <cellStyle name="Normal 409 2 3 2 2" xfId="31077" xr:uid="{00000000-0005-0000-0000-00006A780000}"/>
    <cellStyle name="Normal 409 2 3 3" xfId="31078" xr:uid="{00000000-0005-0000-0000-00006B780000}"/>
    <cellStyle name="Normal 409 2 4" xfId="31079" xr:uid="{00000000-0005-0000-0000-00006C780000}"/>
    <cellStyle name="Normal 409 2 4 2" xfId="31080" xr:uid="{00000000-0005-0000-0000-00006D780000}"/>
    <cellStyle name="Normal 409 2 4 2 2" xfId="31081" xr:uid="{00000000-0005-0000-0000-00006E780000}"/>
    <cellStyle name="Normal 409 2 4 3" xfId="31082" xr:uid="{00000000-0005-0000-0000-00006F780000}"/>
    <cellStyle name="Normal 409 2 5" xfId="31083" xr:uid="{00000000-0005-0000-0000-000070780000}"/>
    <cellStyle name="Normal 409 3" xfId="31084" xr:uid="{00000000-0005-0000-0000-000071780000}"/>
    <cellStyle name="Normal 409 3 2" xfId="31085" xr:uid="{00000000-0005-0000-0000-000072780000}"/>
    <cellStyle name="Normal 409 3 2 2" xfId="31086" xr:uid="{00000000-0005-0000-0000-000073780000}"/>
    <cellStyle name="Normal 409 3 2 2 2" xfId="31087" xr:uid="{00000000-0005-0000-0000-000074780000}"/>
    <cellStyle name="Normal 409 3 2 3" xfId="31088" xr:uid="{00000000-0005-0000-0000-000075780000}"/>
    <cellStyle name="Normal 409 3 2 3 2" xfId="31089" xr:uid="{00000000-0005-0000-0000-000076780000}"/>
    <cellStyle name="Normal 409 3 2 3 2 2" xfId="31090" xr:uid="{00000000-0005-0000-0000-000077780000}"/>
    <cellStyle name="Normal 409 3 2 3 3" xfId="31091" xr:uid="{00000000-0005-0000-0000-000078780000}"/>
    <cellStyle name="Normal 409 3 2 4" xfId="31092" xr:uid="{00000000-0005-0000-0000-000079780000}"/>
    <cellStyle name="Normal 409 3 3" xfId="31093" xr:uid="{00000000-0005-0000-0000-00007A780000}"/>
    <cellStyle name="Normal 409 3 3 2" xfId="31094" xr:uid="{00000000-0005-0000-0000-00007B780000}"/>
    <cellStyle name="Normal 409 3 3 2 2" xfId="31095" xr:uid="{00000000-0005-0000-0000-00007C780000}"/>
    <cellStyle name="Normal 409 3 3 3" xfId="31096" xr:uid="{00000000-0005-0000-0000-00007D780000}"/>
    <cellStyle name="Normal 409 3 4" xfId="31097" xr:uid="{00000000-0005-0000-0000-00007E780000}"/>
    <cellStyle name="Normal 409 3 4 2" xfId="31098" xr:uid="{00000000-0005-0000-0000-00007F780000}"/>
    <cellStyle name="Normal 409 3 4 2 2" xfId="31099" xr:uid="{00000000-0005-0000-0000-000080780000}"/>
    <cellStyle name="Normal 409 3 4 3" xfId="31100" xr:uid="{00000000-0005-0000-0000-000081780000}"/>
    <cellStyle name="Normal 409 3 5" xfId="31101" xr:uid="{00000000-0005-0000-0000-000082780000}"/>
    <cellStyle name="Normal 409 3 5 2" xfId="31102" xr:uid="{00000000-0005-0000-0000-000083780000}"/>
    <cellStyle name="Normal 409 3 5 2 2" xfId="31103" xr:uid="{00000000-0005-0000-0000-000084780000}"/>
    <cellStyle name="Normal 409 3 5 3" xfId="31104" xr:uid="{00000000-0005-0000-0000-000085780000}"/>
    <cellStyle name="Normal 409 3 6" xfId="31105" xr:uid="{00000000-0005-0000-0000-000086780000}"/>
    <cellStyle name="Normal 409 4" xfId="31106" xr:uid="{00000000-0005-0000-0000-000087780000}"/>
    <cellStyle name="Normal 409 4 2" xfId="31107" xr:uid="{00000000-0005-0000-0000-000088780000}"/>
    <cellStyle name="Normal 409 4 2 2" xfId="31108" xr:uid="{00000000-0005-0000-0000-000089780000}"/>
    <cellStyle name="Normal 409 4 3" xfId="31109" xr:uid="{00000000-0005-0000-0000-00008A780000}"/>
    <cellStyle name="Normal 409 5" xfId="31110" xr:uid="{00000000-0005-0000-0000-00008B780000}"/>
    <cellStyle name="Normal 409 5 2" xfId="31111" xr:uid="{00000000-0005-0000-0000-00008C780000}"/>
    <cellStyle name="Normal 409 5 2 2" xfId="31112" xr:uid="{00000000-0005-0000-0000-00008D780000}"/>
    <cellStyle name="Normal 409 5 3" xfId="31113" xr:uid="{00000000-0005-0000-0000-00008E780000}"/>
    <cellStyle name="Normal 409 6" xfId="31114" xr:uid="{00000000-0005-0000-0000-00008F780000}"/>
    <cellStyle name="Normal 409 6 2" xfId="31115" xr:uid="{00000000-0005-0000-0000-000090780000}"/>
    <cellStyle name="Normal 409 6 2 2" xfId="31116" xr:uid="{00000000-0005-0000-0000-000091780000}"/>
    <cellStyle name="Normal 409 6 3" xfId="31117" xr:uid="{00000000-0005-0000-0000-000092780000}"/>
    <cellStyle name="Normal 409 7" xfId="31118" xr:uid="{00000000-0005-0000-0000-000093780000}"/>
    <cellStyle name="Normal 41" xfId="31119" xr:uid="{00000000-0005-0000-0000-000094780000}"/>
    <cellStyle name="Normal 41 2" xfId="31120" xr:uid="{00000000-0005-0000-0000-000095780000}"/>
    <cellStyle name="Normal 41 2 2" xfId="31121" xr:uid="{00000000-0005-0000-0000-000096780000}"/>
    <cellStyle name="Normal 41 2 2 2" xfId="31122" xr:uid="{00000000-0005-0000-0000-000097780000}"/>
    <cellStyle name="Normal 41 2 2 2 2" xfId="31123" xr:uid="{00000000-0005-0000-0000-000098780000}"/>
    <cellStyle name="Normal 41 2 2 3" xfId="31124" xr:uid="{00000000-0005-0000-0000-000099780000}"/>
    <cellStyle name="Normal 41 2 2 3 2" xfId="31125" xr:uid="{00000000-0005-0000-0000-00009A780000}"/>
    <cellStyle name="Normal 41 2 2 3 2 2" xfId="31126" xr:uid="{00000000-0005-0000-0000-00009B780000}"/>
    <cellStyle name="Normal 41 2 2 3 3" xfId="31127" xr:uid="{00000000-0005-0000-0000-00009C780000}"/>
    <cellStyle name="Normal 41 2 2 4" xfId="31128" xr:uid="{00000000-0005-0000-0000-00009D780000}"/>
    <cellStyle name="Normal 41 2 2 4 2" xfId="31129" xr:uid="{00000000-0005-0000-0000-00009E780000}"/>
    <cellStyle name="Normal 41 2 2 4 2 2" xfId="31130" xr:uid="{00000000-0005-0000-0000-00009F780000}"/>
    <cellStyle name="Normal 41 2 2 4 3" xfId="31131" xr:uid="{00000000-0005-0000-0000-0000A0780000}"/>
    <cellStyle name="Normal 41 2 2 5" xfId="31132" xr:uid="{00000000-0005-0000-0000-0000A1780000}"/>
    <cellStyle name="Normal 41 2 3" xfId="31133" xr:uid="{00000000-0005-0000-0000-0000A2780000}"/>
    <cellStyle name="Normal 41 2 3 2" xfId="31134" xr:uid="{00000000-0005-0000-0000-0000A3780000}"/>
    <cellStyle name="Normal 41 2 3 2 2" xfId="31135" xr:uid="{00000000-0005-0000-0000-0000A4780000}"/>
    <cellStyle name="Normal 41 2 3 3" xfId="31136" xr:uid="{00000000-0005-0000-0000-0000A5780000}"/>
    <cellStyle name="Normal 41 2 4" xfId="31137" xr:uid="{00000000-0005-0000-0000-0000A6780000}"/>
    <cellStyle name="Normal 41 2 4 2" xfId="31138" xr:uid="{00000000-0005-0000-0000-0000A7780000}"/>
    <cellStyle name="Normal 41 2 4 2 2" xfId="31139" xr:uid="{00000000-0005-0000-0000-0000A8780000}"/>
    <cellStyle name="Normal 41 2 4 3" xfId="31140" xr:uid="{00000000-0005-0000-0000-0000A9780000}"/>
    <cellStyle name="Normal 41 2 5" xfId="31141" xr:uid="{00000000-0005-0000-0000-0000AA780000}"/>
    <cellStyle name="Normal 41 2 5 2" xfId="31142" xr:uid="{00000000-0005-0000-0000-0000AB780000}"/>
    <cellStyle name="Normal 41 2 5 2 2" xfId="31143" xr:uid="{00000000-0005-0000-0000-0000AC780000}"/>
    <cellStyle name="Normal 41 2 5 3" xfId="31144" xr:uid="{00000000-0005-0000-0000-0000AD780000}"/>
    <cellStyle name="Normal 41 2 6" xfId="31145" xr:uid="{00000000-0005-0000-0000-0000AE780000}"/>
    <cellStyle name="Normal 41 3" xfId="31146" xr:uid="{00000000-0005-0000-0000-0000AF780000}"/>
    <cellStyle name="Normal 41 3 2" xfId="31147" xr:uid="{00000000-0005-0000-0000-0000B0780000}"/>
    <cellStyle name="Normal 41 3 2 2" xfId="31148" xr:uid="{00000000-0005-0000-0000-0000B1780000}"/>
    <cellStyle name="Normal 41 3 3" xfId="31149" xr:uid="{00000000-0005-0000-0000-0000B2780000}"/>
    <cellStyle name="Normal 41 3 3 2" xfId="31150" xr:uid="{00000000-0005-0000-0000-0000B3780000}"/>
    <cellStyle name="Normal 41 3 3 2 2" xfId="31151" xr:uid="{00000000-0005-0000-0000-0000B4780000}"/>
    <cellStyle name="Normal 41 3 3 3" xfId="31152" xr:uid="{00000000-0005-0000-0000-0000B5780000}"/>
    <cellStyle name="Normal 41 3 4" xfId="31153" xr:uid="{00000000-0005-0000-0000-0000B6780000}"/>
    <cellStyle name="Normal 41 3 4 2" xfId="31154" xr:uid="{00000000-0005-0000-0000-0000B7780000}"/>
    <cellStyle name="Normal 41 3 4 2 2" xfId="31155" xr:uid="{00000000-0005-0000-0000-0000B8780000}"/>
    <cellStyle name="Normal 41 3 4 3" xfId="31156" xr:uid="{00000000-0005-0000-0000-0000B9780000}"/>
    <cellStyle name="Normal 41 3 5" xfId="31157" xr:uid="{00000000-0005-0000-0000-0000BA780000}"/>
    <cellStyle name="Normal 41 4" xfId="31158" xr:uid="{00000000-0005-0000-0000-0000BB780000}"/>
    <cellStyle name="Normal 41 4 2" xfId="31159" xr:uid="{00000000-0005-0000-0000-0000BC780000}"/>
    <cellStyle name="Normal 41 4 2 2" xfId="31160" xr:uid="{00000000-0005-0000-0000-0000BD780000}"/>
    <cellStyle name="Normal 41 4 3" xfId="31161" xr:uid="{00000000-0005-0000-0000-0000BE780000}"/>
    <cellStyle name="Normal 41 5" xfId="31162" xr:uid="{00000000-0005-0000-0000-0000BF780000}"/>
    <cellStyle name="Normal 41 5 2" xfId="31163" xr:uid="{00000000-0005-0000-0000-0000C0780000}"/>
    <cellStyle name="Normal 41 5 2 2" xfId="31164" xr:uid="{00000000-0005-0000-0000-0000C1780000}"/>
    <cellStyle name="Normal 41 5 3" xfId="31165" xr:uid="{00000000-0005-0000-0000-0000C2780000}"/>
    <cellStyle name="Normal 41 6" xfId="31166" xr:uid="{00000000-0005-0000-0000-0000C3780000}"/>
    <cellStyle name="Normal 41 6 2" xfId="31167" xr:uid="{00000000-0005-0000-0000-0000C4780000}"/>
    <cellStyle name="Normal 41 6 2 2" xfId="31168" xr:uid="{00000000-0005-0000-0000-0000C5780000}"/>
    <cellStyle name="Normal 41 6 3" xfId="31169" xr:uid="{00000000-0005-0000-0000-0000C6780000}"/>
    <cellStyle name="Normal 41 7" xfId="31170" xr:uid="{00000000-0005-0000-0000-0000C7780000}"/>
    <cellStyle name="Normal 410" xfId="31171" xr:uid="{00000000-0005-0000-0000-0000C8780000}"/>
    <cellStyle name="Normal 410 2" xfId="31172" xr:uid="{00000000-0005-0000-0000-0000C9780000}"/>
    <cellStyle name="Normal 410 2 2" xfId="31173" xr:uid="{00000000-0005-0000-0000-0000CA780000}"/>
    <cellStyle name="Normal 410 2 2 2" xfId="31174" xr:uid="{00000000-0005-0000-0000-0000CB780000}"/>
    <cellStyle name="Normal 410 2 3" xfId="31175" xr:uid="{00000000-0005-0000-0000-0000CC780000}"/>
    <cellStyle name="Normal 410 2 3 2" xfId="31176" xr:uid="{00000000-0005-0000-0000-0000CD780000}"/>
    <cellStyle name="Normal 410 2 3 2 2" xfId="31177" xr:uid="{00000000-0005-0000-0000-0000CE780000}"/>
    <cellStyle name="Normal 410 2 3 3" xfId="31178" xr:uid="{00000000-0005-0000-0000-0000CF780000}"/>
    <cellStyle name="Normal 410 2 4" xfId="31179" xr:uid="{00000000-0005-0000-0000-0000D0780000}"/>
    <cellStyle name="Normal 410 2 4 2" xfId="31180" xr:uid="{00000000-0005-0000-0000-0000D1780000}"/>
    <cellStyle name="Normal 410 2 4 2 2" xfId="31181" xr:uid="{00000000-0005-0000-0000-0000D2780000}"/>
    <cellStyle name="Normal 410 2 4 3" xfId="31182" xr:uid="{00000000-0005-0000-0000-0000D3780000}"/>
    <cellStyle name="Normal 410 2 5" xfId="31183" xr:uid="{00000000-0005-0000-0000-0000D4780000}"/>
    <cellStyle name="Normal 410 3" xfId="31184" xr:uid="{00000000-0005-0000-0000-0000D5780000}"/>
    <cellStyle name="Normal 410 3 2" xfId="31185" xr:uid="{00000000-0005-0000-0000-0000D6780000}"/>
    <cellStyle name="Normal 410 3 2 2" xfId="31186" xr:uid="{00000000-0005-0000-0000-0000D7780000}"/>
    <cellStyle name="Normal 410 3 2 2 2" xfId="31187" xr:uid="{00000000-0005-0000-0000-0000D8780000}"/>
    <cellStyle name="Normal 410 3 2 3" xfId="31188" xr:uid="{00000000-0005-0000-0000-0000D9780000}"/>
    <cellStyle name="Normal 410 3 2 3 2" xfId="31189" xr:uid="{00000000-0005-0000-0000-0000DA780000}"/>
    <cellStyle name="Normal 410 3 2 3 2 2" xfId="31190" xr:uid="{00000000-0005-0000-0000-0000DB780000}"/>
    <cellStyle name="Normal 410 3 2 3 3" xfId="31191" xr:uid="{00000000-0005-0000-0000-0000DC780000}"/>
    <cellStyle name="Normal 410 3 2 4" xfId="31192" xr:uid="{00000000-0005-0000-0000-0000DD780000}"/>
    <cellStyle name="Normal 410 3 3" xfId="31193" xr:uid="{00000000-0005-0000-0000-0000DE780000}"/>
    <cellStyle name="Normal 410 3 3 2" xfId="31194" xr:uid="{00000000-0005-0000-0000-0000DF780000}"/>
    <cellStyle name="Normal 410 3 3 2 2" xfId="31195" xr:uid="{00000000-0005-0000-0000-0000E0780000}"/>
    <cellStyle name="Normal 410 3 3 3" xfId="31196" xr:uid="{00000000-0005-0000-0000-0000E1780000}"/>
    <cellStyle name="Normal 410 3 4" xfId="31197" xr:uid="{00000000-0005-0000-0000-0000E2780000}"/>
    <cellStyle name="Normal 410 3 4 2" xfId="31198" xr:uid="{00000000-0005-0000-0000-0000E3780000}"/>
    <cellStyle name="Normal 410 3 4 2 2" xfId="31199" xr:uid="{00000000-0005-0000-0000-0000E4780000}"/>
    <cellStyle name="Normal 410 3 4 3" xfId="31200" xr:uid="{00000000-0005-0000-0000-0000E5780000}"/>
    <cellStyle name="Normal 410 3 5" xfId="31201" xr:uid="{00000000-0005-0000-0000-0000E6780000}"/>
    <cellStyle name="Normal 410 3 5 2" xfId="31202" xr:uid="{00000000-0005-0000-0000-0000E7780000}"/>
    <cellStyle name="Normal 410 3 5 2 2" xfId="31203" xr:uid="{00000000-0005-0000-0000-0000E8780000}"/>
    <cellStyle name="Normal 410 3 5 3" xfId="31204" xr:uid="{00000000-0005-0000-0000-0000E9780000}"/>
    <cellStyle name="Normal 410 3 6" xfId="31205" xr:uid="{00000000-0005-0000-0000-0000EA780000}"/>
    <cellStyle name="Normal 410 4" xfId="31206" xr:uid="{00000000-0005-0000-0000-0000EB780000}"/>
    <cellStyle name="Normal 410 4 2" xfId="31207" xr:uid="{00000000-0005-0000-0000-0000EC780000}"/>
    <cellStyle name="Normal 410 4 2 2" xfId="31208" xr:uid="{00000000-0005-0000-0000-0000ED780000}"/>
    <cellStyle name="Normal 410 4 3" xfId="31209" xr:uid="{00000000-0005-0000-0000-0000EE780000}"/>
    <cellStyle name="Normal 410 5" xfId="31210" xr:uid="{00000000-0005-0000-0000-0000EF780000}"/>
    <cellStyle name="Normal 410 5 2" xfId="31211" xr:uid="{00000000-0005-0000-0000-0000F0780000}"/>
    <cellStyle name="Normal 410 5 2 2" xfId="31212" xr:uid="{00000000-0005-0000-0000-0000F1780000}"/>
    <cellStyle name="Normal 410 5 3" xfId="31213" xr:uid="{00000000-0005-0000-0000-0000F2780000}"/>
    <cellStyle name="Normal 410 6" xfId="31214" xr:uid="{00000000-0005-0000-0000-0000F3780000}"/>
    <cellStyle name="Normal 410 6 2" xfId="31215" xr:uid="{00000000-0005-0000-0000-0000F4780000}"/>
    <cellStyle name="Normal 410 6 2 2" xfId="31216" xr:uid="{00000000-0005-0000-0000-0000F5780000}"/>
    <cellStyle name="Normal 410 6 3" xfId="31217" xr:uid="{00000000-0005-0000-0000-0000F6780000}"/>
    <cellStyle name="Normal 410 7" xfId="31218" xr:uid="{00000000-0005-0000-0000-0000F7780000}"/>
    <cellStyle name="Normal 411" xfId="31219" xr:uid="{00000000-0005-0000-0000-0000F8780000}"/>
    <cellStyle name="Normal 411 2" xfId="31220" xr:uid="{00000000-0005-0000-0000-0000F9780000}"/>
    <cellStyle name="Normal 411 2 2" xfId="31221" xr:uid="{00000000-0005-0000-0000-0000FA780000}"/>
    <cellStyle name="Normal 411 2 2 2" xfId="31222" xr:uid="{00000000-0005-0000-0000-0000FB780000}"/>
    <cellStyle name="Normal 411 2 3" xfId="31223" xr:uid="{00000000-0005-0000-0000-0000FC780000}"/>
    <cellStyle name="Normal 411 2 3 2" xfId="31224" xr:uid="{00000000-0005-0000-0000-0000FD780000}"/>
    <cellStyle name="Normal 411 2 3 2 2" xfId="31225" xr:uid="{00000000-0005-0000-0000-0000FE780000}"/>
    <cellStyle name="Normal 411 2 3 3" xfId="31226" xr:uid="{00000000-0005-0000-0000-0000FF780000}"/>
    <cellStyle name="Normal 411 2 4" xfId="31227" xr:uid="{00000000-0005-0000-0000-000000790000}"/>
    <cellStyle name="Normal 411 2 4 2" xfId="31228" xr:uid="{00000000-0005-0000-0000-000001790000}"/>
    <cellStyle name="Normal 411 2 4 2 2" xfId="31229" xr:uid="{00000000-0005-0000-0000-000002790000}"/>
    <cellStyle name="Normal 411 2 4 3" xfId="31230" xr:uid="{00000000-0005-0000-0000-000003790000}"/>
    <cellStyle name="Normal 411 2 5" xfId="31231" xr:uid="{00000000-0005-0000-0000-000004790000}"/>
    <cellStyle name="Normal 411 3" xfId="31232" xr:uid="{00000000-0005-0000-0000-000005790000}"/>
    <cellStyle name="Normal 411 3 2" xfId="31233" xr:uid="{00000000-0005-0000-0000-000006790000}"/>
    <cellStyle name="Normal 411 3 2 2" xfId="31234" xr:uid="{00000000-0005-0000-0000-000007790000}"/>
    <cellStyle name="Normal 411 3 2 2 2" xfId="31235" xr:uid="{00000000-0005-0000-0000-000008790000}"/>
    <cellStyle name="Normal 411 3 2 3" xfId="31236" xr:uid="{00000000-0005-0000-0000-000009790000}"/>
    <cellStyle name="Normal 411 3 2 3 2" xfId="31237" xr:uid="{00000000-0005-0000-0000-00000A790000}"/>
    <cellStyle name="Normal 411 3 2 3 2 2" xfId="31238" xr:uid="{00000000-0005-0000-0000-00000B790000}"/>
    <cellStyle name="Normal 411 3 2 3 3" xfId="31239" xr:uid="{00000000-0005-0000-0000-00000C790000}"/>
    <cellStyle name="Normal 411 3 2 4" xfId="31240" xr:uid="{00000000-0005-0000-0000-00000D790000}"/>
    <cellStyle name="Normal 411 3 3" xfId="31241" xr:uid="{00000000-0005-0000-0000-00000E790000}"/>
    <cellStyle name="Normal 411 3 3 2" xfId="31242" xr:uid="{00000000-0005-0000-0000-00000F790000}"/>
    <cellStyle name="Normal 411 3 3 2 2" xfId="31243" xr:uid="{00000000-0005-0000-0000-000010790000}"/>
    <cellStyle name="Normal 411 3 3 3" xfId="31244" xr:uid="{00000000-0005-0000-0000-000011790000}"/>
    <cellStyle name="Normal 411 3 4" xfId="31245" xr:uid="{00000000-0005-0000-0000-000012790000}"/>
    <cellStyle name="Normal 411 3 4 2" xfId="31246" xr:uid="{00000000-0005-0000-0000-000013790000}"/>
    <cellStyle name="Normal 411 3 4 2 2" xfId="31247" xr:uid="{00000000-0005-0000-0000-000014790000}"/>
    <cellStyle name="Normal 411 3 4 3" xfId="31248" xr:uid="{00000000-0005-0000-0000-000015790000}"/>
    <cellStyle name="Normal 411 3 5" xfId="31249" xr:uid="{00000000-0005-0000-0000-000016790000}"/>
    <cellStyle name="Normal 411 3 5 2" xfId="31250" xr:uid="{00000000-0005-0000-0000-000017790000}"/>
    <cellStyle name="Normal 411 3 5 2 2" xfId="31251" xr:uid="{00000000-0005-0000-0000-000018790000}"/>
    <cellStyle name="Normal 411 3 5 3" xfId="31252" xr:uid="{00000000-0005-0000-0000-000019790000}"/>
    <cellStyle name="Normal 411 3 6" xfId="31253" xr:uid="{00000000-0005-0000-0000-00001A790000}"/>
    <cellStyle name="Normal 411 4" xfId="31254" xr:uid="{00000000-0005-0000-0000-00001B790000}"/>
    <cellStyle name="Normal 411 4 2" xfId="31255" xr:uid="{00000000-0005-0000-0000-00001C790000}"/>
    <cellStyle name="Normal 411 4 2 2" xfId="31256" xr:uid="{00000000-0005-0000-0000-00001D790000}"/>
    <cellStyle name="Normal 411 4 3" xfId="31257" xr:uid="{00000000-0005-0000-0000-00001E790000}"/>
    <cellStyle name="Normal 411 5" xfId="31258" xr:uid="{00000000-0005-0000-0000-00001F790000}"/>
    <cellStyle name="Normal 411 5 2" xfId="31259" xr:uid="{00000000-0005-0000-0000-000020790000}"/>
    <cellStyle name="Normal 411 5 2 2" xfId="31260" xr:uid="{00000000-0005-0000-0000-000021790000}"/>
    <cellStyle name="Normal 411 5 3" xfId="31261" xr:uid="{00000000-0005-0000-0000-000022790000}"/>
    <cellStyle name="Normal 411 6" xfId="31262" xr:uid="{00000000-0005-0000-0000-000023790000}"/>
    <cellStyle name="Normal 411 6 2" xfId="31263" xr:uid="{00000000-0005-0000-0000-000024790000}"/>
    <cellStyle name="Normal 411 6 2 2" xfId="31264" xr:uid="{00000000-0005-0000-0000-000025790000}"/>
    <cellStyle name="Normal 411 6 3" xfId="31265" xr:uid="{00000000-0005-0000-0000-000026790000}"/>
    <cellStyle name="Normal 411 7" xfId="31266" xr:uid="{00000000-0005-0000-0000-000027790000}"/>
    <cellStyle name="Normal 412" xfId="31267" xr:uid="{00000000-0005-0000-0000-000028790000}"/>
    <cellStyle name="Normal 412 2" xfId="31268" xr:uid="{00000000-0005-0000-0000-000029790000}"/>
    <cellStyle name="Normal 412 2 2" xfId="31269" xr:uid="{00000000-0005-0000-0000-00002A790000}"/>
    <cellStyle name="Normal 412 2 2 2" xfId="31270" xr:uid="{00000000-0005-0000-0000-00002B790000}"/>
    <cellStyle name="Normal 412 2 3" xfId="31271" xr:uid="{00000000-0005-0000-0000-00002C790000}"/>
    <cellStyle name="Normal 412 2 3 2" xfId="31272" xr:uid="{00000000-0005-0000-0000-00002D790000}"/>
    <cellStyle name="Normal 412 2 3 2 2" xfId="31273" xr:uid="{00000000-0005-0000-0000-00002E790000}"/>
    <cellStyle name="Normal 412 2 3 3" xfId="31274" xr:uid="{00000000-0005-0000-0000-00002F790000}"/>
    <cellStyle name="Normal 412 2 4" xfId="31275" xr:uid="{00000000-0005-0000-0000-000030790000}"/>
    <cellStyle name="Normal 412 2 4 2" xfId="31276" xr:uid="{00000000-0005-0000-0000-000031790000}"/>
    <cellStyle name="Normal 412 2 4 2 2" xfId="31277" xr:uid="{00000000-0005-0000-0000-000032790000}"/>
    <cellStyle name="Normal 412 2 4 3" xfId="31278" xr:uid="{00000000-0005-0000-0000-000033790000}"/>
    <cellStyle name="Normal 412 2 5" xfId="31279" xr:uid="{00000000-0005-0000-0000-000034790000}"/>
    <cellStyle name="Normal 412 3" xfId="31280" xr:uid="{00000000-0005-0000-0000-000035790000}"/>
    <cellStyle name="Normal 412 3 2" xfId="31281" xr:uid="{00000000-0005-0000-0000-000036790000}"/>
    <cellStyle name="Normal 412 3 2 2" xfId="31282" xr:uid="{00000000-0005-0000-0000-000037790000}"/>
    <cellStyle name="Normal 412 3 2 2 2" xfId="31283" xr:uid="{00000000-0005-0000-0000-000038790000}"/>
    <cellStyle name="Normal 412 3 2 3" xfId="31284" xr:uid="{00000000-0005-0000-0000-000039790000}"/>
    <cellStyle name="Normal 412 3 2 3 2" xfId="31285" xr:uid="{00000000-0005-0000-0000-00003A790000}"/>
    <cellStyle name="Normal 412 3 2 3 2 2" xfId="31286" xr:uid="{00000000-0005-0000-0000-00003B790000}"/>
    <cellStyle name="Normal 412 3 2 3 3" xfId="31287" xr:uid="{00000000-0005-0000-0000-00003C790000}"/>
    <cellStyle name="Normal 412 3 2 4" xfId="31288" xr:uid="{00000000-0005-0000-0000-00003D790000}"/>
    <cellStyle name="Normal 412 3 3" xfId="31289" xr:uid="{00000000-0005-0000-0000-00003E790000}"/>
    <cellStyle name="Normal 412 3 3 2" xfId="31290" xr:uid="{00000000-0005-0000-0000-00003F790000}"/>
    <cellStyle name="Normal 412 3 3 2 2" xfId="31291" xr:uid="{00000000-0005-0000-0000-000040790000}"/>
    <cellStyle name="Normal 412 3 3 3" xfId="31292" xr:uid="{00000000-0005-0000-0000-000041790000}"/>
    <cellStyle name="Normal 412 3 4" xfId="31293" xr:uid="{00000000-0005-0000-0000-000042790000}"/>
    <cellStyle name="Normal 412 3 4 2" xfId="31294" xr:uid="{00000000-0005-0000-0000-000043790000}"/>
    <cellStyle name="Normal 412 3 4 2 2" xfId="31295" xr:uid="{00000000-0005-0000-0000-000044790000}"/>
    <cellStyle name="Normal 412 3 4 3" xfId="31296" xr:uid="{00000000-0005-0000-0000-000045790000}"/>
    <cellStyle name="Normal 412 3 5" xfId="31297" xr:uid="{00000000-0005-0000-0000-000046790000}"/>
    <cellStyle name="Normal 412 3 5 2" xfId="31298" xr:uid="{00000000-0005-0000-0000-000047790000}"/>
    <cellStyle name="Normal 412 3 5 2 2" xfId="31299" xr:uid="{00000000-0005-0000-0000-000048790000}"/>
    <cellStyle name="Normal 412 3 5 3" xfId="31300" xr:uid="{00000000-0005-0000-0000-000049790000}"/>
    <cellStyle name="Normal 412 3 6" xfId="31301" xr:uid="{00000000-0005-0000-0000-00004A790000}"/>
    <cellStyle name="Normal 412 4" xfId="31302" xr:uid="{00000000-0005-0000-0000-00004B790000}"/>
    <cellStyle name="Normal 412 4 2" xfId="31303" xr:uid="{00000000-0005-0000-0000-00004C790000}"/>
    <cellStyle name="Normal 412 4 2 2" xfId="31304" xr:uid="{00000000-0005-0000-0000-00004D790000}"/>
    <cellStyle name="Normal 412 4 3" xfId="31305" xr:uid="{00000000-0005-0000-0000-00004E790000}"/>
    <cellStyle name="Normal 412 5" xfId="31306" xr:uid="{00000000-0005-0000-0000-00004F790000}"/>
    <cellStyle name="Normal 412 5 2" xfId="31307" xr:uid="{00000000-0005-0000-0000-000050790000}"/>
    <cellStyle name="Normal 412 5 2 2" xfId="31308" xr:uid="{00000000-0005-0000-0000-000051790000}"/>
    <cellStyle name="Normal 412 5 3" xfId="31309" xr:uid="{00000000-0005-0000-0000-000052790000}"/>
    <cellStyle name="Normal 412 6" xfId="31310" xr:uid="{00000000-0005-0000-0000-000053790000}"/>
    <cellStyle name="Normal 412 6 2" xfId="31311" xr:uid="{00000000-0005-0000-0000-000054790000}"/>
    <cellStyle name="Normal 412 6 2 2" xfId="31312" xr:uid="{00000000-0005-0000-0000-000055790000}"/>
    <cellStyle name="Normal 412 6 3" xfId="31313" xr:uid="{00000000-0005-0000-0000-000056790000}"/>
    <cellStyle name="Normal 412 7" xfId="31314" xr:uid="{00000000-0005-0000-0000-000057790000}"/>
    <cellStyle name="Normal 413" xfId="31315" xr:uid="{00000000-0005-0000-0000-000058790000}"/>
    <cellStyle name="Normal 413 2" xfId="31316" xr:uid="{00000000-0005-0000-0000-000059790000}"/>
    <cellStyle name="Normal 413 2 2" xfId="31317" xr:uid="{00000000-0005-0000-0000-00005A790000}"/>
    <cellStyle name="Normal 413 2 2 2" xfId="31318" xr:uid="{00000000-0005-0000-0000-00005B790000}"/>
    <cellStyle name="Normal 413 2 3" xfId="31319" xr:uid="{00000000-0005-0000-0000-00005C790000}"/>
    <cellStyle name="Normal 413 2 3 2" xfId="31320" xr:uid="{00000000-0005-0000-0000-00005D790000}"/>
    <cellStyle name="Normal 413 2 3 2 2" xfId="31321" xr:uid="{00000000-0005-0000-0000-00005E790000}"/>
    <cellStyle name="Normal 413 2 3 3" xfId="31322" xr:uid="{00000000-0005-0000-0000-00005F790000}"/>
    <cellStyle name="Normal 413 2 4" xfId="31323" xr:uid="{00000000-0005-0000-0000-000060790000}"/>
    <cellStyle name="Normal 413 2 4 2" xfId="31324" xr:uid="{00000000-0005-0000-0000-000061790000}"/>
    <cellStyle name="Normal 413 2 4 2 2" xfId="31325" xr:uid="{00000000-0005-0000-0000-000062790000}"/>
    <cellStyle name="Normal 413 2 4 3" xfId="31326" xr:uid="{00000000-0005-0000-0000-000063790000}"/>
    <cellStyle name="Normal 413 2 5" xfId="31327" xr:uid="{00000000-0005-0000-0000-000064790000}"/>
    <cellStyle name="Normal 413 3" xfId="31328" xr:uid="{00000000-0005-0000-0000-000065790000}"/>
    <cellStyle name="Normal 413 3 2" xfId="31329" xr:uid="{00000000-0005-0000-0000-000066790000}"/>
    <cellStyle name="Normal 413 3 2 2" xfId="31330" xr:uid="{00000000-0005-0000-0000-000067790000}"/>
    <cellStyle name="Normal 413 3 2 2 2" xfId="31331" xr:uid="{00000000-0005-0000-0000-000068790000}"/>
    <cellStyle name="Normal 413 3 2 3" xfId="31332" xr:uid="{00000000-0005-0000-0000-000069790000}"/>
    <cellStyle name="Normal 413 3 2 3 2" xfId="31333" xr:uid="{00000000-0005-0000-0000-00006A790000}"/>
    <cellStyle name="Normal 413 3 2 3 2 2" xfId="31334" xr:uid="{00000000-0005-0000-0000-00006B790000}"/>
    <cellStyle name="Normal 413 3 2 3 3" xfId="31335" xr:uid="{00000000-0005-0000-0000-00006C790000}"/>
    <cellStyle name="Normal 413 3 2 4" xfId="31336" xr:uid="{00000000-0005-0000-0000-00006D790000}"/>
    <cellStyle name="Normal 413 3 3" xfId="31337" xr:uid="{00000000-0005-0000-0000-00006E790000}"/>
    <cellStyle name="Normal 413 3 3 2" xfId="31338" xr:uid="{00000000-0005-0000-0000-00006F790000}"/>
    <cellStyle name="Normal 413 3 3 2 2" xfId="31339" xr:uid="{00000000-0005-0000-0000-000070790000}"/>
    <cellStyle name="Normal 413 3 3 3" xfId="31340" xr:uid="{00000000-0005-0000-0000-000071790000}"/>
    <cellStyle name="Normal 413 3 4" xfId="31341" xr:uid="{00000000-0005-0000-0000-000072790000}"/>
    <cellStyle name="Normal 413 3 4 2" xfId="31342" xr:uid="{00000000-0005-0000-0000-000073790000}"/>
    <cellStyle name="Normal 413 3 4 2 2" xfId="31343" xr:uid="{00000000-0005-0000-0000-000074790000}"/>
    <cellStyle name="Normal 413 3 4 3" xfId="31344" xr:uid="{00000000-0005-0000-0000-000075790000}"/>
    <cellStyle name="Normal 413 3 5" xfId="31345" xr:uid="{00000000-0005-0000-0000-000076790000}"/>
    <cellStyle name="Normal 413 3 5 2" xfId="31346" xr:uid="{00000000-0005-0000-0000-000077790000}"/>
    <cellStyle name="Normal 413 3 5 2 2" xfId="31347" xr:uid="{00000000-0005-0000-0000-000078790000}"/>
    <cellStyle name="Normal 413 3 5 3" xfId="31348" xr:uid="{00000000-0005-0000-0000-000079790000}"/>
    <cellStyle name="Normal 413 3 6" xfId="31349" xr:uid="{00000000-0005-0000-0000-00007A790000}"/>
    <cellStyle name="Normal 413 4" xfId="31350" xr:uid="{00000000-0005-0000-0000-00007B790000}"/>
    <cellStyle name="Normal 413 4 2" xfId="31351" xr:uid="{00000000-0005-0000-0000-00007C790000}"/>
    <cellStyle name="Normal 413 4 2 2" xfId="31352" xr:uid="{00000000-0005-0000-0000-00007D790000}"/>
    <cellStyle name="Normal 413 4 3" xfId="31353" xr:uid="{00000000-0005-0000-0000-00007E790000}"/>
    <cellStyle name="Normal 413 5" xfId="31354" xr:uid="{00000000-0005-0000-0000-00007F790000}"/>
    <cellStyle name="Normal 413 5 2" xfId="31355" xr:uid="{00000000-0005-0000-0000-000080790000}"/>
    <cellStyle name="Normal 413 5 2 2" xfId="31356" xr:uid="{00000000-0005-0000-0000-000081790000}"/>
    <cellStyle name="Normal 413 5 3" xfId="31357" xr:uid="{00000000-0005-0000-0000-000082790000}"/>
    <cellStyle name="Normal 413 6" xfId="31358" xr:uid="{00000000-0005-0000-0000-000083790000}"/>
    <cellStyle name="Normal 413 6 2" xfId="31359" xr:uid="{00000000-0005-0000-0000-000084790000}"/>
    <cellStyle name="Normal 413 6 2 2" xfId="31360" xr:uid="{00000000-0005-0000-0000-000085790000}"/>
    <cellStyle name="Normal 413 6 3" xfId="31361" xr:uid="{00000000-0005-0000-0000-000086790000}"/>
    <cellStyle name="Normal 413 7" xfId="31362" xr:uid="{00000000-0005-0000-0000-000087790000}"/>
    <cellStyle name="Normal 414" xfId="31363" xr:uid="{00000000-0005-0000-0000-000088790000}"/>
    <cellStyle name="Normal 414 2" xfId="31364" xr:uid="{00000000-0005-0000-0000-000089790000}"/>
    <cellStyle name="Normal 414 2 2" xfId="31365" xr:uid="{00000000-0005-0000-0000-00008A790000}"/>
    <cellStyle name="Normal 414 2 2 2" xfId="31366" xr:uid="{00000000-0005-0000-0000-00008B790000}"/>
    <cellStyle name="Normal 414 2 3" xfId="31367" xr:uid="{00000000-0005-0000-0000-00008C790000}"/>
    <cellStyle name="Normal 414 2 3 2" xfId="31368" xr:uid="{00000000-0005-0000-0000-00008D790000}"/>
    <cellStyle name="Normal 414 2 3 2 2" xfId="31369" xr:uid="{00000000-0005-0000-0000-00008E790000}"/>
    <cellStyle name="Normal 414 2 3 3" xfId="31370" xr:uid="{00000000-0005-0000-0000-00008F790000}"/>
    <cellStyle name="Normal 414 2 4" xfId="31371" xr:uid="{00000000-0005-0000-0000-000090790000}"/>
    <cellStyle name="Normal 414 2 4 2" xfId="31372" xr:uid="{00000000-0005-0000-0000-000091790000}"/>
    <cellStyle name="Normal 414 2 4 2 2" xfId="31373" xr:uid="{00000000-0005-0000-0000-000092790000}"/>
    <cellStyle name="Normal 414 2 4 3" xfId="31374" xr:uid="{00000000-0005-0000-0000-000093790000}"/>
    <cellStyle name="Normal 414 2 5" xfId="31375" xr:uid="{00000000-0005-0000-0000-000094790000}"/>
    <cellStyle name="Normal 414 3" xfId="31376" xr:uid="{00000000-0005-0000-0000-000095790000}"/>
    <cellStyle name="Normal 414 3 2" xfId="31377" xr:uid="{00000000-0005-0000-0000-000096790000}"/>
    <cellStyle name="Normal 414 3 2 2" xfId="31378" xr:uid="{00000000-0005-0000-0000-000097790000}"/>
    <cellStyle name="Normal 414 3 2 2 2" xfId="31379" xr:uid="{00000000-0005-0000-0000-000098790000}"/>
    <cellStyle name="Normal 414 3 2 3" xfId="31380" xr:uid="{00000000-0005-0000-0000-000099790000}"/>
    <cellStyle name="Normal 414 3 2 3 2" xfId="31381" xr:uid="{00000000-0005-0000-0000-00009A790000}"/>
    <cellStyle name="Normal 414 3 2 3 2 2" xfId="31382" xr:uid="{00000000-0005-0000-0000-00009B790000}"/>
    <cellStyle name="Normal 414 3 2 3 3" xfId="31383" xr:uid="{00000000-0005-0000-0000-00009C790000}"/>
    <cellStyle name="Normal 414 3 2 4" xfId="31384" xr:uid="{00000000-0005-0000-0000-00009D790000}"/>
    <cellStyle name="Normal 414 3 3" xfId="31385" xr:uid="{00000000-0005-0000-0000-00009E790000}"/>
    <cellStyle name="Normal 414 3 3 2" xfId="31386" xr:uid="{00000000-0005-0000-0000-00009F790000}"/>
    <cellStyle name="Normal 414 3 3 2 2" xfId="31387" xr:uid="{00000000-0005-0000-0000-0000A0790000}"/>
    <cellStyle name="Normal 414 3 3 3" xfId="31388" xr:uid="{00000000-0005-0000-0000-0000A1790000}"/>
    <cellStyle name="Normal 414 3 4" xfId="31389" xr:uid="{00000000-0005-0000-0000-0000A2790000}"/>
    <cellStyle name="Normal 414 3 4 2" xfId="31390" xr:uid="{00000000-0005-0000-0000-0000A3790000}"/>
    <cellStyle name="Normal 414 3 4 2 2" xfId="31391" xr:uid="{00000000-0005-0000-0000-0000A4790000}"/>
    <cellStyle name="Normal 414 3 4 3" xfId="31392" xr:uid="{00000000-0005-0000-0000-0000A5790000}"/>
    <cellStyle name="Normal 414 3 5" xfId="31393" xr:uid="{00000000-0005-0000-0000-0000A6790000}"/>
    <cellStyle name="Normal 414 3 5 2" xfId="31394" xr:uid="{00000000-0005-0000-0000-0000A7790000}"/>
    <cellStyle name="Normal 414 3 5 2 2" xfId="31395" xr:uid="{00000000-0005-0000-0000-0000A8790000}"/>
    <cellStyle name="Normal 414 3 5 3" xfId="31396" xr:uid="{00000000-0005-0000-0000-0000A9790000}"/>
    <cellStyle name="Normal 414 3 6" xfId="31397" xr:uid="{00000000-0005-0000-0000-0000AA790000}"/>
    <cellStyle name="Normal 414 4" xfId="31398" xr:uid="{00000000-0005-0000-0000-0000AB790000}"/>
    <cellStyle name="Normal 414 4 2" xfId="31399" xr:uid="{00000000-0005-0000-0000-0000AC790000}"/>
    <cellStyle name="Normal 414 4 2 2" xfId="31400" xr:uid="{00000000-0005-0000-0000-0000AD790000}"/>
    <cellStyle name="Normal 414 4 3" xfId="31401" xr:uid="{00000000-0005-0000-0000-0000AE790000}"/>
    <cellStyle name="Normal 414 5" xfId="31402" xr:uid="{00000000-0005-0000-0000-0000AF790000}"/>
    <cellStyle name="Normal 414 5 2" xfId="31403" xr:uid="{00000000-0005-0000-0000-0000B0790000}"/>
    <cellStyle name="Normal 414 5 2 2" xfId="31404" xr:uid="{00000000-0005-0000-0000-0000B1790000}"/>
    <cellStyle name="Normal 414 5 3" xfId="31405" xr:uid="{00000000-0005-0000-0000-0000B2790000}"/>
    <cellStyle name="Normal 414 6" xfId="31406" xr:uid="{00000000-0005-0000-0000-0000B3790000}"/>
    <cellStyle name="Normal 414 6 2" xfId="31407" xr:uid="{00000000-0005-0000-0000-0000B4790000}"/>
    <cellStyle name="Normal 414 6 2 2" xfId="31408" xr:uid="{00000000-0005-0000-0000-0000B5790000}"/>
    <cellStyle name="Normal 414 6 3" xfId="31409" xr:uid="{00000000-0005-0000-0000-0000B6790000}"/>
    <cellStyle name="Normal 414 7" xfId="31410" xr:uid="{00000000-0005-0000-0000-0000B7790000}"/>
    <cellStyle name="Normal 415" xfId="31411" xr:uid="{00000000-0005-0000-0000-0000B8790000}"/>
    <cellStyle name="Normal 415 2" xfId="31412" xr:uid="{00000000-0005-0000-0000-0000B9790000}"/>
    <cellStyle name="Normal 415 2 2" xfId="31413" xr:uid="{00000000-0005-0000-0000-0000BA790000}"/>
    <cellStyle name="Normal 415 2 2 2" xfId="31414" xr:uid="{00000000-0005-0000-0000-0000BB790000}"/>
    <cellStyle name="Normal 415 2 3" xfId="31415" xr:uid="{00000000-0005-0000-0000-0000BC790000}"/>
    <cellStyle name="Normal 415 2 3 2" xfId="31416" xr:uid="{00000000-0005-0000-0000-0000BD790000}"/>
    <cellStyle name="Normal 415 2 3 2 2" xfId="31417" xr:uid="{00000000-0005-0000-0000-0000BE790000}"/>
    <cellStyle name="Normal 415 2 3 3" xfId="31418" xr:uid="{00000000-0005-0000-0000-0000BF790000}"/>
    <cellStyle name="Normal 415 2 4" xfId="31419" xr:uid="{00000000-0005-0000-0000-0000C0790000}"/>
    <cellStyle name="Normal 415 2 4 2" xfId="31420" xr:uid="{00000000-0005-0000-0000-0000C1790000}"/>
    <cellStyle name="Normal 415 2 4 2 2" xfId="31421" xr:uid="{00000000-0005-0000-0000-0000C2790000}"/>
    <cellStyle name="Normal 415 2 4 3" xfId="31422" xr:uid="{00000000-0005-0000-0000-0000C3790000}"/>
    <cellStyle name="Normal 415 2 5" xfId="31423" xr:uid="{00000000-0005-0000-0000-0000C4790000}"/>
    <cellStyle name="Normal 415 3" xfId="31424" xr:uid="{00000000-0005-0000-0000-0000C5790000}"/>
    <cellStyle name="Normal 415 3 2" xfId="31425" xr:uid="{00000000-0005-0000-0000-0000C6790000}"/>
    <cellStyle name="Normal 415 3 2 2" xfId="31426" xr:uid="{00000000-0005-0000-0000-0000C7790000}"/>
    <cellStyle name="Normal 415 3 2 2 2" xfId="31427" xr:uid="{00000000-0005-0000-0000-0000C8790000}"/>
    <cellStyle name="Normal 415 3 2 3" xfId="31428" xr:uid="{00000000-0005-0000-0000-0000C9790000}"/>
    <cellStyle name="Normal 415 3 2 3 2" xfId="31429" xr:uid="{00000000-0005-0000-0000-0000CA790000}"/>
    <cellStyle name="Normal 415 3 2 3 2 2" xfId="31430" xr:uid="{00000000-0005-0000-0000-0000CB790000}"/>
    <cellStyle name="Normal 415 3 2 3 3" xfId="31431" xr:uid="{00000000-0005-0000-0000-0000CC790000}"/>
    <cellStyle name="Normal 415 3 2 4" xfId="31432" xr:uid="{00000000-0005-0000-0000-0000CD790000}"/>
    <cellStyle name="Normal 415 3 3" xfId="31433" xr:uid="{00000000-0005-0000-0000-0000CE790000}"/>
    <cellStyle name="Normal 415 3 3 2" xfId="31434" xr:uid="{00000000-0005-0000-0000-0000CF790000}"/>
    <cellStyle name="Normal 415 3 3 2 2" xfId="31435" xr:uid="{00000000-0005-0000-0000-0000D0790000}"/>
    <cellStyle name="Normal 415 3 3 3" xfId="31436" xr:uid="{00000000-0005-0000-0000-0000D1790000}"/>
    <cellStyle name="Normal 415 3 4" xfId="31437" xr:uid="{00000000-0005-0000-0000-0000D2790000}"/>
    <cellStyle name="Normal 415 3 4 2" xfId="31438" xr:uid="{00000000-0005-0000-0000-0000D3790000}"/>
    <cellStyle name="Normal 415 3 4 2 2" xfId="31439" xr:uid="{00000000-0005-0000-0000-0000D4790000}"/>
    <cellStyle name="Normal 415 3 4 3" xfId="31440" xr:uid="{00000000-0005-0000-0000-0000D5790000}"/>
    <cellStyle name="Normal 415 3 5" xfId="31441" xr:uid="{00000000-0005-0000-0000-0000D6790000}"/>
    <cellStyle name="Normal 415 3 5 2" xfId="31442" xr:uid="{00000000-0005-0000-0000-0000D7790000}"/>
    <cellStyle name="Normal 415 3 5 2 2" xfId="31443" xr:uid="{00000000-0005-0000-0000-0000D8790000}"/>
    <cellStyle name="Normal 415 3 5 3" xfId="31444" xr:uid="{00000000-0005-0000-0000-0000D9790000}"/>
    <cellStyle name="Normal 415 3 6" xfId="31445" xr:uid="{00000000-0005-0000-0000-0000DA790000}"/>
    <cellStyle name="Normal 415 4" xfId="31446" xr:uid="{00000000-0005-0000-0000-0000DB790000}"/>
    <cellStyle name="Normal 415 4 2" xfId="31447" xr:uid="{00000000-0005-0000-0000-0000DC790000}"/>
    <cellStyle name="Normal 415 4 2 2" xfId="31448" xr:uid="{00000000-0005-0000-0000-0000DD790000}"/>
    <cellStyle name="Normal 415 4 3" xfId="31449" xr:uid="{00000000-0005-0000-0000-0000DE790000}"/>
    <cellStyle name="Normal 415 5" xfId="31450" xr:uid="{00000000-0005-0000-0000-0000DF790000}"/>
    <cellStyle name="Normal 415 5 2" xfId="31451" xr:uid="{00000000-0005-0000-0000-0000E0790000}"/>
    <cellStyle name="Normal 415 5 2 2" xfId="31452" xr:uid="{00000000-0005-0000-0000-0000E1790000}"/>
    <cellStyle name="Normal 415 5 3" xfId="31453" xr:uid="{00000000-0005-0000-0000-0000E2790000}"/>
    <cellStyle name="Normal 415 6" xfId="31454" xr:uid="{00000000-0005-0000-0000-0000E3790000}"/>
    <cellStyle name="Normal 415 6 2" xfId="31455" xr:uid="{00000000-0005-0000-0000-0000E4790000}"/>
    <cellStyle name="Normal 415 6 2 2" xfId="31456" xr:uid="{00000000-0005-0000-0000-0000E5790000}"/>
    <cellStyle name="Normal 415 6 3" xfId="31457" xr:uid="{00000000-0005-0000-0000-0000E6790000}"/>
    <cellStyle name="Normal 415 7" xfId="31458" xr:uid="{00000000-0005-0000-0000-0000E7790000}"/>
    <cellStyle name="Normal 416" xfId="31459" xr:uid="{00000000-0005-0000-0000-0000E8790000}"/>
    <cellStyle name="Normal 416 2" xfId="31460" xr:uid="{00000000-0005-0000-0000-0000E9790000}"/>
    <cellStyle name="Normal 416 2 2" xfId="31461" xr:uid="{00000000-0005-0000-0000-0000EA790000}"/>
    <cellStyle name="Normal 416 2 2 2" xfId="31462" xr:uid="{00000000-0005-0000-0000-0000EB790000}"/>
    <cellStyle name="Normal 416 2 3" xfId="31463" xr:uid="{00000000-0005-0000-0000-0000EC790000}"/>
    <cellStyle name="Normal 416 2 3 2" xfId="31464" xr:uid="{00000000-0005-0000-0000-0000ED790000}"/>
    <cellStyle name="Normal 416 2 3 2 2" xfId="31465" xr:uid="{00000000-0005-0000-0000-0000EE790000}"/>
    <cellStyle name="Normal 416 2 3 3" xfId="31466" xr:uid="{00000000-0005-0000-0000-0000EF790000}"/>
    <cellStyle name="Normal 416 2 4" xfId="31467" xr:uid="{00000000-0005-0000-0000-0000F0790000}"/>
    <cellStyle name="Normal 416 2 4 2" xfId="31468" xr:uid="{00000000-0005-0000-0000-0000F1790000}"/>
    <cellStyle name="Normal 416 2 4 2 2" xfId="31469" xr:uid="{00000000-0005-0000-0000-0000F2790000}"/>
    <cellStyle name="Normal 416 2 4 3" xfId="31470" xr:uid="{00000000-0005-0000-0000-0000F3790000}"/>
    <cellStyle name="Normal 416 2 5" xfId="31471" xr:uid="{00000000-0005-0000-0000-0000F4790000}"/>
    <cellStyle name="Normal 416 3" xfId="31472" xr:uid="{00000000-0005-0000-0000-0000F5790000}"/>
    <cellStyle name="Normal 416 3 2" xfId="31473" xr:uid="{00000000-0005-0000-0000-0000F6790000}"/>
    <cellStyle name="Normal 416 3 2 2" xfId="31474" xr:uid="{00000000-0005-0000-0000-0000F7790000}"/>
    <cellStyle name="Normal 416 3 2 2 2" xfId="31475" xr:uid="{00000000-0005-0000-0000-0000F8790000}"/>
    <cellStyle name="Normal 416 3 2 3" xfId="31476" xr:uid="{00000000-0005-0000-0000-0000F9790000}"/>
    <cellStyle name="Normal 416 3 2 3 2" xfId="31477" xr:uid="{00000000-0005-0000-0000-0000FA790000}"/>
    <cellStyle name="Normal 416 3 2 3 2 2" xfId="31478" xr:uid="{00000000-0005-0000-0000-0000FB790000}"/>
    <cellStyle name="Normal 416 3 2 3 3" xfId="31479" xr:uid="{00000000-0005-0000-0000-0000FC790000}"/>
    <cellStyle name="Normal 416 3 2 4" xfId="31480" xr:uid="{00000000-0005-0000-0000-0000FD790000}"/>
    <cellStyle name="Normal 416 3 3" xfId="31481" xr:uid="{00000000-0005-0000-0000-0000FE790000}"/>
    <cellStyle name="Normal 416 3 3 2" xfId="31482" xr:uid="{00000000-0005-0000-0000-0000FF790000}"/>
    <cellStyle name="Normal 416 3 3 2 2" xfId="31483" xr:uid="{00000000-0005-0000-0000-0000007A0000}"/>
    <cellStyle name="Normal 416 3 3 3" xfId="31484" xr:uid="{00000000-0005-0000-0000-0000017A0000}"/>
    <cellStyle name="Normal 416 3 4" xfId="31485" xr:uid="{00000000-0005-0000-0000-0000027A0000}"/>
    <cellStyle name="Normal 416 3 4 2" xfId="31486" xr:uid="{00000000-0005-0000-0000-0000037A0000}"/>
    <cellStyle name="Normal 416 3 4 2 2" xfId="31487" xr:uid="{00000000-0005-0000-0000-0000047A0000}"/>
    <cellStyle name="Normal 416 3 4 3" xfId="31488" xr:uid="{00000000-0005-0000-0000-0000057A0000}"/>
    <cellStyle name="Normal 416 3 5" xfId="31489" xr:uid="{00000000-0005-0000-0000-0000067A0000}"/>
    <cellStyle name="Normal 416 3 5 2" xfId="31490" xr:uid="{00000000-0005-0000-0000-0000077A0000}"/>
    <cellStyle name="Normal 416 3 5 2 2" xfId="31491" xr:uid="{00000000-0005-0000-0000-0000087A0000}"/>
    <cellStyle name="Normal 416 3 5 3" xfId="31492" xr:uid="{00000000-0005-0000-0000-0000097A0000}"/>
    <cellStyle name="Normal 416 3 6" xfId="31493" xr:uid="{00000000-0005-0000-0000-00000A7A0000}"/>
    <cellStyle name="Normal 416 4" xfId="31494" xr:uid="{00000000-0005-0000-0000-00000B7A0000}"/>
    <cellStyle name="Normal 416 4 2" xfId="31495" xr:uid="{00000000-0005-0000-0000-00000C7A0000}"/>
    <cellStyle name="Normal 416 4 2 2" xfId="31496" xr:uid="{00000000-0005-0000-0000-00000D7A0000}"/>
    <cellStyle name="Normal 416 4 3" xfId="31497" xr:uid="{00000000-0005-0000-0000-00000E7A0000}"/>
    <cellStyle name="Normal 416 5" xfId="31498" xr:uid="{00000000-0005-0000-0000-00000F7A0000}"/>
    <cellStyle name="Normal 416 5 2" xfId="31499" xr:uid="{00000000-0005-0000-0000-0000107A0000}"/>
    <cellStyle name="Normal 416 5 2 2" xfId="31500" xr:uid="{00000000-0005-0000-0000-0000117A0000}"/>
    <cellStyle name="Normal 416 5 3" xfId="31501" xr:uid="{00000000-0005-0000-0000-0000127A0000}"/>
    <cellStyle name="Normal 416 6" xfId="31502" xr:uid="{00000000-0005-0000-0000-0000137A0000}"/>
    <cellStyle name="Normal 416 6 2" xfId="31503" xr:uid="{00000000-0005-0000-0000-0000147A0000}"/>
    <cellStyle name="Normal 416 6 2 2" xfId="31504" xr:uid="{00000000-0005-0000-0000-0000157A0000}"/>
    <cellStyle name="Normal 416 6 3" xfId="31505" xr:uid="{00000000-0005-0000-0000-0000167A0000}"/>
    <cellStyle name="Normal 416 7" xfId="31506" xr:uid="{00000000-0005-0000-0000-0000177A0000}"/>
    <cellStyle name="Normal 417" xfId="31507" xr:uid="{00000000-0005-0000-0000-0000187A0000}"/>
    <cellStyle name="Normal 417 2" xfId="31508" xr:uid="{00000000-0005-0000-0000-0000197A0000}"/>
    <cellStyle name="Normal 417 2 2" xfId="31509" xr:uid="{00000000-0005-0000-0000-00001A7A0000}"/>
    <cellStyle name="Normal 417 2 2 2" xfId="31510" xr:uid="{00000000-0005-0000-0000-00001B7A0000}"/>
    <cellStyle name="Normal 417 2 3" xfId="31511" xr:uid="{00000000-0005-0000-0000-00001C7A0000}"/>
    <cellStyle name="Normal 417 2 3 2" xfId="31512" xr:uid="{00000000-0005-0000-0000-00001D7A0000}"/>
    <cellStyle name="Normal 417 2 3 2 2" xfId="31513" xr:uid="{00000000-0005-0000-0000-00001E7A0000}"/>
    <cellStyle name="Normal 417 2 3 3" xfId="31514" xr:uid="{00000000-0005-0000-0000-00001F7A0000}"/>
    <cellStyle name="Normal 417 2 4" xfId="31515" xr:uid="{00000000-0005-0000-0000-0000207A0000}"/>
    <cellStyle name="Normal 417 2 4 2" xfId="31516" xr:uid="{00000000-0005-0000-0000-0000217A0000}"/>
    <cellStyle name="Normal 417 2 4 2 2" xfId="31517" xr:uid="{00000000-0005-0000-0000-0000227A0000}"/>
    <cellStyle name="Normal 417 2 4 3" xfId="31518" xr:uid="{00000000-0005-0000-0000-0000237A0000}"/>
    <cellStyle name="Normal 417 2 5" xfId="31519" xr:uid="{00000000-0005-0000-0000-0000247A0000}"/>
    <cellStyle name="Normal 417 3" xfId="31520" xr:uid="{00000000-0005-0000-0000-0000257A0000}"/>
    <cellStyle name="Normal 417 3 2" xfId="31521" xr:uid="{00000000-0005-0000-0000-0000267A0000}"/>
    <cellStyle name="Normal 417 3 2 2" xfId="31522" xr:uid="{00000000-0005-0000-0000-0000277A0000}"/>
    <cellStyle name="Normal 417 3 2 2 2" xfId="31523" xr:uid="{00000000-0005-0000-0000-0000287A0000}"/>
    <cellStyle name="Normal 417 3 2 3" xfId="31524" xr:uid="{00000000-0005-0000-0000-0000297A0000}"/>
    <cellStyle name="Normal 417 3 2 3 2" xfId="31525" xr:uid="{00000000-0005-0000-0000-00002A7A0000}"/>
    <cellStyle name="Normal 417 3 2 3 2 2" xfId="31526" xr:uid="{00000000-0005-0000-0000-00002B7A0000}"/>
    <cellStyle name="Normal 417 3 2 3 3" xfId="31527" xr:uid="{00000000-0005-0000-0000-00002C7A0000}"/>
    <cellStyle name="Normal 417 3 2 4" xfId="31528" xr:uid="{00000000-0005-0000-0000-00002D7A0000}"/>
    <cellStyle name="Normal 417 3 3" xfId="31529" xr:uid="{00000000-0005-0000-0000-00002E7A0000}"/>
    <cellStyle name="Normal 417 3 3 2" xfId="31530" xr:uid="{00000000-0005-0000-0000-00002F7A0000}"/>
    <cellStyle name="Normal 417 3 3 2 2" xfId="31531" xr:uid="{00000000-0005-0000-0000-0000307A0000}"/>
    <cellStyle name="Normal 417 3 3 3" xfId="31532" xr:uid="{00000000-0005-0000-0000-0000317A0000}"/>
    <cellStyle name="Normal 417 3 4" xfId="31533" xr:uid="{00000000-0005-0000-0000-0000327A0000}"/>
    <cellStyle name="Normal 417 3 4 2" xfId="31534" xr:uid="{00000000-0005-0000-0000-0000337A0000}"/>
    <cellStyle name="Normal 417 3 4 2 2" xfId="31535" xr:uid="{00000000-0005-0000-0000-0000347A0000}"/>
    <cellStyle name="Normal 417 3 4 3" xfId="31536" xr:uid="{00000000-0005-0000-0000-0000357A0000}"/>
    <cellStyle name="Normal 417 3 5" xfId="31537" xr:uid="{00000000-0005-0000-0000-0000367A0000}"/>
    <cellStyle name="Normal 417 3 5 2" xfId="31538" xr:uid="{00000000-0005-0000-0000-0000377A0000}"/>
    <cellStyle name="Normal 417 3 5 2 2" xfId="31539" xr:uid="{00000000-0005-0000-0000-0000387A0000}"/>
    <cellStyle name="Normal 417 3 5 3" xfId="31540" xr:uid="{00000000-0005-0000-0000-0000397A0000}"/>
    <cellStyle name="Normal 417 3 6" xfId="31541" xr:uid="{00000000-0005-0000-0000-00003A7A0000}"/>
    <cellStyle name="Normal 417 4" xfId="31542" xr:uid="{00000000-0005-0000-0000-00003B7A0000}"/>
    <cellStyle name="Normal 417 4 2" xfId="31543" xr:uid="{00000000-0005-0000-0000-00003C7A0000}"/>
    <cellStyle name="Normal 417 4 2 2" xfId="31544" xr:uid="{00000000-0005-0000-0000-00003D7A0000}"/>
    <cellStyle name="Normal 417 4 3" xfId="31545" xr:uid="{00000000-0005-0000-0000-00003E7A0000}"/>
    <cellStyle name="Normal 417 5" xfId="31546" xr:uid="{00000000-0005-0000-0000-00003F7A0000}"/>
    <cellStyle name="Normal 417 5 2" xfId="31547" xr:uid="{00000000-0005-0000-0000-0000407A0000}"/>
    <cellStyle name="Normal 417 5 2 2" xfId="31548" xr:uid="{00000000-0005-0000-0000-0000417A0000}"/>
    <cellStyle name="Normal 417 5 3" xfId="31549" xr:uid="{00000000-0005-0000-0000-0000427A0000}"/>
    <cellStyle name="Normal 417 6" xfId="31550" xr:uid="{00000000-0005-0000-0000-0000437A0000}"/>
    <cellStyle name="Normal 417 6 2" xfId="31551" xr:uid="{00000000-0005-0000-0000-0000447A0000}"/>
    <cellStyle name="Normal 417 6 2 2" xfId="31552" xr:uid="{00000000-0005-0000-0000-0000457A0000}"/>
    <cellStyle name="Normal 417 6 3" xfId="31553" xr:uid="{00000000-0005-0000-0000-0000467A0000}"/>
    <cellStyle name="Normal 417 7" xfId="31554" xr:uid="{00000000-0005-0000-0000-0000477A0000}"/>
    <cellStyle name="Normal 418" xfId="31555" xr:uid="{00000000-0005-0000-0000-0000487A0000}"/>
    <cellStyle name="Normal 418 2" xfId="31556" xr:uid="{00000000-0005-0000-0000-0000497A0000}"/>
    <cellStyle name="Normal 418 2 2" xfId="31557" xr:uid="{00000000-0005-0000-0000-00004A7A0000}"/>
    <cellStyle name="Normal 418 2 2 2" xfId="31558" xr:uid="{00000000-0005-0000-0000-00004B7A0000}"/>
    <cellStyle name="Normal 418 2 3" xfId="31559" xr:uid="{00000000-0005-0000-0000-00004C7A0000}"/>
    <cellStyle name="Normal 418 2 3 2" xfId="31560" xr:uid="{00000000-0005-0000-0000-00004D7A0000}"/>
    <cellStyle name="Normal 418 2 3 2 2" xfId="31561" xr:uid="{00000000-0005-0000-0000-00004E7A0000}"/>
    <cellStyle name="Normal 418 2 3 3" xfId="31562" xr:uid="{00000000-0005-0000-0000-00004F7A0000}"/>
    <cellStyle name="Normal 418 2 4" xfId="31563" xr:uid="{00000000-0005-0000-0000-0000507A0000}"/>
    <cellStyle name="Normal 418 2 4 2" xfId="31564" xr:uid="{00000000-0005-0000-0000-0000517A0000}"/>
    <cellStyle name="Normal 418 2 4 2 2" xfId="31565" xr:uid="{00000000-0005-0000-0000-0000527A0000}"/>
    <cellStyle name="Normal 418 2 4 3" xfId="31566" xr:uid="{00000000-0005-0000-0000-0000537A0000}"/>
    <cellStyle name="Normal 418 2 5" xfId="31567" xr:uid="{00000000-0005-0000-0000-0000547A0000}"/>
    <cellStyle name="Normal 418 3" xfId="31568" xr:uid="{00000000-0005-0000-0000-0000557A0000}"/>
    <cellStyle name="Normal 418 3 2" xfId="31569" xr:uid="{00000000-0005-0000-0000-0000567A0000}"/>
    <cellStyle name="Normal 418 3 2 2" xfId="31570" xr:uid="{00000000-0005-0000-0000-0000577A0000}"/>
    <cellStyle name="Normal 418 3 2 2 2" xfId="31571" xr:uid="{00000000-0005-0000-0000-0000587A0000}"/>
    <cellStyle name="Normal 418 3 2 3" xfId="31572" xr:uid="{00000000-0005-0000-0000-0000597A0000}"/>
    <cellStyle name="Normal 418 3 2 3 2" xfId="31573" xr:uid="{00000000-0005-0000-0000-00005A7A0000}"/>
    <cellStyle name="Normal 418 3 2 3 2 2" xfId="31574" xr:uid="{00000000-0005-0000-0000-00005B7A0000}"/>
    <cellStyle name="Normal 418 3 2 3 3" xfId="31575" xr:uid="{00000000-0005-0000-0000-00005C7A0000}"/>
    <cellStyle name="Normal 418 3 2 4" xfId="31576" xr:uid="{00000000-0005-0000-0000-00005D7A0000}"/>
    <cellStyle name="Normal 418 3 3" xfId="31577" xr:uid="{00000000-0005-0000-0000-00005E7A0000}"/>
    <cellStyle name="Normal 418 3 3 2" xfId="31578" xr:uid="{00000000-0005-0000-0000-00005F7A0000}"/>
    <cellStyle name="Normal 418 3 3 2 2" xfId="31579" xr:uid="{00000000-0005-0000-0000-0000607A0000}"/>
    <cellStyle name="Normal 418 3 3 3" xfId="31580" xr:uid="{00000000-0005-0000-0000-0000617A0000}"/>
    <cellStyle name="Normal 418 3 4" xfId="31581" xr:uid="{00000000-0005-0000-0000-0000627A0000}"/>
    <cellStyle name="Normal 418 3 4 2" xfId="31582" xr:uid="{00000000-0005-0000-0000-0000637A0000}"/>
    <cellStyle name="Normal 418 3 4 2 2" xfId="31583" xr:uid="{00000000-0005-0000-0000-0000647A0000}"/>
    <cellStyle name="Normal 418 3 4 3" xfId="31584" xr:uid="{00000000-0005-0000-0000-0000657A0000}"/>
    <cellStyle name="Normal 418 3 5" xfId="31585" xr:uid="{00000000-0005-0000-0000-0000667A0000}"/>
    <cellStyle name="Normal 418 3 5 2" xfId="31586" xr:uid="{00000000-0005-0000-0000-0000677A0000}"/>
    <cellStyle name="Normal 418 3 5 2 2" xfId="31587" xr:uid="{00000000-0005-0000-0000-0000687A0000}"/>
    <cellStyle name="Normal 418 3 5 3" xfId="31588" xr:uid="{00000000-0005-0000-0000-0000697A0000}"/>
    <cellStyle name="Normal 418 3 6" xfId="31589" xr:uid="{00000000-0005-0000-0000-00006A7A0000}"/>
    <cellStyle name="Normal 418 4" xfId="31590" xr:uid="{00000000-0005-0000-0000-00006B7A0000}"/>
    <cellStyle name="Normal 418 4 2" xfId="31591" xr:uid="{00000000-0005-0000-0000-00006C7A0000}"/>
    <cellStyle name="Normal 418 4 2 2" xfId="31592" xr:uid="{00000000-0005-0000-0000-00006D7A0000}"/>
    <cellStyle name="Normal 418 4 3" xfId="31593" xr:uid="{00000000-0005-0000-0000-00006E7A0000}"/>
    <cellStyle name="Normal 418 5" xfId="31594" xr:uid="{00000000-0005-0000-0000-00006F7A0000}"/>
    <cellStyle name="Normal 418 5 2" xfId="31595" xr:uid="{00000000-0005-0000-0000-0000707A0000}"/>
    <cellStyle name="Normal 418 5 2 2" xfId="31596" xr:uid="{00000000-0005-0000-0000-0000717A0000}"/>
    <cellStyle name="Normal 418 5 3" xfId="31597" xr:uid="{00000000-0005-0000-0000-0000727A0000}"/>
    <cellStyle name="Normal 418 6" xfId="31598" xr:uid="{00000000-0005-0000-0000-0000737A0000}"/>
    <cellStyle name="Normal 418 6 2" xfId="31599" xr:uid="{00000000-0005-0000-0000-0000747A0000}"/>
    <cellStyle name="Normal 418 6 2 2" xfId="31600" xr:uid="{00000000-0005-0000-0000-0000757A0000}"/>
    <cellStyle name="Normal 418 6 3" xfId="31601" xr:uid="{00000000-0005-0000-0000-0000767A0000}"/>
    <cellStyle name="Normal 418 7" xfId="31602" xr:uid="{00000000-0005-0000-0000-0000777A0000}"/>
    <cellStyle name="Normal 419" xfId="31603" xr:uid="{00000000-0005-0000-0000-0000787A0000}"/>
    <cellStyle name="Normal 419 2" xfId="31604" xr:uid="{00000000-0005-0000-0000-0000797A0000}"/>
    <cellStyle name="Normal 419 2 2" xfId="31605" xr:uid="{00000000-0005-0000-0000-00007A7A0000}"/>
    <cellStyle name="Normal 419 2 2 2" xfId="31606" xr:uid="{00000000-0005-0000-0000-00007B7A0000}"/>
    <cellStyle name="Normal 419 2 3" xfId="31607" xr:uid="{00000000-0005-0000-0000-00007C7A0000}"/>
    <cellStyle name="Normal 419 2 3 2" xfId="31608" xr:uid="{00000000-0005-0000-0000-00007D7A0000}"/>
    <cellStyle name="Normal 419 2 3 2 2" xfId="31609" xr:uid="{00000000-0005-0000-0000-00007E7A0000}"/>
    <cellStyle name="Normal 419 2 3 3" xfId="31610" xr:uid="{00000000-0005-0000-0000-00007F7A0000}"/>
    <cellStyle name="Normal 419 2 4" xfId="31611" xr:uid="{00000000-0005-0000-0000-0000807A0000}"/>
    <cellStyle name="Normal 419 2 4 2" xfId="31612" xr:uid="{00000000-0005-0000-0000-0000817A0000}"/>
    <cellStyle name="Normal 419 2 4 2 2" xfId="31613" xr:uid="{00000000-0005-0000-0000-0000827A0000}"/>
    <cellStyle name="Normal 419 2 4 3" xfId="31614" xr:uid="{00000000-0005-0000-0000-0000837A0000}"/>
    <cellStyle name="Normal 419 2 5" xfId="31615" xr:uid="{00000000-0005-0000-0000-0000847A0000}"/>
    <cellStyle name="Normal 419 3" xfId="31616" xr:uid="{00000000-0005-0000-0000-0000857A0000}"/>
    <cellStyle name="Normal 419 3 2" xfId="31617" xr:uid="{00000000-0005-0000-0000-0000867A0000}"/>
    <cellStyle name="Normal 419 3 2 2" xfId="31618" xr:uid="{00000000-0005-0000-0000-0000877A0000}"/>
    <cellStyle name="Normal 419 3 2 2 2" xfId="31619" xr:uid="{00000000-0005-0000-0000-0000887A0000}"/>
    <cellStyle name="Normal 419 3 2 3" xfId="31620" xr:uid="{00000000-0005-0000-0000-0000897A0000}"/>
    <cellStyle name="Normal 419 3 2 3 2" xfId="31621" xr:uid="{00000000-0005-0000-0000-00008A7A0000}"/>
    <cellStyle name="Normal 419 3 2 3 2 2" xfId="31622" xr:uid="{00000000-0005-0000-0000-00008B7A0000}"/>
    <cellStyle name="Normal 419 3 2 3 3" xfId="31623" xr:uid="{00000000-0005-0000-0000-00008C7A0000}"/>
    <cellStyle name="Normal 419 3 2 4" xfId="31624" xr:uid="{00000000-0005-0000-0000-00008D7A0000}"/>
    <cellStyle name="Normal 419 3 3" xfId="31625" xr:uid="{00000000-0005-0000-0000-00008E7A0000}"/>
    <cellStyle name="Normal 419 3 3 2" xfId="31626" xr:uid="{00000000-0005-0000-0000-00008F7A0000}"/>
    <cellStyle name="Normal 419 3 3 2 2" xfId="31627" xr:uid="{00000000-0005-0000-0000-0000907A0000}"/>
    <cellStyle name="Normal 419 3 3 3" xfId="31628" xr:uid="{00000000-0005-0000-0000-0000917A0000}"/>
    <cellStyle name="Normal 419 3 4" xfId="31629" xr:uid="{00000000-0005-0000-0000-0000927A0000}"/>
    <cellStyle name="Normal 419 3 4 2" xfId="31630" xr:uid="{00000000-0005-0000-0000-0000937A0000}"/>
    <cellStyle name="Normal 419 3 4 2 2" xfId="31631" xr:uid="{00000000-0005-0000-0000-0000947A0000}"/>
    <cellStyle name="Normal 419 3 4 3" xfId="31632" xr:uid="{00000000-0005-0000-0000-0000957A0000}"/>
    <cellStyle name="Normal 419 3 5" xfId="31633" xr:uid="{00000000-0005-0000-0000-0000967A0000}"/>
    <cellStyle name="Normal 419 3 5 2" xfId="31634" xr:uid="{00000000-0005-0000-0000-0000977A0000}"/>
    <cellStyle name="Normal 419 3 5 2 2" xfId="31635" xr:uid="{00000000-0005-0000-0000-0000987A0000}"/>
    <cellStyle name="Normal 419 3 5 3" xfId="31636" xr:uid="{00000000-0005-0000-0000-0000997A0000}"/>
    <cellStyle name="Normal 419 3 6" xfId="31637" xr:uid="{00000000-0005-0000-0000-00009A7A0000}"/>
    <cellStyle name="Normal 419 4" xfId="31638" xr:uid="{00000000-0005-0000-0000-00009B7A0000}"/>
    <cellStyle name="Normal 419 4 2" xfId="31639" xr:uid="{00000000-0005-0000-0000-00009C7A0000}"/>
    <cellStyle name="Normal 419 4 2 2" xfId="31640" xr:uid="{00000000-0005-0000-0000-00009D7A0000}"/>
    <cellStyle name="Normal 419 4 3" xfId="31641" xr:uid="{00000000-0005-0000-0000-00009E7A0000}"/>
    <cellStyle name="Normal 419 5" xfId="31642" xr:uid="{00000000-0005-0000-0000-00009F7A0000}"/>
    <cellStyle name="Normal 419 5 2" xfId="31643" xr:uid="{00000000-0005-0000-0000-0000A07A0000}"/>
    <cellStyle name="Normal 419 5 2 2" xfId="31644" xr:uid="{00000000-0005-0000-0000-0000A17A0000}"/>
    <cellStyle name="Normal 419 5 3" xfId="31645" xr:uid="{00000000-0005-0000-0000-0000A27A0000}"/>
    <cellStyle name="Normal 419 6" xfId="31646" xr:uid="{00000000-0005-0000-0000-0000A37A0000}"/>
    <cellStyle name="Normal 419 6 2" xfId="31647" xr:uid="{00000000-0005-0000-0000-0000A47A0000}"/>
    <cellStyle name="Normal 419 6 2 2" xfId="31648" xr:uid="{00000000-0005-0000-0000-0000A57A0000}"/>
    <cellStyle name="Normal 419 6 3" xfId="31649" xr:uid="{00000000-0005-0000-0000-0000A67A0000}"/>
    <cellStyle name="Normal 419 7" xfId="31650" xr:uid="{00000000-0005-0000-0000-0000A77A0000}"/>
    <cellStyle name="Normal 42" xfId="31651" xr:uid="{00000000-0005-0000-0000-0000A87A0000}"/>
    <cellStyle name="Normal 42 2" xfId="31652" xr:uid="{00000000-0005-0000-0000-0000A97A0000}"/>
    <cellStyle name="Normal 42 2 2" xfId="31653" xr:uid="{00000000-0005-0000-0000-0000AA7A0000}"/>
    <cellStyle name="Normal 42 2 2 2" xfId="31654" xr:uid="{00000000-0005-0000-0000-0000AB7A0000}"/>
    <cellStyle name="Normal 42 2 2 2 2" xfId="31655" xr:uid="{00000000-0005-0000-0000-0000AC7A0000}"/>
    <cellStyle name="Normal 42 2 2 3" xfId="31656" xr:uid="{00000000-0005-0000-0000-0000AD7A0000}"/>
    <cellStyle name="Normal 42 2 2 3 2" xfId="31657" xr:uid="{00000000-0005-0000-0000-0000AE7A0000}"/>
    <cellStyle name="Normal 42 2 2 3 2 2" xfId="31658" xr:uid="{00000000-0005-0000-0000-0000AF7A0000}"/>
    <cellStyle name="Normal 42 2 2 3 3" xfId="31659" xr:uid="{00000000-0005-0000-0000-0000B07A0000}"/>
    <cellStyle name="Normal 42 2 2 4" xfId="31660" xr:uid="{00000000-0005-0000-0000-0000B17A0000}"/>
    <cellStyle name="Normal 42 2 2 4 2" xfId="31661" xr:uid="{00000000-0005-0000-0000-0000B27A0000}"/>
    <cellStyle name="Normal 42 2 2 4 2 2" xfId="31662" xr:uid="{00000000-0005-0000-0000-0000B37A0000}"/>
    <cellStyle name="Normal 42 2 2 4 3" xfId="31663" xr:uid="{00000000-0005-0000-0000-0000B47A0000}"/>
    <cellStyle name="Normal 42 2 2 5" xfId="31664" xr:uid="{00000000-0005-0000-0000-0000B57A0000}"/>
    <cellStyle name="Normal 42 2 3" xfId="31665" xr:uid="{00000000-0005-0000-0000-0000B67A0000}"/>
    <cellStyle name="Normal 42 2 3 2" xfId="31666" xr:uid="{00000000-0005-0000-0000-0000B77A0000}"/>
    <cellStyle name="Normal 42 2 3 2 2" xfId="31667" xr:uid="{00000000-0005-0000-0000-0000B87A0000}"/>
    <cellStyle name="Normal 42 2 3 3" xfId="31668" xr:uid="{00000000-0005-0000-0000-0000B97A0000}"/>
    <cellStyle name="Normal 42 2 4" xfId="31669" xr:uid="{00000000-0005-0000-0000-0000BA7A0000}"/>
    <cellStyle name="Normal 42 2 4 2" xfId="31670" xr:uid="{00000000-0005-0000-0000-0000BB7A0000}"/>
    <cellStyle name="Normal 42 2 4 2 2" xfId="31671" xr:uid="{00000000-0005-0000-0000-0000BC7A0000}"/>
    <cellStyle name="Normal 42 2 4 3" xfId="31672" xr:uid="{00000000-0005-0000-0000-0000BD7A0000}"/>
    <cellStyle name="Normal 42 2 5" xfId="31673" xr:uid="{00000000-0005-0000-0000-0000BE7A0000}"/>
    <cellStyle name="Normal 42 2 5 2" xfId="31674" xr:uid="{00000000-0005-0000-0000-0000BF7A0000}"/>
    <cellStyle name="Normal 42 2 5 2 2" xfId="31675" xr:uid="{00000000-0005-0000-0000-0000C07A0000}"/>
    <cellStyle name="Normal 42 2 5 3" xfId="31676" xr:uid="{00000000-0005-0000-0000-0000C17A0000}"/>
    <cellStyle name="Normal 42 2 6" xfId="31677" xr:uid="{00000000-0005-0000-0000-0000C27A0000}"/>
    <cellStyle name="Normal 42 3" xfId="31678" xr:uid="{00000000-0005-0000-0000-0000C37A0000}"/>
    <cellStyle name="Normal 42 3 2" xfId="31679" xr:uid="{00000000-0005-0000-0000-0000C47A0000}"/>
    <cellStyle name="Normal 42 3 2 2" xfId="31680" xr:uid="{00000000-0005-0000-0000-0000C57A0000}"/>
    <cellStyle name="Normal 42 3 3" xfId="31681" xr:uid="{00000000-0005-0000-0000-0000C67A0000}"/>
    <cellStyle name="Normal 42 3 3 2" xfId="31682" xr:uid="{00000000-0005-0000-0000-0000C77A0000}"/>
    <cellStyle name="Normal 42 3 3 2 2" xfId="31683" xr:uid="{00000000-0005-0000-0000-0000C87A0000}"/>
    <cellStyle name="Normal 42 3 3 3" xfId="31684" xr:uid="{00000000-0005-0000-0000-0000C97A0000}"/>
    <cellStyle name="Normal 42 3 4" xfId="31685" xr:uid="{00000000-0005-0000-0000-0000CA7A0000}"/>
    <cellStyle name="Normal 42 3 4 2" xfId="31686" xr:uid="{00000000-0005-0000-0000-0000CB7A0000}"/>
    <cellStyle name="Normal 42 3 4 2 2" xfId="31687" xr:uid="{00000000-0005-0000-0000-0000CC7A0000}"/>
    <cellStyle name="Normal 42 3 4 3" xfId="31688" xr:uid="{00000000-0005-0000-0000-0000CD7A0000}"/>
    <cellStyle name="Normal 42 3 5" xfId="31689" xr:uid="{00000000-0005-0000-0000-0000CE7A0000}"/>
    <cellStyle name="Normal 42 4" xfId="31690" xr:uid="{00000000-0005-0000-0000-0000CF7A0000}"/>
    <cellStyle name="Normal 42 4 2" xfId="31691" xr:uid="{00000000-0005-0000-0000-0000D07A0000}"/>
    <cellStyle name="Normal 42 4 2 2" xfId="31692" xr:uid="{00000000-0005-0000-0000-0000D17A0000}"/>
    <cellStyle name="Normal 42 4 3" xfId="31693" xr:uid="{00000000-0005-0000-0000-0000D27A0000}"/>
    <cellStyle name="Normal 42 5" xfId="31694" xr:uid="{00000000-0005-0000-0000-0000D37A0000}"/>
    <cellStyle name="Normal 42 5 2" xfId="31695" xr:uid="{00000000-0005-0000-0000-0000D47A0000}"/>
    <cellStyle name="Normal 42 5 2 2" xfId="31696" xr:uid="{00000000-0005-0000-0000-0000D57A0000}"/>
    <cellStyle name="Normal 42 5 3" xfId="31697" xr:uid="{00000000-0005-0000-0000-0000D67A0000}"/>
    <cellStyle name="Normal 42 6" xfId="31698" xr:uid="{00000000-0005-0000-0000-0000D77A0000}"/>
    <cellStyle name="Normal 42 6 2" xfId="31699" xr:uid="{00000000-0005-0000-0000-0000D87A0000}"/>
    <cellStyle name="Normal 42 6 2 2" xfId="31700" xr:uid="{00000000-0005-0000-0000-0000D97A0000}"/>
    <cellStyle name="Normal 42 6 3" xfId="31701" xr:uid="{00000000-0005-0000-0000-0000DA7A0000}"/>
    <cellStyle name="Normal 42 7" xfId="31702" xr:uid="{00000000-0005-0000-0000-0000DB7A0000}"/>
    <cellStyle name="Normal 420" xfId="31703" xr:uid="{00000000-0005-0000-0000-0000DC7A0000}"/>
    <cellStyle name="Normal 420 2" xfId="31704" xr:uid="{00000000-0005-0000-0000-0000DD7A0000}"/>
    <cellStyle name="Normal 420 2 2" xfId="31705" xr:uid="{00000000-0005-0000-0000-0000DE7A0000}"/>
    <cellStyle name="Normal 420 2 2 2" xfId="31706" xr:uid="{00000000-0005-0000-0000-0000DF7A0000}"/>
    <cellStyle name="Normal 420 2 3" xfId="31707" xr:uid="{00000000-0005-0000-0000-0000E07A0000}"/>
    <cellStyle name="Normal 420 2 3 2" xfId="31708" xr:uid="{00000000-0005-0000-0000-0000E17A0000}"/>
    <cellStyle name="Normal 420 2 3 2 2" xfId="31709" xr:uid="{00000000-0005-0000-0000-0000E27A0000}"/>
    <cellStyle name="Normal 420 2 3 3" xfId="31710" xr:uid="{00000000-0005-0000-0000-0000E37A0000}"/>
    <cellStyle name="Normal 420 2 4" xfId="31711" xr:uid="{00000000-0005-0000-0000-0000E47A0000}"/>
    <cellStyle name="Normal 420 2 4 2" xfId="31712" xr:uid="{00000000-0005-0000-0000-0000E57A0000}"/>
    <cellStyle name="Normal 420 2 4 2 2" xfId="31713" xr:uid="{00000000-0005-0000-0000-0000E67A0000}"/>
    <cellStyle name="Normal 420 2 4 3" xfId="31714" xr:uid="{00000000-0005-0000-0000-0000E77A0000}"/>
    <cellStyle name="Normal 420 2 5" xfId="31715" xr:uid="{00000000-0005-0000-0000-0000E87A0000}"/>
    <cellStyle name="Normal 420 3" xfId="31716" xr:uid="{00000000-0005-0000-0000-0000E97A0000}"/>
    <cellStyle name="Normal 420 3 2" xfId="31717" xr:uid="{00000000-0005-0000-0000-0000EA7A0000}"/>
    <cellStyle name="Normal 420 3 2 2" xfId="31718" xr:uid="{00000000-0005-0000-0000-0000EB7A0000}"/>
    <cellStyle name="Normal 420 3 2 2 2" xfId="31719" xr:uid="{00000000-0005-0000-0000-0000EC7A0000}"/>
    <cellStyle name="Normal 420 3 2 3" xfId="31720" xr:uid="{00000000-0005-0000-0000-0000ED7A0000}"/>
    <cellStyle name="Normal 420 3 2 3 2" xfId="31721" xr:uid="{00000000-0005-0000-0000-0000EE7A0000}"/>
    <cellStyle name="Normal 420 3 2 3 2 2" xfId="31722" xr:uid="{00000000-0005-0000-0000-0000EF7A0000}"/>
    <cellStyle name="Normal 420 3 2 3 3" xfId="31723" xr:uid="{00000000-0005-0000-0000-0000F07A0000}"/>
    <cellStyle name="Normal 420 3 2 4" xfId="31724" xr:uid="{00000000-0005-0000-0000-0000F17A0000}"/>
    <cellStyle name="Normal 420 3 3" xfId="31725" xr:uid="{00000000-0005-0000-0000-0000F27A0000}"/>
    <cellStyle name="Normal 420 3 3 2" xfId="31726" xr:uid="{00000000-0005-0000-0000-0000F37A0000}"/>
    <cellStyle name="Normal 420 3 3 2 2" xfId="31727" xr:uid="{00000000-0005-0000-0000-0000F47A0000}"/>
    <cellStyle name="Normal 420 3 3 3" xfId="31728" xr:uid="{00000000-0005-0000-0000-0000F57A0000}"/>
    <cellStyle name="Normal 420 3 4" xfId="31729" xr:uid="{00000000-0005-0000-0000-0000F67A0000}"/>
    <cellStyle name="Normal 420 3 4 2" xfId="31730" xr:uid="{00000000-0005-0000-0000-0000F77A0000}"/>
    <cellStyle name="Normal 420 3 4 2 2" xfId="31731" xr:uid="{00000000-0005-0000-0000-0000F87A0000}"/>
    <cellStyle name="Normal 420 3 4 3" xfId="31732" xr:uid="{00000000-0005-0000-0000-0000F97A0000}"/>
    <cellStyle name="Normal 420 3 5" xfId="31733" xr:uid="{00000000-0005-0000-0000-0000FA7A0000}"/>
    <cellStyle name="Normal 420 3 5 2" xfId="31734" xr:uid="{00000000-0005-0000-0000-0000FB7A0000}"/>
    <cellStyle name="Normal 420 3 5 2 2" xfId="31735" xr:uid="{00000000-0005-0000-0000-0000FC7A0000}"/>
    <cellStyle name="Normal 420 3 5 3" xfId="31736" xr:uid="{00000000-0005-0000-0000-0000FD7A0000}"/>
    <cellStyle name="Normal 420 3 6" xfId="31737" xr:uid="{00000000-0005-0000-0000-0000FE7A0000}"/>
    <cellStyle name="Normal 420 4" xfId="31738" xr:uid="{00000000-0005-0000-0000-0000FF7A0000}"/>
    <cellStyle name="Normal 420 4 2" xfId="31739" xr:uid="{00000000-0005-0000-0000-0000007B0000}"/>
    <cellStyle name="Normal 420 4 2 2" xfId="31740" xr:uid="{00000000-0005-0000-0000-0000017B0000}"/>
    <cellStyle name="Normal 420 4 3" xfId="31741" xr:uid="{00000000-0005-0000-0000-0000027B0000}"/>
    <cellStyle name="Normal 420 5" xfId="31742" xr:uid="{00000000-0005-0000-0000-0000037B0000}"/>
    <cellStyle name="Normal 420 5 2" xfId="31743" xr:uid="{00000000-0005-0000-0000-0000047B0000}"/>
    <cellStyle name="Normal 420 5 2 2" xfId="31744" xr:uid="{00000000-0005-0000-0000-0000057B0000}"/>
    <cellStyle name="Normal 420 5 3" xfId="31745" xr:uid="{00000000-0005-0000-0000-0000067B0000}"/>
    <cellStyle name="Normal 420 6" xfId="31746" xr:uid="{00000000-0005-0000-0000-0000077B0000}"/>
    <cellStyle name="Normal 420 6 2" xfId="31747" xr:uid="{00000000-0005-0000-0000-0000087B0000}"/>
    <cellStyle name="Normal 420 6 2 2" xfId="31748" xr:uid="{00000000-0005-0000-0000-0000097B0000}"/>
    <cellStyle name="Normal 420 6 3" xfId="31749" xr:uid="{00000000-0005-0000-0000-00000A7B0000}"/>
    <cellStyle name="Normal 420 7" xfId="31750" xr:uid="{00000000-0005-0000-0000-00000B7B0000}"/>
    <cellStyle name="Normal 421" xfId="31751" xr:uid="{00000000-0005-0000-0000-00000C7B0000}"/>
    <cellStyle name="Normal 421 2" xfId="31752" xr:uid="{00000000-0005-0000-0000-00000D7B0000}"/>
    <cellStyle name="Normal 421 2 2" xfId="31753" xr:uid="{00000000-0005-0000-0000-00000E7B0000}"/>
    <cellStyle name="Normal 421 2 2 2" xfId="31754" xr:uid="{00000000-0005-0000-0000-00000F7B0000}"/>
    <cellStyle name="Normal 421 2 2 2 2" xfId="31755" xr:uid="{00000000-0005-0000-0000-0000107B0000}"/>
    <cellStyle name="Normal 421 2 2 3" xfId="31756" xr:uid="{00000000-0005-0000-0000-0000117B0000}"/>
    <cellStyle name="Normal 421 2 2 3 2" xfId="31757" xr:uid="{00000000-0005-0000-0000-0000127B0000}"/>
    <cellStyle name="Normal 421 2 2 3 2 2" xfId="31758" xr:uid="{00000000-0005-0000-0000-0000137B0000}"/>
    <cellStyle name="Normal 421 2 2 3 3" xfId="31759" xr:uid="{00000000-0005-0000-0000-0000147B0000}"/>
    <cellStyle name="Normal 421 2 2 4" xfId="31760" xr:uid="{00000000-0005-0000-0000-0000157B0000}"/>
    <cellStyle name="Normal 421 2 2 4 2" xfId="31761" xr:uid="{00000000-0005-0000-0000-0000167B0000}"/>
    <cellStyle name="Normal 421 2 2 4 2 2" xfId="31762" xr:uid="{00000000-0005-0000-0000-0000177B0000}"/>
    <cellStyle name="Normal 421 2 2 4 3" xfId="31763" xr:uid="{00000000-0005-0000-0000-0000187B0000}"/>
    <cellStyle name="Normal 421 2 2 5" xfId="31764" xr:uid="{00000000-0005-0000-0000-0000197B0000}"/>
    <cellStyle name="Normal 421 2 3" xfId="31765" xr:uid="{00000000-0005-0000-0000-00001A7B0000}"/>
    <cellStyle name="Normal 421 2 3 2" xfId="31766" xr:uid="{00000000-0005-0000-0000-00001B7B0000}"/>
    <cellStyle name="Normal 421 2 3 2 2" xfId="31767" xr:uid="{00000000-0005-0000-0000-00001C7B0000}"/>
    <cellStyle name="Normal 421 2 3 2 2 2" xfId="31768" xr:uid="{00000000-0005-0000-0000-00001D7B0000}"/>
    <cellStyle name="Normal 421 2 3 2 3" xfId="31769" xr:uid="{00000000-0005-0000-0000-00001E7B0000}"/>
    <cellStyle name="Normal 421 2 3 2 3 2" xfId="31770" xr:uid="{00000000-0005-0000-0000-00001F7B0000}"/>
    <cellStyle name="Normal 421 2 3 2 3 2 2" xfId="31771" xr:uid="{00000000-0005-0000-0000-0000207B0000}"/>
    <cellStyle name="Normal 421 2 3 2 3 3" xfId="31772" xr:uid="{00000000-0005-0000-0000-0000217B0000}"/>
    <cellStyle name="Normal 421 2 3 2 4" xfId="31773" xr:uid="{00000000-0005-0000-0000-0000227B0000}"/>
    <cellStyle name="Normal 421 2 3 3" xfId="31774" xr:uid="{00000000-0005-0000-0000-0000237B0000}"/>
    <cellStyle name="Normal 421 2 3 3 2" xfId="31775" xr:uid="{00000000-0005-0000-0000-0000247B0000}"/>
    <cellStyle name="Normal 421 2 3 3 2 2" xfId="31776" xr:uid="{00000000-0005-0000-0000-0000257B0000}"/>
    <cellStyle name="Normal 421 2 3 3 3" xfId="31777" xr:uid="{00000000-0005-0000-0000-0000267B0000}"/>
    <cellStyle name="Normal 421 2 3 4" xfId="31778" xr:uid="{00000000-0005-0000-0000-0000277B0000}"/>
    <cellStyle name="Normal 421 2 3 4 2" xfId="31779" xr:uid="{00000000-0005-0000-0000-0000287B0000}"/>
    <cellStyle name="Normal 421 2 3 4 2 2" xfId="31780" xr:uid="{00000000-0005-0000-0000-0000297B0000}"/>
    <cellStyle name="Normal 421 2 3 4 3" xfId="31781" xr:uid="{00000000-0005-0000-0000-00002A7B0000}"/>
    <cellStyle name="Normal 421 2 3 5" xfId="31782" xr:uid="{00000000-0005-0000-0000-00002B7B0000}"/>
    <cellStyle name="Normal 421 2 3 5 2" xfId="31783" xr:uid="{00000000-0005-0000-0000-00002C7B0000}"/>
    <cellStyle name="Normal 421 2 3 5 2 2" xfId="31784" xr:uid="{00000000-0005-0000-0000-00002D7B0000}"/>
    <cellStyle name="Normal 421 2 3 5 3" xfId="31785" xr:uid="{00000000-0005-0000-0000-00002E7B0000}"/>
    <cellStyle name="Normal 421 2 3 6" xfId="31786" xr:uid="{00000000-0005-0000-0000-00002F7B0000}"/>
    <cellStyle name="Normal 421 2 4" xfId="31787" xr:uid="{00000000-0005-0000-0000-0000307B0000}"/>
    <cellStyle name="Normal 421 2 4 2" xfId="31788" xr:uid="{00000000-0005-0000-0000-0000317B0000}"/>
    <cellStyle name="Normal 421 2 4 2 2" xfId="31789" xr:uid="{00000000-0005-0000-0000-0000327B0000}"/>
    <cellStyle name="Normal 421 2 4 3" xfId="31790" xr:uid="{00000000-0005-0000-0000-0000337B0000}"/>
    <cellStyle name="Normal 421 2 5" xfId="31791" xr:uid="{00000000-0005-0000-0000-0000347B0000}"/>
    <cellStyle name="Normal 421 2 5 2" xfId="31792" xr:uid="{00000000-0005-0000-0000-0000357B0000}"/>
    <cellStyle name="Normal 421 2 5 2 2" xfId="31793" xr:uid="{00000000-0005-0000-0000-0000367B0000}"/>
    <cellStyle name="Normal 421 2 5 3" xfId="31794" xr:uid="{00000000-0005-0000-0000-0000377B0000}"/>
    <cellStyle name="Normal 421 2 6" xfId="31795" xr:uid="{00000000-0005-0000-0000-0000387B0000}"/>
    <cellStyle name="Normal 421 2 6 2" xfId="31796" xr:uid="{00000000-0005-0000-0000-0000397B0000}"/>
    <cellStyle name="Normal 421 2 6 2 2" xfId="31797" xr:uid="{00000000-0005-0000-0000-00003A7B0000}"/>
    <cellStyle name="Normal 421 2 6 3" xfId="31798" xr:uid="{00000000-0005-0000-0000-00003B7B0000}"/>
    <cellStyle name="Normal 421 2 7" xfId="31799" xr:uid="{00000000-0005-0000-0000-00003C7B0000}"/>
    <cellStyle name="Normal 421 3" xfId="31800" xr:uid="{00000000-0005-0000-0000-00003D7B0000}"/>
    <cellStyle name="Normal 421 3 2" xfId="31801" xr:uid="{00000000-0005-0000-0000-00003E7B0000}"/>
    <cellStyle name="Normal 421 3 2 2" xfId="31802" xr:uid="{00000000-0005-0000-0000-00003F7B0000}"/>
    <cellStyle name="Normal 421 3 3" xfId="31803" xr:uid="{00000000-0005-0000-0000-0000407B0000}"/>
    <cellStyle name="Normal 421 3 3 2" xfId="31804" xr:uid="{00000000-0005-0000-0000-0000417B0000}"/>
    <cellStyle name="Normal 421 3 3 2 2" xfId="31805" xr:uid="{00000000-0005-0000-0000-0000427B0000}"/>
    <cellStyle name="Normal 421 3 3 3" xfId="31806" xr:uid="{00000000-0005-0000-0000-0000437B0000}"/>
    <cellStyle name="Normal 421 3 4" xfId="31807" xr:uid="{00000000-0005-0000-0000-0000447B0000}"/>
    <cellStyle name="Normal 421 3 4 2" xfId="31808" xr:uid="{00000000-0005-0000-0000-0000457B0000}"/>
    <cellStyle name="Normal 421 3 4 2 2" xfId="31809" xr:uid="{00000000-0005-0000-0000-0000467B0000}"/>
    <cellStyle name="Normal 421 3 4 3" xfId="31810" xr:uid="{00000000-0005-0000-0000-0000477B0000}"/>
    <cellStyle name="Normal 421 3 5" xfId="31811" xr:uid="{00000000-0005-0000-0000-0000487B0000}"/>
    <cellStyle name="Normal 421 4" xfId="31812" xr:uid="{00000000-0005-0000-0000-0000497B0000}"/>
    <cellStyle name="Normal 421 4 2" xfId="31813" xr:uid="{00000000-0005-0000-0000-00004A7B0000}"/>
    <cellStyle name="Normal 421 4 2 2" xfId="31814" xr:uid="{00000000-0005-0000-0000-00004B7B0000}"/>
    <cellStyle name="Normal 421 4 2 2 2" xfId="31815" xr:uid="{00000000-0005-0000-0000-00004C7B0000}"/>
    <cellStyle name="Normal 421 4 2 3" xfId="31816" xr:uid="{00000000-0005-0000-0000-00004D7B0000}"/>
    <cellStyle name="Normal 421 4 2 3 2" xfId="31817" xr:uid="{00000000-0005-0000-0000-00004E7B0000}"/>
    <cellStyle name="Normal 421 4 2 3 2 2" xfId="31818" xr:uid="{00000000-0005-0000-0000-00004F7B0000}"/>
    <cellStyle name="Normal 421 4 2 3 3" xfId="31819" xr:uid="{00000000-0005-0000-0000-0000507B0000}"/>
    <cellStyle name="Normal 421 4 2 4" xfId="31820" xr:uid="{00000000-0005-0000-0000-0000517B0000}"/>
    <cellStyle name="Normal 421 4 3" xfId="31821" xr:uid="{00000000-0005-0000-0000-0000527B0000}"/>
    <cellStyle name="Normal 421 4 3 2" xfId="31822" xr:uid="{00000000-0005-0000-0000-0000537B0000}"/>
    <cellStyle name="Normal 421 4 3 2 2" xfId="31823" xr:uid="{00000000-0005-0000-0000-0000547B0000}"/>
    <cellStyle name="Normal 421 4 3 3" xfId="31824" xr:uid="{00000000-0005-0000-0000-0000557B0000}"/>
    <cellStyle name="Normal 421 4 4" xfId="31825" xr:uid="{00000000-0005-0000-0000-0000567B0000}"/>
    <cellStyle name="Normal 421 4 4 2" xfId="31826" xr:uid="{00000000-0005-0000-0000-0000577B0000}"/>
    <cellStyle name="Normal 421 4 4 2 2" xfId="31827" xr:uid="{00000000-0005-0000-0000-0000587B0000}"/>
    <cellStyle name="Normal 421 4 4 3" xfId="31828" xr:uid="{00000000-0005-0000-0000-0000597B0000}"/>
    <cellStyle name="Normal 421 4 5" xfId="31829" xr:uid="{00000000-0005-0000-0000-00005A7B0000}"/>
    <cellStyle name="Normal 421 4 5 2" xfId="31830" xr:uid="{00000000-0005-0000-0000-00005B7B0000}"/>
    <cellStyle name="Normal 421 4 5 2 2" xfId="31831" xr:uid="{00000000-0005-0000-0000-00005C7B0000}"/>
    <cellStyle name="Normal 421 4 5 3" xfId="31832" xr:uid="{00000000-0005-0000-0000-00005D7B0000}"/>
    <cellStyle name="Normal 421 4 6" xfId="31833" xr:uid="{00000000-0005-0000-0000-00005E7B0000}"/>
    <cellStyle name="Normal 421 5" xfId="31834" xr:uid="{00000000-0005-0000-0000-00005F7B0000}"/>
    <cellStyle name="Normal 421 5 2" xfId="31835" xr:uid="{00000000-0005-0000-0000-0000607B0000}"/>
    <cellStyle name="Normal 421 5 2 2" xfId="31836" xr:uid="{00000000-0005-0000-0000-0000617B0000}"/>
    <cellStyle name="Normal 421 5 3" xfId="31837" xr:uid="{00000000-0005-0000-0000-0000627B0000}"/>
    <cellStyle name="Normal 421 6" xfId="31838" xr:uid="{00000000-0005-0000-0000-0000637B0000}"/>
    <cellStyle name="Normal 421 6 2" xfId="31839" xr:uid="{00000000-0005-0000-0000-0000647B0000}"/>
    <cellStyle name="Normal 421 6 2 2" xfId="31840" xr:uid="{00000000-0005-0000-0000-0000657B0000}"/>
    <cellStyle name="Normal 421 6 3" xfId="31841" xr:uid="{00000000-0005-0000-0000-0000667B0000}"/>
    <cellStyle name="Normal 421 7" xfId="31842" xr:uid="{00000000-0005-0000-0000-0000677B0000}"/>
    <cellStyle name="Normal 421 7 2" xfId="31843" xr:uid="{00000000-0005-0000-0000-0000687B0000}"/>
    <cellStyle name="Normal 421 7 2 2" xfId="31844" xr:uid="{00000000-0005-0000-0000-0000697B0000}"/>
    <cellStyle name="Normal 421 7 3" xfId="31845" xr:uid="{00000000-0005-0000-0000-00006A7B0000}"/>
    <cellStyle name="Normal 421 8" xfId="31846" xr:uid="{00000000-0005-0000-0000-00006B7B0000}"/>
    <cellStyle name="Normal 421 8 2" xfId="31847" xr:uid="{00000000-0005-0000-0000-00006C7B0000}"/>
    <cellStyle name="Normal 421 8 2 2" xfId="31848" xr:uid="{00000000-0005-0000-0000-00006D7B0000}"/>
    <cellStyle name="Normal 421 8 3" xfId="31849" xr:uid="{00000000-0005-0000-0000-00006E7B0000}"/>
    <cellStyle name="Normal 421 8 3 2" xfId="31850" xr:uid="{00000000-0005-0000-0000-00006F7B0000}"/>
    <cellStyle name="Normal 421 8 4" xfId="31851" xr:uid="{00000000-0005-0000-0000-0000707B0000}"/>
    <cellStyle name="Normal 421 9" xfId="31852" xr:uid="{00000000-0005-0000-0000-0000717B0000}"/>
    <cellStyle name="Normal 422" xfId="31853" xr:uid="{00000000-0005-0000-0000-0000727B0000}"/>
    <cellStyle name="Normal 422 2" xfId="31854" xr:uid="{00000000-0005-0000-0000-0000737B0000}"/>
    <cellStyle name="Normal 422 2 2" xfId="31855" xr:uid="{00000000-0005-0000-0000-0000747B0000}"/>
    <cellStyle name="Normal 422 2 2 2" xfId="31856" xr:uid="{00000000-0005-0000-0000-0000757B0000}"/>
    <cellStyle name="Normal 422 2 2 2 2" xfId="31857" xr:uid="{00000000-0005-0000-0000-0000767B0000}"/>
    <cellStyle name="Normal 422 2 2 3" xfId="31858" xr:uid="{00000000-0005-0000-0000-0000777B0000}"/>
    <cellStyle name="Normal 422 2 2 3 2" xfId="31859" xr:uid="{00000000-0005-0000-0000-0000787B0000}"/>
    <cellStyle name="Normal 422 2 2 3 2 2" xfId="31860" xr:uid="{00000000-0005-0000-0000-0000797B0000}"/>
    <cellStyle name="Normal 422 2 2 3 3" xfId="31861" xr:uid="{00000000-0005-0000-0000-00007A7B0000}"/>
    <cellStyle name="Normal 422 2 2 4" xfId="31862" xr:uid="{00000000-0005-0000-0000-00007B7B0000}"/>
    <cellStyle name="Normal 422 2 2 4 2" xfId="31863" xr:uid="{00000000-0005-0000-0000-00007C7B0000}"/>
    <cellStyle name="Normal 422 2 2 4 2 2" xfId="31864" xr:uid="{00000000-0005-0000-0000-00007D7B0000}"/>
    <cellStyle name="Normal 422 2 2 4 3" xfId="31865" xr:uid="{00000000-0005-0000-0000-00007E7B0000}"/>
    <cellStyle name="Normal 422 2 2 5" xfId="31866" xr:uid="{00000000-0005-0000-0000-00007F7B0000}"/>
    <cellStyle name="Normal 422 2 3" xfId="31867" xr:uid="{00000000-0005-0000-0000-0000807B0000}"/>
    <cellStyle name="Normal 422 2 3 2" xfId="31868" xr:uid="{00000000-0005-0000-0000-0000817B0000}"/>
    <cellStyle name="Normal 422 2 3 2 2" xfId="31869" xr:uid="{00000000-0005-0000-0000-0000827B0000}"/>
    <cellStyle name="Normal 422 2 3 2 2 2" xfId="31870" xr:uid="{00000000-0005-0000-0000-0000837B0000}"/>
    <cellStyle name="Normal 422 2 3 2 3" xfId="31871" xr:uid="{00000000-0005-0000-0000-0000847B0000}"/>
    <cellStyle name="Normal 422 2 3 2 3 2" xfId="31872" xr:uid="{00000000-0005-0000-0000-0000857B0000}"/>
    <cellStyle name="Normal 422 2 3 2 3 2 2" xfId="31873" xr:uid="{00000000-0005-0000-0000-0000867B0000}"/>
    <cellStyle name="Normal 422 2 3 2 3 3" xfId="31874" xr:uid="{00000000-0005-0000-0000-0000877B0000}"/>
    <cellStyle name="Normal 422 2 3 2 4" xfId="31875" xr:uid="{00000000-0005-0000-0000-0000887B0000}"/>
    <cellStyle name="Normal 422 2 3 3" xfId="31876" xr:uid="{00000000-0005-0000-0000-0000897B0000}"/>
    <cellStyle name="Normal 422 2 3 3 2" xfId="31877" xr:uid="{00000000-0005-0000-0000-00008A7B0000}"/>
    <cellStyle name="Normal 422 2 3 3 2 2" xfId="31878" xr:uid="{00000000-0005-0000-0000-00008B7B0000}"/>
    <cellStyle name="Normal 422 2 3 3 3" xfId="31879" xr:uid="{00000000-0005-0000-0000-00008C7B0000}"/>
    <cellStyle name="Normal 422 2 3 4" xfId="31880" xr:uid="{00000000-0005-0000-0000-00008D7B0000}"/>
    <cellStyle name="Normal 422 2 3 4 2" xfId="31881" xr:uid="{00000000-0005-0000-0000-00008E7B0000}"/>
    <cellStyle name="Normal 422 2 3 4 2 2" xfId="31882" xr:uid="{00000000-0005-0000-0000-00008F7B0000}"/>
    <cellStyle name="Normal 422 2 3 4 3" xfId="31883" xr:uid="{00000000-0005-0000-0000-0000907B0000}"/>
    <cellStyle name="Normal 422 2 3 5" xfId="31884" xr:uid="{00000000-0005-0000-0000-0000917B0000}"/>
    <cellStyle name="Normal 422 2 3 5 2" xfId="31885" xr:uid="{00000000-0005-0000-0000-0000927B0000}"/>
    <cellStyle name="Normal 422 2 3 5 2 2" xfId="31886" xr:uid="{00000000-0005-0000-0000-0000937B0000}"/>
    <cellStyle name="Normal 422 2 3 5 3" xfId="31887" xr:uid="{00000000-0005-0000-0000-0000947B0000}"/>
    <cellStyle name="Normal 422 2 3 6" xfId="31888" xr:uid="{00000000-0005-0000-0000-0000957B0000}"/>
    <cellStyle name="Normal 422 2 4" xfId="31889" xr:uid="{00000000-0005-0000-0000-0000967B0000}"/>
    <cellStyle name="Normal 422 2 4 2" xfId="31890" xr:uid="{00000000-0005-0000-0000-0000977B0000}"/>
    <cellStyle name="Normal 422 2 4 2 2" xfId="31891" xr:uid="{00000000-0005-0000-0000-0000987B0000}"/>
    <cellStyle name="Normal 422 2 4 3" xfId="31892" xr:uid="{00000000-0005-0000-0000-0000997B0000}"/>
    <cellStyle name="Normal 422 2 5" xfId="31893" xr:uid="{00000000-0005-0000-0000-00009A7B0000}"/>
    <cellStyle name="Normal 422 2 5 2" xfId="31894" xr:uid="{00000000-0005-0000-0000-00009B7B0000}"/>
    <cellStyle name="Normal 422 2 5 2 2" xfId="31895" xr:uid="{00000000-0005-0000-0000-00009C7B0000}"/>
    <cellStyle name="Normal 422 2 5 3" xfId="31896" xr:uid="{00000000-0005-0000-0000-00009D7B0000}"/>
    <cellStyle name="Normal 422 2 6" xfId="31897" xr:uid="{00000000-0005-0000-0000-00009E7B0000}"/>
    <cellStyle name="Normal 422 2 6 2" xfId="31898" xr:uid="{00000000-0005-0000-0000-00009F7B0000}"/>
    <cellStyle name="Normal 422 2 6 2 2" xfId="31899" xr:uid="{00000000-0005-0000-0000-0000A07B0000}"/>
    <cellStyle name="Normal 422 2 6 3" xfId="31900" xr:uid="{00000000-0005-0000-0000-0000A17B0000}"/>
    <cellStyle name="Normal 422 2 7" xfId="31901" xr:uid="{00000000-0005-0000-0000-0000A27B0000}"/>
    <cellStyle name="Normal 422 3" xfId="31902" xr:uid="{00000000-0005-0000-0000-0000A37B0000}"/>
    <cellStyle name="Normal 422 3 2" xfId="31903" xr:uid="{00000000-0005-0000-0000-0000A47B0000}"/>
    <cellStyle name="Normal 422 3 2 2" xfId="31904" xr:uid="{00000000-0005-0000-0000-0000A57B0000}"/>
    <cellStyle name="Normal 422 3 3" xfId="31905" xr:uid="{00000000-0005-0000-0000-0000A67B0000}"/>
    <cellStyle name="Normal 422 3 3 2" xfId="31906" xr:uid="{00000000-0005-0000-0000-0000A77B0000}"/>
    <cellStyle name="Normal 422 3 3 2 2" xfId="31907" xr:uid="{00000000-0005-0000-0000-0000A87B0000}"/>
    <cellStyle name="Normal 422 3 3 3" xfId="31908" xr:uid="{00000000-0005-0000-0000-0000A97B0000}"/>
    <cellStyle name="Normal 422 3 4" xfId="31909" xr:uid="{00000000-0005-0000-0000-0000AA7B0000}"/>
    <cellStyle name="Normal 422 3 4 2" xfId="31910" xr:uid="{00000000-0005-0000-0000-0000AB7B0000}"/>
    <cellStyle name="Normal 422 3 4 2 2" xfId="31911" xr:uid="{00000000-0005-0000-0000-0000AC7B0000}"/>
    <cellStyle name="Normal 422 3 4 3" xfId="31912" xr:uid="{00000000-0005-0000-0000-0000AD7B0000}"/>
    <cellStyle name="Normal 422 3 5" xfId="31913" xr:uid="{00000000-0005-0000-0000-0000AE7B0000}"/>
    <cellStyle name="Normal 422 4" xfId="31914" xr:uid="{00000000-0005-0000-0000-0000AF7B0000}"/>
    <cellStyle name="Normal 422 4 2" xfId="31915" xr:uid="{00000000-0005-0000-0000-0000B07B0000}"/>
    <cellStyle name="Normal 422 4 2 2" xfId="31916" xr:uid="{00000000-0005-0000-0000-0000B17B0000}"/>
    <cellStyle name="Normal 422 4 2 2 2" xfId="31917" xr:uid="{00000000-0005-0000-0000-0000B27B0000}"/>
    <cellStyle name="Normal 422 4 2 3" xfId="31918" xr:uid="{00000000-0005-0000-0000-0000B37B0000}"/>
    <cellStyle name="Normal 422 4 2 3 2" xfId="31919" xr:uid="{00000000-0005-0000-0000-0000B47B0000}"/>
    <cellStyle name="Normal 422 4 2 3 2 2" xfId="31920" xr:uid="{00000000-0005-0000-0000-0000B57B0000}"/>
    <cellStyle name="Normal 422 4 2 3 3" xfId="31921" xr:uid="{00000000-0005-0000-0000-0000B67B0000}"/>
    <cellStyle name="Normal 422 4 2 4" xfId="31922" xr:uid="{00000000-0005-0000-0000-0000B77B0000}"/>
    <cellStyle name="Normal 422 4 3" xfId="31923" xr:uid="{00000000-0005-0000-0000-0000B87B0000}"/>
    <cellStyle name="Normal 422 4 3 2" xfId="31924" xr:uid="{00000000-0005-0000-0000-0000B97B0000}"/>
    <cellStyle name="Normal 422 4 3 2 2" xfId="31925" xr:uid="{00000000-0005-0000-0000-0000BA7B0000}"/>
    <cellStyle name="Normal 422 4 3 3" xfId="31926" xr:uid="{00000000-0005-0000-0000-0000BB7B0000}"/>
    <cellStyle name="Normal 422 4 4" xfId="31927" xr:uid="{00000000-0005-0000-0000-0000BC7B0000}"/>
    <cellStyle name="Normal 422 4 4 2" xfId="31928" xr:uid="{00000000-0005-0000-0000-0000BD7B0000}"/>
    <cellStyle name="Normal 422 4 4 2 2" xfId="31929" xr:uid="{00000000-0005-0000-0000-0000BE7B0000}"/>
    <cellStyle name="Normal 422 4 4 3" xfId="31930" xr:uid="{00000000-0005-0000-0000-0000BF7B0000}"/>
    <cellStyle name="Normal 422 4 5" xfId="31931" xr:uid="{00000000-0005-0000-0000-0000C07B0000}"/>
    <cellStyle name="Normal 422 4 5 2" xfId="31932" xr:uid="{00000000-0005-0000-0000-0000C17B0000}"/>
    <cellStyle name="Normal 422 4 5 2 2" xfId="31933" xr:uid="{00000000-0005-0000-0000-0000C27B0000}"/>
    <cellStyle name="Normal 422 4 5 3" xfId="31934" xr:uid="{00000000-0005-0000-0000-0000C37B0000}"/>
    <cellStyle name="Normal 422 4 6" xfId="31935" xr:uid="{00000000-0005-0000-0000-0000C47B0000}"/>
    <cellStyle name="Normal 422 5" xfId="31936" xr:uid="{00000000-0005-0000-0000-0000C57B0000}"/>
    <cellStyle name="Normal 422 5 2" xfId="31937" xr:uid="{00000000-0005-0000-0000-0000C67B0000}"/>
    <cellStyle name="Normal 422 5 2 2" xfId="31938" xr:uid="{00000000-0005-0000-0000-0000C77B0000}"/>
    <cellStyle name="Normal 422 5 3" xfId="31939" xr:uid="{00000000-0005-0000-0000-0000C87B0000}"/>
    <cellStyle name="Normal 422 6" xfId="31940" xr:uid="{00000000-0005-0000-0000-0000C97B0000}"/>
    <cellStyle name="Normal 422 6 2" xfId="31941" xr:uid="{00000000-0005-0000-0000-0000CA7B0000}"/>
    <cellStyle name="Normal 422 6 2 2" xfId="31942" xr:uid="{00000000-0005-0000-0000-0000CB7B0000}"/>
    <cellStyle name="Normal 422 6 3" xfId="31943" xr:uid="{00000000-0005-0000-0000-0000CC7B0000}"/>
    <cellStyle name="Normal 422 7" xfId="31944" xr:uid="{00000000-0005-0000-0000-0000CD7B0000}"/>
    <cellStyle name="Normal 422 7 2" xfId="31945" xr:uid="{00000000-0005-0000-0000-0000CE7B0000}"/>
    <cellStyle name="Normal 422 7 2 2" xfId="31946" xr:uid="{00000000-0005-0000-0000-0000CF7B0000}"/>
    <cellStyle name="Normal 422 7 3" xfId="31947" xr:uid="{00000000-0005-0000-0000-0000D07B0000}"/>
    <cellStyle name="Normal 422 8" xfId="31948" xr:uid="{00000000-0005-0000-0000-0000D17B0000}"/>
    <cellStyle name="Normal 422 8 2" xfId="31949" xr:uid="{00000000-0005-0000-0000-0000D27B0000}"/>
    <cellStyle name="Normal 422 8 2 2" xfId="31950" xr:uid="{00000000-0005-0000-0000-0000D37B0000}"/>
    <cellStyle name="Normal 422 8 3" xfId="31951" xr:uid="{00000000-0005-0000-0000-0000D47B0000}"/>
    <cellStyle name="Normal 422 8 3 2" xfId="31952" xr:uid="{00000000-0005-0000-0000-0000D57B0000}"/>
    <cellStyle name="Normal 422 8 4" xfId="31953" xr:uid="{00000000-0005-0000-0000-0000D67B0000}"/>
    <cellStyle name="Normal 422 9" xfId="31954" xr:uid="{00000000-0005-0000-0000-0000D77B0000}"/>
    <cellStyle name="Normal 423" xfId="31955" xr:uid="{00000000-0005-0000-0000-0000D87B0000}"/>
    <cellStyle name="Normal 423 2" xfId="31956" xr:uid="{00000000-0005-0000-0000-0000D97B0000}"/>
    <cellStyle name="Normal 423 2 2" xfId="31957" xr:uid="{00000000-0005-0000-0000-0000DA7B0000}"/>
    <cellStyle name="Normal 423 2 2 2" xfId="31958" xr:uid="{00000000-0005-0000-0000-0000DB7B0000}"/>
    <cellStyle name="Normal 423 2 2 2 2" xfId="31959" xr:uid="{00000000-0005-0000-0000-0000DC7B0000}"/>
    <cellStyle name="Normal 423 2 2 3" xfId="31960" xr:uid="{00000000-0005-0000-0000-0000DD7B0000}"/>
    <cellStyle name="Normal 423 2 2 3 2" xfId="31961" xr:uid="{00000000-0005-0000-0000-0000DE7B0000}"/>
    <cellStyle name="Normal 423 2 2 3 2 2" xfId="31962" xr:uid="{00000000-0005-0000-0000-0000DF7B0000}"/>
    <cellStyle name="Normal 423 2 2 3 3" xfId="31963" xr:uid="{00000000-0005-0000-0000-0000E07B0000}"/>
    <cellStyle name="Normal 423 2 2 4" xfId="31964" xr:uid="{00000000-0005-0000-0000-0000E17B0000}"/>
    <cellStyle name="Normal 423 2 2 4 2" xfId="31965" xr:uid="{00000000-0005-0000-0000-0000E27B0000}"/>
    <cellStyle name="Normal 423 2 2 4 2 2" xfId="31966" xr:uid="{00000000-0005-0000-0000-0000E37B0000}"/>
    <cellStyle name="Normal 423 2 2 4 3" xfId="31967" xr:uid="{00000000-0005-0000-0000-0000E47B0000}"/>
    <cellStyle name="Normal 423 2 2 5" xfId="31968" xr:uid="{00000000-0005-0000-0000-0000E57B0000}"/>
    <cellStyle name="Normal 423 2 3" xfId="31969" xr:uid="{00000000-0005-0000-0000-0000E67B0000}"/>
    <cellStyle name="Normal 423 2 3 2" xfId="31970" xr:uid="{00000000-0005-0000-0000-0000E77B0000}"/>
    <cellStyle name="Normal 423 2 3 2 2" xfId="31971" xr:uid="{00000000-0005-0000-0000-0000E87B0000}"/>
    <cellStyle name="Normal 423 2 3 2 2 2" xfId="31972" xr:uid="{00000000-0005-0000-0000-0000E97B0000}"/>
    <cellStyle name="Normal 423 2 3 2 3" xfId="31973" xr:uid="{00000000-0005-0000-0000-0000EA7B0000}"/>
    <cellStyle name="Normal 423 2 3 2 3 2" xfId="31974" xr:uid="{00000000-0005-0000-0000-0000EB7B0000}"/>
    <cellStyle name="Normal 423 2 3 2 3 2 2" xfId="31975" xr:uid="{00000000-0005-0000-0000-0000EC7B0000}"/>
    <cellStyle name="Normal 423 2 3 2 3 3" xfId="31976" xr:uid="{00000000-0005-0000-0000-0000ED7B0000}"/>
    <cellStyle name="Normal 423 2 3 2 4" xfId="31977" xr:uid="{00000000-0005-0000-0000-0000EE7B0000}"/>
    <cellStyle name="Normal 423 2 3 3" xfId="31978" xr:uid="{00000000-0005-0000-0000-0000EF7B0000}"/>
    <cellStyle name="Normal 423 2 3 3 2" xfId="31979" xr:uid="{00000000-0005-0000-0000-0000F07B0000}"/>
    <cellStyle name="Normal 423 2 3 3 2 2" xfId="31980" xr:uid="{00000000-0005-0000-0000-0000F17B0000}"/>
    <cellStyle name="Normal 423 2 3 3 3" xfId="31981" xr:uid="{00000000-0005-0000-0000-0000F27B0000}"/>
    <cellStyle name="Normal 423 2 3 4" xfId="31982" xr:uid="{00000000-0005-0000-0000-0000F37B0000}"/>
    <cellStyle name="Normal 423 2 3 4 2" xfId="31983" xr:uid="{00000000-0005-0000-0000-0000F47B0000}"/>
    <cellStyle name="Normal 423 2 3 4 2 2" xfId="31984" xr:uid="{00000000-0005-0000-0000-0000F57B0000}"/>
    <cellStyle name="Normal 423 2 3 4 3" xfId="31985" xr:uid="{00000000-0005-0000-0000-0000F67B0000}"/>
    <cellStyle name="Normal 423 2 3 5" xfId="31986" xr:uid="{00000000-0005-0000-0000-0000F77B0000}"/>
    <cellStyle name="Normal 423 2 3 5 2" xfId="31987" xr:uid="{00000000-0005-0000-0000-0000F87B0000}"/>
    <cellStyle name="Normal 423 2 3 5 2 2" xfId="31988" xr:uid="{00000000-0005-0000-0000-0000F97B0000}"/>
    <cellStyle name="Normal 423 2 3 5 3" xfId="31989" xr:uid="{00000000-0005-0000-0000-0000FA7B0000}"/>
    <cellStyle name="Normal 423 2 3 6" xfId="31990" xr:uid="{00000000-0005-0000-0000-0000FB7B0000}"/>
    <cellStyle name="Normal 423 2 4" xfId="31991" xr:uid="{00000000-0005-0000-0000-0000FC7B0000}"/>
    <cellStyle name="Normal 423 2 4 2" xfId="31992" xr:uid="{00000000-0005-0000-0000-0000FD7B0000}"/>
    <cellStyle name="Normal 423 2 4 2 2" xfId="31993" xr:uid="{00000000-0005-0000-0000-0000FE7B0000}"/>
    <cellStyle name="Normal 423 2 4 3" xfId="31994" xr:uid="{00000000-0005-0000-0000-0000FF7B0000}"/>
    <cellStyle name="Normal 423 2 5" xfId="31995" xr:uid="{00000000-0005-0000-0000-0000007C0000}"/>
    <cellStyle name="Normal 423 2 5 2" xfId="31996" xr:uid="{00000000-0005-0000-0000-0000017C0000}"/>
    <cellStyle name="Normal 423 2 5 2 2" xfId="31997" xr:uid="{00000000-0005-0000-0000-0000027C0000}"/>
    <cellStyle name="Normal 423 2 5 3" xfId="31998" xr:uid="{00000000-0005-0000-0000-0000037C0000}"/>
    <cellStyle name="Normal 423 2 6" xfId="31999" xr:uid="{00000000-0005-0000-0000-0000047C0000}"/>
    <cellStyle name="Normal 423 2 6 2" xfId="32000" xr:uid="{00000000-0005-0000-0000-0000057C0000}"/>
    <cellStyle name="Normal 423 2 6 2 2" xfId="32001" xr:uid="{00000000-0005-0000-0000-0000067C0000}"/>
    <cellStyle name="Normal 423 2 6 3" xfId="32002" xr:uid="{00000000-0005-0000-0000-0000077C0000}"/>
    <cellStyle name="Normal 423 2 7" xfId="32003" xr:uid="{00000000-0005-0000-0000-0000087C0000}"/>
    <cellStyle name="Normal 423 3" xfId="32004" xr:uid="{00000000-0005-0000-0000-0000097C0000}"/>
    <cellStyle name="Normal 423 3 2" xfId="32005" xr:uid="{00000000-0005-0000-0000-00000A7C0000}"/>
    <cellStyle name="Normal 423 3 2 2" xfId="32006" xr:uid="{00000000-0005-0000-0000-00000B7C0000}"/>
    <cellStyle name="Normal 423 3 3" xfId="32007" xr:uid="{00000000-0005-0000-0000-00000C7C0000}"/>
    <cellStyle name="Normal 423 3 3 2" xfId="32008" xr:uid="{00000000-0005-0000-0000-00000D7C0000}"/>
    <cellStyle name="Normal 423 3 3 2 2" xfId="32009" xr:uid="{00000000-0005-0000-0000-00000E7C0000}"/>
    <cellStyle name="Normal 423 3 3 3" xfId="32010" xr:uid="{00000000-0005-0000-0000-00000F7C0000}"/>
    <cellStyle name="Normal 423 3 4" xfId="32011" xr:uid="{00000000-0005-0000-0000-0000107C0000}"/>
    <cellStyle name="Normal 423 3 4 2" xfId="32012" xr:uid="{00000000-0005-0000-0000-0000117C0000}"/>
    <cellStyle name="Normal 423 3 4 2 2" xfId="32013" xr:uid="{00000000-0005-0000-0000-0000127C0000}"/>
    <cellStyle name="Normal 423 3 4 3" xfId="32014" xr:uid="{00000000-0005-0000-0000-0000137C0000}"/>
    <cellStyle name="Normal 423 3 5" xfId="32015" xr:uid="{00000000-0005-0000-0000-0000147C0000}"/>
    <cellStyle name="Normal 423 4" xfId="32016" xr:uid="{00000000-0005-0000-0000-0000157C0000}"/>
    <cellStyle name="Normal 423 4 2" xfId="32017" xr:uid="{00000000-0005-0000-0000-0000167C0000}"/>
    <cellStyle name="Normal 423 4 2 2" xfId="32018" xr:uid="{00000000-0005-0000-0000-0000177C0000}"/>
    <cellStyle name="Normal 423 4 2 2 2" xfId="32019" xr:uid="{00000000-0005-0000-0000-0000187C0000}"/>
    <cellStyle name="Normal 423 4 2 3" xfId="32020" xr:uid="{00000000-0005-0000-0000-0000197C0000}"/>
    <cellStyle name="Normal 423 4 2 3 2" xfId="32021" xr:uid="{00000000-0005-0000-0000-00001A7C0000}"/>
    <cellStyle name="Normal 423 4 2 3 2 2" xfId="32022" xr:uid="{00000000-0005-0000-0000-00001B7C0000}"/>
    <cellStyle name="Normal 423 4 2 3 3" xfId="32023" xr:uid="{00000000-0005-0000-0000-00001C7C0000}"/>
    <cellStyle name="Normal 423 4 2 4" xfId="32024" xr:uid="{00000000-0005-0000-0000-00001D7C0000}"/>
    <cellStyle name="Normal 423 4 3" xfId="32025" xr:uid="{00000000-0005-0000-0000-00001E7C0000}"/>
    <cellStyle name="Normal 423 4 3 2" xfId="32026" xr:uid="{00000000-0005-0000-0000-00001F7C0000}"/>
    <cellStyle name="Normal 423 4 3 2 2" xfId="32027" xr:uid="{00000000-0005-0000-0000-0000207C0000}"/>
    <cellStyle name="Normal 423 4 3 3" xfId="32028" xr:uid="{00000000-0005-0000-0000-0000217C0000}"/>
    <cellStyle name="Normal 423 4 4" xfId="32029" xr:uid="{00000000-0005-0000-0000-0000227C0000}"/>
    <cellStyle name="Normal 423 4 4 2" xfId="32030" xr:uid="{00000000-0005-0000-0000-0000237C0000}"/>
    <cellStyle name="Normal 423 4 4 2 2" xfId="32031" xr:uid="{00000000-0005-0000-0000-0000247C0000}"/>
    <cellStyle name="Normal 423 4 4 3" xfId="32032" xr:uid="{00000000-0005-0000-0000-0000257C0000}"/>
    <cellStyle name="Normal 423 4 5" xfId="32033" xr:uid="{00000000-0005-0000-0000-0000267C0000}"/>
    <cellStyle name="Normal 423 4 5 2" xfId="32034" xr:uid="{00000000-0005-0000-0000-0000277C0000}"/>
    <cellStyle name="Normal 423 4 5 2 2" xfId="32035" xr:uid="{00000000-0005-0000-0000-0000287C0000}"/>
    <cellStyle name="Normal 423 4 5 3" xfId="32036" xr:uid="{00000000-0005-0000-0000-0000297C0000}"/>
    <cellStyle name="Normal 423 4 6" xfId="32037" xr:uid="{00000000-0005-0000-0000-00002A7C0000}"/>
    <cellStyle name="Normal 423 5" xfId="32038" xr:uid="{00000000-0005-0000-0000-00002B7C0000}"/>
    <cellStyle name="Normal 423 5 2" xfId="32039" xr:uid="{00000000-0005-0000-0000-00002C7C0000}"/>
    <cellStyle name="Normal 423 5 2 2" xfId="32040" xr:uid="{00000000-0005-0000-0000-00002D7C0000}"/>
    <cellStyle name="Normal 423 5 3" xfId="32041" xr:uid="{00000000-0005-0000-0000-00002E7C0000}"/>
    <cellStyle name="Normal 423 6" xfId="32042" xr:uid="{00000000-0005-0000-0000-00002F7C0000}"/>
    <cellStyle name="Normal 423 6 2" xfId="32043" xr:uid="{00000000-0005-0000-0000-0000307C0000}"/>
    <cellStyle name="Normal 423 6 2 2" xfId="32044" xr:uid="{00000000-0005-0000-0000-0000317C0000}"/>
    <cellStyle name="Normal 423 6 3" xfId="32045" xr:uid="{00000000-0005-0000-0000-0000327C0000}"/>
    <cellStyle name="Normal 423 7" xfId="32046" xr:uid="{00000000-0005-0000-0000-0000337C0000}"/>
    <cellStyle name="Normal 423 7 2" xfId="32047" xr:uid="{00000000-0005-0000-0000-0000347C0000}"/>
    <cellStyle name="Normal 423 7 2 2" xfId="32048" xr:uid="{00000000-0005-0000-0000-0000357C0000}"/>
    <cellStyle name="Normal 423 7 3" xfId="32049" xr:uid="{00000000-0005-0000-0000-0000367C0000}"/>
    <cellStyle name="Normal 423 8" xfId="32050" xr:uid="{00000000-0005-0000-0000-0000377C0000}"/>
    <cellStyle name="Normal 423 8 2" xfId="32051" xr:uid="{00000000-0005-0000-0000-0000387C0000}"/>
    <cellStyle name="Normal 423 8 2 2" xfId="32052" xr:uid="{00000000-0005-0000-0000-0000397C0000}"/>
    <cellStyle name="Normal 423 8 3" xfId="32053" xr:uid="{00000000-0005-0000-0000-00003A7C0000}"/>
    <cellStyle name="Normal 423 8 3 2" xfId="32054" xr:uid="{00000000-0005-0000-0000-00003B7C0000}"/>
    <cellStyle name="Normal 423 8 4" xfId="32055" xr:uid="{00000000-0005-0000-0000-00003C7C0000}"/>
    <cellStyle name="Normal 423 9" xfId="32056" xr:uid="{00000000-0005-0000-0000-00003D7C0000}"/>
    <cellStyle name="Normal 424" xfId="32057" xr:uid="{00000000-0005-0000-0000-00003E7C0000}"/>
    <cellStyle name="Normal 424 2" xfId="32058" xr:uid="{00000000-0005-0000-0000-00003F7C0000}"/>
    <cellStyle name="Normal 424 2 2" xfId="32059" xr:uid="{00000000-0005-0000-0000-0000407C0000}"/>
    <cellStyle name="Normal 424 2 2 2" xfId="32060" xr:uid="{00000000-0005-0000-0000-0000417C0000}"/>
    <cellStyle name="Normal 424 2 2 2 2" xfId="32061" xr:uid="{00000000-0005-0000-0000-0000427C0000}"/>
    <cellStyle name="Normal 424 2 2 3" xfId="32062" xr:uid="{00000000-0005-0000-0000-0000437C0000}"/>
    <cellStyle name="Normal 424 2 2 3 2" xfId="32063" xr:uid="{00000000-0005-0000-0000-0000447C0000}"/>
    <cellStyle name="Normal 424 2 2 3 2 2" xfId="32064" xr:uid="{00000000-0005-0000-0000-0000457C0000}"/>
    <cellStyle name="Normal 424 2 2 3 3" xfId="32065" xr:uid="{00000000-0005-0000-0000-0000467C0000}"/>
    <cellStyle name="Normal 424 2 2 4" xfId="32066" xr:uid="{00000000-0005-0000-0000-0000477C0000}"/>
    <cellStyle name="Normal 424 2 2 4 2" xfId="32067" xr:uid="{00000000-0005-0000-0000-0000487C0000}"/>
    <cellStyle name="Normal 424 2 2 4 2 2" xfId="32068" xr:uid="{00000000-0005-0000-0000-0000497C0000}"/>
    <cellStyle name="Normal 424 2 2 4 3" xfId="32069" xr:uid="{00000000-0005-0000-0000-00004A7C0000}"/>
    <cellStyle name="Normal 424 2 2 5" xfId="32070" xr:uid="{00000000-0005-0000-0000-00004B7C0000}"/>
    <cellStyle name="Normal 424 2 3" xfId="32071" xr:uid="{00000000-0005-0000-0000-00004C7C0000}"/>
    <cellStyle name="Normal 424 2 3 2" xfId="32072" xr:uid="{00000000-0005-0000-0000-00004D7C0000}"/>
    <cellStyle name="Normal 424 2 3 2 2" xfId="32073" xr:uid="{00000000-0005-0000-0000-00004E7C0000}"/>
    <cellStyle name="Normal 424 2 3 2 2 2" xfId="32074" xr:uid="{00000000-0005-0000-0000-00004F7C0000}"/>
    <cellStyle name="Normal 424 2 3 2 3" xfId="32075" xr:uid="{00000000-0005-0000-0000-0000507C0000}"/>
    <cellStyle name="Normal 424 2 3 2 3 2" xfId="32076" xr:uid="{00000000-0005-0000-0000-0000517C0000}"/>
    <cellStyle name="Normal 424 2 3 2 3 2 2" xfId="32077" xr:uid="{00000000-0005-0000-0000-0000527C0000}"/>
    <cellStyle name="Normal 424 2 3 2 3 3" xfId="32078" xr:uid="{00000000-0005-0000-0000-0000537C0000}"/>
    <cellStyle name="Normal 424 2 3 2 4" xfId="32079" xr:uid="{00000000-0005-0000-0000-0000547C0000}"/>
    <cellStyle name="Normal 424 2 3 3" xfId="32080" xr:uid="{00000000-0005-0000-0000-0000557C0000}"/>
    <cellStyle name="Normal 424 2 3 3 2" xfId="32081" xr:uid="{00000000-0005-0000-0000-0000567C0000}"/>
    <cellStyle name="Normal 424 2 3 3 2 2" xfId="32082" xr:uid="{00000000-0005-0000-0000-0000577C0000}"/>
    <cellStyle name="Normal 424 2 3 3 3" xfId="32083" xr:uid="{00000000-0005-0000-0000-0000587C0000}"/>
    <cellStyle name="Normal 424 2 3 4" xfId="32084" xr:uid="{00000000-0005-0000-0000-0000597C0000}"/>
    <cellStyle name="Normal 424 2 3 4 2" xfId="32085" xr:uid="{00000000-0005-0000-0000-00005A7C0000}"/>
    <cellStyle name="Normal 424 2 3 4 2 2" xfId="32086" xr:uid="{00000000-0005-0000-0000-00005B7C0000}"/>
    <cellStyle name="Normal 424 2 3 4 3" xfId="32087" xr:uid="{00000000-0005-0000-0000-00005C7C0000}"/>
    <cellStyle name="Normal 424 2 3 5" xfId="32088" xr:uid="{00000000-0005-0000-0000-00005D7C0000}"/>
    <cellStyle name="Normal 424 2 3 5 2" xfId="32089" xr:uid="{00000000-0005-0000-0000-00005E7C0000}"/>
    <cellStyle name="Normal 424 2 3 5 2 2" xfId="32090" xr:uid="{00000000-0005-0000-0000-00005F7C0000}"/>
    <cellStyle name="Normal 424 2 3 5 3" xfId="32091" xr:uid="{00000000-0005-0000-0000-0000607C0000}"/>
    <cellStyle name="Normal 424 2 3 6" xfId="32092" xr:uid="{00000000-0005-0000-0000-0000617C0000}"/>
    <cellStyle name="Normal 424 2 4" xfId="32093" xr:uid="{00000000-0005-0000-0000-0000627C0000}"/>
    <cellStyle name="Normal 424 2 4 2" xfId="32094" xr:uid="{00000000-0005-0000-0000-0000637C0000}"/>
    <cellStyle name="Normal 424 2 4 2 2" xfId="32095" xr:uid="{00000000-0005-0000-0000-0000647C0000}"/>
    <cellStyle name="Normal 424 2 4 3" xfId="32096" xr:uid="{00000000-0005-0000-0000-0000657C0000}"/>
    <cellStyle name="Normal 424 2 5" xfId="32097" xr:uid="{00000000-0005-0000-0000-0000667C0000}"/>
    <cellStyle name="Normal 424 2 5 2" xfId="32098" xr:uid="{00000000-0005-0000-0000-0000677C0000}"/>
    <cellStyle name="Normal 424 2 5 2 2" xfId="32099" xr:uid="{00000000-0005-0000-0000-0000687C0000}"/>
    <cellStyle name="Normal 424 2 5 3" xfId="32100" xr:uid="{00000000-0005-0000-0000-0000697C0000}"/>
    <cellStyle name="Normal 424 2 6" xfId="32101" xr:uid="{00000000-0005-0000-0000-00006A7C0000}"/>
    <cellStyle name="Normal 424 2 6 2" xfId="32102" xr:uid="{00000000-0005-0000-0000-00006B7C0000}"/>
    <cellStyle name="Normal 424 2 6 2 2" xfId="32103" xr:uid="{00000000-0005-0000-0000-00006C7C0000}"/>
    <cellStyle name="Normal 424 2 6 3" xfId="32104" xr:uid="{00000000-0005-0000-0000-00006D7C0000}"/>
    <cellStyle name="Normal 424 2 7" xfId="32105" xr:uid="{00000000-0005-0000-0000-00006E7C0000}"/>
    <cellStyle name="Normal 424 3" xfId="32106" xr:uid="{00000000-0005-0000-0000-00006F7C0000}"/>
    <cellStyle name="Normal 424 3 2" xfId="32107" xr:uid="{00000000-0005-0000-0000-0000707C0000}"/>
    <cellStyle name="Normal 424 3 2 2" xfId="32108" xr:uid="{00000000-0005-0000-0000-0000717C0000}"/>
    <cellStyle name="Normal 424 3 3" xfId="32109" xr:uid="{00000000-0005-0000-0000-0000727C0000}"/>
    <cellStyle name="Normal 424 3 3 2" xfId="32110" xr:uid="{00000000-0005-0000-0000-0000737C0000}"/>
    <cellStyle name="Normal 424 3 3 2 2" xfId="32111" xr:uid="{00000000-0005-0000-0000-0000747C0000}"/>
    <cellStyle name="Normal 424 3 3 3" xfId="32112" xr:uid="{00000000-0005-0000-0000-0000757C0000}"/>
    <cellStyle name="Normal 424 3 4" xfId="32113" xr:uid="{00000000-0005-0000-0000-0000767C0000}"/>
    <cellStyle name="Normal 424 3 4 2" xfId="32114" xr:uid="{00000000-0005-0000-0000-0000777C0000}"/>
    <cellStyle name="Normal 424 3 4 2 2" xfId="32115" xr:uid="{00000000-0005-0000-0000-0000787C0000}"/>
    <cellStyle name="Normal 424 3 4 3" xfId="32116" xr:uid="{00000000-0005-0000-0000-0000797C0000}"/>
    <cellStyle name="Normal 424 3 5" xfId="32117" xr:uid="{00000000-0005-0000-0000-00007A7C0000}"/>
    <cellStyle name="Normal 424 4" xfId="32118" xr:uid="{00000000-0005-0000-0000-00007B7C0000}"/>
    <cellStyle name="Normal 424 4 2" xfId="32119" xr:uid="{00000000-0005-0000-0000-00007C7C0000}"/>
    <cellStyle name="Normal 424 4 2 2" xfId="32120" xr:uid="{00000000-0005-0000-0000-00007D7C0000}"/>
    <cellStyle name="Normal 424 4 2 2 2" xfId="32121" xr:uid="{00000000-0005-0000-0000-00007E7C0000}"/>
    <cellStyle name="Normal 424 4 2 3" xfId="32122" xr:uid="{00000000-0005-0000-0000-00007F7C0000}"/>
    <cellStyle name="Normal 424 4 2 3 2" xfId="32123" xr:uid="{00000000-0005-0000-0000-0000807C0000}"/>
    <cellStyle name="Normal 424 4 2 3 2 2" xfId="32124" xr:uid="{00000000-0005-0000-0000-0000817C0000}"/>
    <cellStyle name="Normal 424 4 2 3 3" xfId="32125" xr:uid="{00000000-0005-0000-0000-0000827C0000}"/>
    <cellStyle name="Normal 424 4 2 4" xfId="32126" xr:uid="{00000000-0005-0000-0000-0000837C0000}"/>
    <cellStyle name="Normal 424 4 3" xfId="32127" xr:uid="{00000000-0005-0000-0000-0000847C0000}"/>
    <cellStyle name="Normal 424 4 3 2" xfId="32128" xr:uid="{00000000-0005-0000-0000-0000857C0000}"/>
    <cellStyle name="Normal 424 4 3 2 2" xfId="32129" xr:uid="{00000000-0005-0000-0000-0000867C0000}"/>
    <cellStyle name="Normal 424 4 3 3" xfId="32130" xr:uid="{00000000-0005-0000-0000-0000877C0000}"/>
    <cellStyle name="Normal 424 4 4" xfId="32131" xr:uid="{00000000-0005-0000-0000-0000887C0000}"/>
    <cellStyle name="Normal 424 4 4 2" xfId="32132" xr:uid="{00000000-0005-0000-0000-0000897C0000}"/>
    <cellStyle name="Normal 424 4 4 2 2" xfId="32133" xr:uid="{00000000-0005-0000-0000-00008A7C0000}"/>
    <cellStyle name="Normal 424 4 4 3" xfId="32134" xr:uid="{00000000-0005-0000-0000-00008B7C0000}"/>
    <cellStyle name="Normal 424 4 5" xfId="32135" xr:uid="{00000000-0005-0000-0000-00008C7C0000}"/>
    <cellStyle name="Normal 424 4 5 2" xfId="32136" xr:uid="{00000000-0005-0000-0000-00008D7C0000}"/>
    <cellStyle name="Normal 424 4 5 2 2" xfId="32137" xr:uid="{00000000-0005-0000-0000-00008E7C0000}"/>
    <cellStyle name="Normal 424 4 5 3" xfId="32138" xr:uid="{00000000-0005-0000-0000-00008F7C0000}"/>
    <cellStyle name="Normal 424 4 6" xfId="32139" xr:uid="{00000000-0005-0000-0000-0000907C0000}"/>
    <cellStyle name="Normal 424 5" xfId="32140" xr:uid="{00000000-0005-0000-0000-0000917C0000}"/>
    <cellStyle name="Normal 424 5 2" xfId="32141" xr:uid="{00000000-0005-0000-0000-0000927C0000}"/>
    <cellStyle name="Normal 424 5 2 2" xfId="32142" xr:uid="{00000000-0005-0000-0000-0000937C0000}"/>
    <cellStyle name="Normal 424 5 3" xfId="32143" xr:uid="{00000000-0005-0000-0000-0000947C0000}"/>
    <cellStyle name="Normal 424 6" xfId="32144" xr:uid="{00000000-0005-0000-0000-0000957C0000}"/>
    <cellStyle name="Normal 424 6 2" xfId="32145" xr:uid="{00000000-0005-0000-0000-0000967C0000}"/>
    <cellStyle name="Normal 424 6 2 2" xfId="32146" xr:uid="{00000000-0005-0000-0000-0000977C0000}"/>
    <cellStyle name="Normal 424 6 3" xfId="32147" xr:uid="{00000000-0005-0000-0000-0000987C0000}"/>
    <cellStyle name="Normal 424 7" xfId="32148" xr:uid="{00000000-0005-0000-0000-0000997C0000}"/>
    <cellStyle name="Normal 424 7 2" xfId="32149" xr:uid="{00000000-0005-0000-0000-00009A7C0000}"/>
    <cellStyle name="Normal 424 7 2 2" xfId="32150" xr:uid="{00000000-0005-0000-0000-00009B7C0000}"/>
    <cellStyle name="Normal 424 7 3" xfId="32151" xr:uid="{00000000-0005-0000-0000-00009C7C0000}"/>
    <cellStyle name="Normal 424 8" xfId="32152" xr:uid="{00000000-0005-0000-0000-00009D7C0000}"/>
    <cellStyle name="Normal 424 8 2" xfId="32153" xr:uid="{00000000-0005-0000-0000-00009E7C0000}"/>
    <cellStyle name="Normal 424 8 2 2" xfId="32154" xr:uid="{00000000-0005-0000-0000-00009F7C0000}"/>
    <cellStyle name="Normal 424 8 3" xfId="32155" xr:uid="{00000000-0005-0000-0000-0000A07C0000}"/>
    <cellStyle name="Normal 424 8 3 2" xfId="32156" xr:uid="{00000000-0005-0000-0000-0000A17C0000}"/>
    <cellStyle name="Normal 424 8 4" xfId="32157" xr:uid="{00000000-0005-0000-0000-0000A27C0000}"/>
    <cellStyle name="Normal 424 9" xfId="32158" xr:uid="{00000000-0005-0000-0000-0000A37C0000}"/>
    <cellStyle name="Normal 425" xfId="32159" xr:uid="{00000000-0005-0000-0000-0000A47C0000}"/>
    <cellStyle name="Normal 425 10" xfId="32160" xr:uid="{00000000-0005-0000-0000-0000A57C0000}"/>
    <cellStyle name="Normal 425 2" xfId="32161" xr:uid="{00000000-0005-0000-0000-0000A67C0000}"/>
    <cellStyle name="Normal 425 2 2" xfId="32162" xr:uid="{00000000-0005-0000-0000-0000A77C0000}"/>
    <cellStyle name="Normal 425 2 2 2" xfId="32163" xr:uid="{00000000-0005-0000-0000-0000A87C0000}"/>
    <cellStyle name="Normal 425 2 2 2 2" xfId="32164" xr:uid="{00000000-0005-0000-0000-0000A97C0000}"/>
    <cellStyle name="Normal 425 2 2 3" xfId="32165" xr:uid="{00000000-0005-0000-0000-0000AA7C0000}"/>
    <cellStyle name="Normal 425 2 2 3 2" xfId="32166" xr:uid="{00000000-0005-0000-0000-0000AB7C0000}"/>
    <cellStyle name="Normal 425 2 2 3 2 2" xfId="32167" xr:uid="{00000000-0005-0000-0000-0000AC7C0000}"/>
    <cellStyle name="Normal 425 2 2 3 3" xfId="32168" xr:uid="{00000000-0005-0000-0000-0000AD7C0000}"/>
    <cellStyle name="Normal 425 2 2 4" xfId="32169" xr:uid="{00000000-0005-0000-0000-0000AE7C0000}"/>
    <cellStyle name="Normal 425 2 3" xfId="32170" xr:uid="{00000000-0005-0000-0000-0000AF7C0000}"/>
    <cellStyle name="Normal 425 2 3 2" xfId="32171" xr:uid="{00000000-0005-0000-0000-0000B07C0000}"/>
    <cellStyle name="Normal 425 2 3 2 2" xfId="32172" xr:uid="{00000000-0005-0000-0000-0000B17C0000}"/>
    <cellStyle name="Normal 425 2 3 3" xfId="32173" xr:uid="{00000000-0005-0000-0000-0000B27C0000}"/>
    <cellStyle name="Normal 425 2 4" xfId="32174" xr:uid="{00000000-0005-0000-0000-0000B37C0000}"/>
    <cellStyle name="Normal 425 2 4 2" xfId="32175" xr:uid="{00000000-0005-0000-0000-0000B47C0000}"/>
    <cellStyle name="Normal 425 2 4 2 2" xfId="32176" xr:uid="{00000000-0005-0000-0000-0000B57C0000}"/>
    <cellStyle name="Normal 425 2 4 3" xfId="32177" xr:uid="{00000000-0005-0000-0000-0000B67C0000}"/>
    <cellStyle name="Normal 425 2 5" xfId="32178" xr:uid="{00000000-0005-0000-0000-0000B77C0000}"/>
    <cellStyle name="Normal 425 2 5 2" xfId="32179" xr:uid="{00000000-0005-0000-0000-0000B87C0000}"/>
    <cellStyle name="Normal 425 2 5 2 2" xfId="32180" xr:uid="{00000000-0005-0000-0000-0000B97C0000}"/>
    <cellStyle name="Normal 425 2 5 3" xfId="32181" xr:uid="{00000000-0005-0000-0000-0000BA7C0000}"/>
    <cellStyle name="Normal 425 2 6" xfId="32182" xr:uid="{00000000-0005-0000-0000-0000BB7C0000}"/>
    <cellStyle name="Normal 425 3" xfId="32183" xr:uid="{00000000-0005-0000-0000-0000BC7C0000}"/>
    <cellStyle name="Normal 425 3 2" xfId="32184" xr:uid="{00000000-0005-0000-0000-0000BD7C0000}"/>
    <cellStyle name="Normal 425 3 2 2" xfId="32185" xr:uid="{00000000-0005-0000-0000-0000BE7C0000}"/>
    <cellStyle name="Normal 425 3 3" xfId="32186" xr:uid="{00000000-0005-0000-0000-0000BF7C0000}"/>
    <cellStyle name="Normal 425 3 3 2" xfId="32187" xr:uid="{00000000-0005-0000-0000-0000C07C0000}"/>
    <cellStyle name="Normal 425 3 3 2 2" xfId="32188" xr:uid="{00000000-0005-0000-0000-0000C17C0000}"/>
    <cellStyle name="Normal 425 3 3 3" xfId="32189" xr:uid="{00000000-0005-0000-0000-0000C27C0000}"/>
    <cellStyle name="Normal 425 3 4" xfId="32190" xr:uid="{00000000-0005-0000-0000-0000C37C0000}"/>
    <cellStyle name="Normal 425 3 4 2" xfId="32191" xr:uid="{00000000-0005-0000-0000-0000C47C0000}"/>
    <cellStyle name="Normal 425 3 4 2 2" xfId="32192" xr:uid="{00000000-0005-0000-0000-0000C57C0000}"/>
    <cellStyle name="Normal 425 3 4 3" xfId="32193" xr:uid="{00000000-0005-0000-0000-0000C67C0000}"/>
    <cellStyle name="Normal 425 3 5" xfId="32194" xr:uid="{00000000-0005-0000-0000-0000C77C0000}"/>
    <cellStyle name="Normal 425 4" xfId="32195" xr:uid="{00000000-0005-0000-0000-0000C87C0000}"/>
    <cellStyle name="Normal 425 4 2" xfId="32196" xr:uid="{00000000-0005-0000-0000-0000C97C0000}"/>
    <cellStyle name="Normal 425 4 2 2" xfId="32197" xr:uid="{00000000-0005-0000-0000-0000CA7C0000}"/>
    <cellStyle name="Normal 425 4 2 2 2" xfId="32198" xr:uid="{00000000-0005-0000-0000-0000CB7C0000}"/>
    <cellStyle name="Normal 425 4 2 3" xfId="32199" xr:uid="{00000000-0005-0000-0000-0000CC7C0000}"/>
    <cellStyle name="Normal 425 4 2 3 2" xfId="32200" xr:uid="{00000000-0005-0000-0000-0000CD7C0000}"/>
    <cellStyle name="Normal 425 4 2 3 2 2" xfId="32201" xr:uid="{00000000-0005-0000-0000-0000CE7C0000}"/>
    <cellStyle name="Normal 425 4 2 3 3" xfId="32202" xr:uid="{00000000-0005-0000-0000-0000CF7C0000}"/>
    <cellStyle name="Normal 425 4 2 4" xfId="32203" xr:uid="{00000000-0005-0000-0000-0000D07C0000}"/>
    <cellStyle name="Normal 425 4 3" xfId="32204" xr:uid="{00000000-0005-0000-0000-0000D17C0000}"/>
    <cellStyle name="Normal 425 4 3 2" xfId="32205" xr:uid="{00000000-0005-0000-0000-0000D27C0000}"/>
    <cellStyle name="Normal 425 4 3 2 2" xfId="32206" xr:uid="{00000000-0005-0000-0000-0000D37C0000}"/>
    <cellStyle name="Normal 425 4 3 3" xfId="32207" xr:uid="{00000000-0005-0000-0000-0000D47C0000}"/>
    <cellStyle name="Normal 425 4 4" xfId="32208" xr:uid="{00000000-0005-0000-0000-0000D57C0000}"/>
    <cellStyle name="Normal 425 4 4 2" xfId="32209" xr:uid="{00000000-0005-0000-0000-0000D67C0000}"/>
    <cellStyle name="Normal 425 4 4 2 2" xfId="32210" xr:uid="{00000000-0005-0000-0000-0000D77C0000}"/>
    <cellStyle name="Normal 425 4 4 3" xfId="32211" xr:uid="{00000000-0005-0000-0000-0000D87C0000}"/>
    <cellStyle name="Normal 425 4 5" xfId="32212" xr:uid="{00000000-0005-0000-0000-0000D97C0000}"/>
    <cellStyle name="Normal 425 4 5 2" xfId="32213" xr:uid="{00000000-0005-0000-0000-0000DA7C0000}"/>
    <cellStyle name="Normal 425 4 5 2 2" xfId="32214" xr:uid="{00000000-0005-0000-0000-0000DB7C0000}"/>
    <cellStyle name="Normal 425 4 5 3" xfId="32215" xr:uid="{00000000-0005-0000-0000-0000DC7C0000}"/>
    <cellStyle name="Normal 425 4 6" xfId="32216" xr:uid="{00000000-0005-0000-0000-0000DD7C0000}"/>
    <cellStyle name="Normal 425 5" xfId="32217" xr:uid="{00000000-0005-0000-0000-0000DE7C0000}"/>
    <cellStyle name="Normal 425 5 2" xfId="32218" xr:uid="{00000000-0005-0000-0000-0000DF7C0000}"/>
    <cellStyle name="Normal 425 5 2 2" xfId="32219" xr:uid="{00000000-0005-0000-0000-0000E07C0000}"/>
    <cellStyle name="Normal 425 5 3" xfId="32220" xr:uid="{00000000-0005-0000-0000-0000E17C0000}"/>
    <cellStyle name="Normal 425 6" xfId="32221" xr:uid="{00000000-0005-0000-0000-0000E27C0000}"/>
    <cellStyle name="Normal 425 6 2" xfId="32222" xr:uid="{00000000-0005-0000-0000-0000E37C0000}"/>
    <cellStyle name="Normal 425 6 2 2" xfId="32223" xr:uid="{00000000-0005-0000-0000-0000E47C0000}"/>
    <cellStyle name="Normal 425 6 3" xfId="32224" xr:uid="{00000000-0005-0000-0000-0000E57C0000}"/>
    <cellStyle name="Normal 425 7" xfId="32225" xr:uid="{00000000-0005-0000-0000-0000E67C0000}"/>
    <cellStyle name="Normal 425 7 2" xfId="32226" xr:uid="{00000000-0005-0000-0000-0000E77C0000}"/>
    <cellStyle name="Normal 425 7 2 2" xfId="32227" xr:uid="{00000000-0005-0000-0000-0000E87C0000}"/>
    <cellStyle name="Normal 425 7 3" xfId="32228" xr:uid="{00000000-0005-0000-0000-0000E97C0000}"/>
    <cellStyle name="Normal 425 8" xfId="32229" xr:uid="{00000000-0005-0000-0000-0000EA7C0000}"/>
    <cellStyle name="Normal 425 8 2" xfId="32230" xr:uid="{00000000-0005-0000-0000-0000EB7C0000}"/>
    <cellStyle name="Normal 425 8 2 2" xfId="32231" xr:uid="{00000000-0005-0000-0000-0000EC7C0000}"/>
    <cellStyle name="Normal 425 8 3" xfId="32232" xr:uid="{00000000-0005-0000-0000-0000ED7C0000}"/>
    <cellStyle name="Normal 425 8 3 2" xfId="32233" xr:uid="{00000000-0005-0000-0000-0000EE7C0000}"/>
    <cellStyle name="Normal 425 8 4" xfId="32234" xr:uid="{00000000-0005-0000-0000-0000EF7C0000}"/>
    <cellStyle name="Normal 425 9" xfId="32235" xr:uid="{00000000-0005-0000-0000-0000F07C0000}"/>
    <cellStyle name="Normal 426" xfId="32236" xr:uid="{00000000-0005-0000-0000-0000F17C0000}"/>
    <cellStyle name="Normal 426 10" xfId="32237" xr:uid="{00000000-0005-0000-0000-0000F27C0000}"/>
    <cellStyle name="Normal 426 2" xfId="32238" xr:uid="{00000000-0005-0000-0000-0000F37C0000}"/>
    <cellStyle name="Normal 426 2 2" xfId="32239" xr:uid="{00000000-0005-0000-0000-0000F47C0000}"/>
    <cellStyle name="Normal 426 2 2 2" xfId="32240" xr:uid="{00000000-0005-0000-0000-0000F57C0000}"/>
    <cellStyle name="Normal 426 2 2 2 2" xfId="32241" xr:uid="{00000000-0005-0000-0000-0000F67C0000}"/>
    <cellStyle name="Normal 426 2 2 3" xfId="32242" xr:uid="{00000000-0005-0000-0000-0000F77C0000}"/>
    <cellStyle name="Normal 426 2 2 3 2" xfId="32243" xr:uid="{00000000-0005-0000-0000-0000F87C0000}"/>
    <cellStyle name="Normal 426 2 2 3 2 2" xfId="32244" xr:uid="{00000000-0005-0000-0000-0000F97C0000}"/>
    <cellStyle name="Normal 426 2 2 3 3" xfId="32245" xr:uid="{00000000-0005-0000-0000-0000FA7C0000}"/>
    <cellStyle name="Normal 426 2 2 4" xfId="32246" xr:uid="{00000000-0005-0000-0000-0000FB7C0000}"/>
    <cellStyle name="Normal 426 2 3" xfId="32247" xr:uid="{00000000-0005-0000-0000-0000FC7C0000}"/>
    <cellStyle name="Normal 426 2 3 2" xfId="32248" xr:uid="{00000000-0005-0000-0000-0000FD7C0000}"/>
    <cellStyle name="Normal 426 2 3 2 2" xfId="32249" xr:uid="{00000000-0005-0000-0000-0000FE7C0000}"/>
    <cellStyle name="Normal 426 2 3 3" xfId="32250" xr:uid="{00000000-0005-0000-0000-0000FF7C0000}"/>
    <cellStyle name="Normal 426 2 4" xfId="32251" xr:uid="{00000000-0005-0000-0000-0000007D0000}"/>
    <cellStyle name="Normal 426 2 4 2" xfId="32252" xr:uid="{00000000-0005-0000-0000-0000017D0000}"/>
    <cellStyle name="Normal 426 2 4 2 2" xfId="32253" xr:uid="{00000000-0005-0000-0000-0000027D0000}"/>
    <cellStyle name="Normal 426 2 4 3" xfId="32254" xr:uid="{00000000-0005-0000-0000-0000037D0000}"/>
    <cellStyle name="Normal 426 2 5" xfId="32255" xr:uid="{00000000-0005-0000-0000-0000047D0000}"/>
    <cellStyle name="Normal 426 2 5 2" xfId="32256" xr:uid="{00000000-0005-0000-0000-0000057D0000}"/>
    <cellStyle name="Normal 426 2 5 2 2" xfId="32257" xr:uid="{00000000-0005-0000-0000-0000067D0000}"/>
    <cellStyle name="Normal 426 2 5 3" xfId="32258" xr:uid="{00000000-0005-0000-0000-0000077D0000}"/>
    <cellStyle name="Normal 426 2 6" xfId="32259" xr:uid="{00000000-0005-0000-0000-0000087D0000}"/>
    <cellStyle name="Normal 426 3" xfId="32260" xr:uid="{00000000-0005-0000-0000-0000097D0000}"/>
    <cellStyle name="Normal 426 3 2" xfId="32261" xr:uid="{00000000-0005-0000-0000-00000A7D0000}"/>
    <cellStyle name="Normal 426 3 2 2" xfId="32262" xr:uid="{00000000-0005-0000-0000-00000B7D0000}"/>
    <cellStyle name="Normal 426 3 3" xfId="32263" xr:uid="{00000000-0005-0000-0000-00000C7D0000}"/>
    <cellStyle name="Normal 426 3 3 2" xfId="32264" xr:uid="{00000000-0005-0000-0000-00000D7D0000}"/>
    <cellStyle name="Normal 426 3 3 2 2" xfId="32265" xr:uid="{00000000-0005-0000-0000-00000E7D0000}"/>
    <cellStyle name="Normal 426 3 3 3" xfId="32266" xr:uid="{00000000-0005-0000-0000-00000F7D0000}"/>
    <cellStyle name="Normal 426 3 4" xfId="32267" xr:uid="{00000000-0005-0000-0000-0000107D0000}"/>
    <cellStyle name="Normal 426 3 4 2" xfId="32268" xr:uid="{00000000-0005-0000-0000-0000117D0000}"/>
    <cellStyle name="Normal 426 3 4 2 2" xfId="32269" xr:uid="{00000000-0005-0000-0000-0000127D0000}"/>
    <cellStyle name="Normal 426 3 4 3" xfId="32270" xr:uid="{00000000-0005-0000-0000-0000137D0000}"/>
    <cellStyle name="Normal 426 3 5" xfId="32271" xr:uid="{00000000-0005-0000-0000-0000147D0000}"/>
    <cellStyle name="Normal 426 4" xfId="32272" xr:uid="{00000000-0005-0000-0000-0000157D0000}"/>
    <cellStyle name="Normal 426 4 2" xfId="32273" xr:uid="{00000000-0005-0000-0000-0000167D0000}"/>
    <cellStyle name="Normal 426 4 2 2" xfId="32274" xr:uid="{00000000-0005-0000-0000-0000177D0000}"/>
    <cellStyle name="Normal 426 4 2 2 2" xfId="32275" xr:uid="{00000000-0005-0000-0000-0000187D0000}"/>
    <cellStyle name="Normal 426 4 2 3" xfId="32276" xr:uid="{00000000-0005-0000-0000-0000197D0000}"/>
    <cellStyle name="Normal 426 4 2 3 2" xfId="32277" xr:uid="{00000000-0005-0000-0000-00001A7D0000}"/>
    <cellStyle name="Normal 426 4 2 3 2 2" xfId="32278" xr:uid="{00000000-0005-0000-0000-00001B7D0000}"/>
    <cellStyle name="Normal 426 4 2 3 3" xfId="32279" xr:uid="{00000000-0005-0000-0000-00001C7D0000}"/>
    <cellStyle name="Normal 426 4 2 4" xfId="32280" xr:uid="{00000000-0005-0000-0000-00001D7D0000}"/>
    <cellStyle name="Normal 426 4 3" xfId="32281" xr:uid="{00000000-0005-0000-0000-00001E7D0000}"/>
    <cellStyle name="Normal 426 4 3 2" xfId="32282" xr:uid="{00000000-0005-0000-0000-00001F7D0000}"/>
    <cellStyle name="Normal 426 4 3 2 2" xfId="32283" xr:uid="{00000000-0005-0000-0000-0000207D0000}"/>
    <cellStyle name="Normal 426 4 3 3" xfId="32284" xr:uid="{00000000-0005-0000-0000-0000217D0000}"/>
    <cellStyle name="Normal 426 4 4" xfId="32285" xr:uid="{00000000-0005-0000-0000-0000227D0000}"/>
    <cellStyle name="Normal 426 4 4 2" xfId="32286" xr:uid="{00000000-0005-0000-0000-0000237D0000}"/>
    <cellStyle name="Normal 426 4 4 2 2" xfId="32287" xr:uid="{00000000-0005-0000-0000-0000247D0000}"/>
    <cellStyle name="Normal 426 4 4 3" xfId="32288" xr:uid="{00000000-0005-0000-0000-0000257D0000}"/>
    <cellStyle name="Normal 426 4 5" xfId="32289" xr:uid="{00000000-0005-0000-0000-0000267D0000}"/>
    <cellStyle name="Normal 426 4 5 2" xfId="32290" xr:uid="{00000000-0005-0000-0000-0000277D0000}"/>
    <cellStyle name="Normal 426 4 5 2 2" xfId="32291" xr:uid="{00000000-0005-0000-0000-0000287D0000}"/>
    <cellStyle name="Normal 426 4 5 3" xfId="32292" xr:uid="{00000000-0005-0000-0000-0000297D0000}"/>
    <cellStyle name="Normal 426 4 6" xfId="32293" xr:uid="{00000000-0005-0000-0000-00002A7D0000}"/>
    <cellStyle name="Normal 426 5" xfId="32294" xr:uid="{00000000-0005-0000-0000-00002B7D0000}"/>
    <cellStyle name="Normal 426 5 2" xfId="32295" xr:uid="{00000000-0005-0000-0000-00002C7D0000}"/>
    <cellStyle name="Normal 426 5 2 2" xfId="32296" xr:uid="{00000000-0005-0000-0000-00002D7D0000}"/>
    <cellStyle name="Normal 426 5 3" xfId="32297" xr:uid="{00000000-0005-0000-0000-00002E7D0000}"/>
    <cellStyle name="Normal 426 6" xfId="32298" xr:uid="{00000000-0005-0000-0000-00002F7D0000}"/>
    <cellStyle name="Normal 426 6 2" xfId="32299" xr:uid="{00000000-0005-0000-0000-0000307D0000}"/>
    <cellStyle name="Normal 426 6 2 2" xfId="32300" xr:uid="{00000000-0005-0000-0000-0000317D0000}"/>
    <cellStyle name="Normal 426 6 3" xfId="32301" xr:uid="{00000000-0005-0000-0000-0000327D0000}"/>
    <cellStyle name="Normal 426 7" xfId="32302" xr:uid="{00000000-0005-0000-0000-0000337D0000}"/>
    <cellStyle name="Normal 426 7 2" xfId="32303" xr:uid="{00000000-0005-0000-0000-0000347D0000}"/>
    <cellStyle name="Normal 426 7 2 2" xfId="32304" xr:uid="{00000000-0005-0000-0000-0000357D0000}"/>
    <cellStyle name="Normal 426 7 3" xfId="32305" xr:uid="{00000000-0005-0000-0000-0000367D0000}"/>
    <cellStyle name="Normal 426 8" xfId="32306" xr:uid="{00000000-0005-0000-0000-0000377D0000}"/>
    <cellStyle name="Normal 426 8 2" xfId="32307" xr:uid="{00000000-0005-0000-0000-0000387D0000}"/>
    <cellStyle name="Normal 426 8 2 2" xfId="32308" xr:uid="{00000000-0005-0000-0000-0000397D0000}"/>
    <cellStyle name="Normal 426 8 3" xfId="32309" xr:uid="{00000000-0005-0000-0000-00003A7D0000}"/>
    <cellStyle name="Normal 426 8 3 2" xfId="32310" xr:uid="{00000000-0005-0000-0000-00003B7D0000}"/>
    <cellStyle name="Normal 426 8 4" xfId="32311" xr:uid="{00000000-0005-0000-0000-00003C7D0000}"/>
    <cellStyle name="Normal 426 9" xfId="32312" xr:uid="{00000000-0005-0000-0000-00003D7D0000}"/>
    <cellStyle name="Normal 427" xfId="32313" xr:uid="{00000000-0005-0000-0000-00003E7D0000}"/>
    <cellStyle name="Normal 427 10" xfId="32314" xr:uid="{00000000-0005-0000-0000-00003F7D0000}"/>
    <cellStyle name="Normal 427 2" xfId="32315" xr:uid="{00000000-0005-0000-0000-0000407D0000}"/>
    <cellStyle name="Normal 427 2 2" xfId="32316" xr:uid="{00000000-0005-0000-0000-0000417D0000}"/>
    <cellStyle name="Normal 427 2 2 2" xfId="32317" xr:uid="{00000000-0005-0000-0000-0000427D0000}"/>
    <cellStyle name="Normal 427 2 2 2 2" xfId="32318" xr:uid="{00000000-0005-0000-0000-0000437D0000}"/>
    <cellStyle name="Normal 427 2 2 3" xfId="32319" xr:uid="{00000000-0005-0000-0000-0000447D0000}"/>
    <cellStyle name="Normal 427 2 2 3 2" xfId="32320" xr:uid="{00000000-0005-0000-0000-0000457D0000}"/>
    <cellStyle name="Normal 427 2 2 3 2 2" xfId="32321" xr:uid="{00000000-0005-0000-0000-0000467D0000}"/>
    <cellStyle name="Normal 427 2 2 3 3" xfId="32322" xr:uid="{00000000-0005-0000-0000-0000477D0000}"/>
    <cellStyle name="Normal 427 2 2 4" xfId="32323" xr:uid="{00000000-0005-0000-0000-0000487D0000}"/>
    <cellStyle name="Normal 427 2 3" xfId="32324" xr:uid="{00000000-0005-0000-0000-0000497D0000}"/>
    <cellStyle name="Normal 427 2 3 2" xfId="32325" xr:uid="{00000000-0005-0000-0000-00004A7D0000}"/>
    <cellStyle name="Normal 427 2 3 2 2" xfId="32326" xr:uid="{00000000-0005-0000-0000-00004B7D0000}"/>
    <cellStyle name="Normal 427 2 3 3" xfId="32327" xr:uid="{00000000-0005-0000-0000-00004C7D0000}"/>
    <cellStyle name="Normal 427 2 4" xfId="32328" xr:uid="{00000000-0005-0000-0000-00004D7D0000}"/>
    <cellStyle name="Normal 427 2 4 2" xfId="32329" xr:uid="{00000000-0005-0000-0000-00004E7D0000}"/>
    <cellStyle name="Normal 427 2 4 2 2" xfId="32330" xr:uid="{00000000-0005-0000-0000-00004F7D0000}"/>
    <cellStyle name="Normal 427 2 4 3" xfId="32331" xr:uid="{00000000-0005-0000-0000-0000507D0000}"/>
    <cellStyle name="Normal 427 2 5" xfId="32332" xr:uid="{00000000-0005-0000-0000-0000517D0000}"/>
    <cellStyle name="Normal 427 2 5 2" xfId="32333" xr:uid="{00000000-0005-0000-0000-0000527D0000}"/>
    <cellStyle name="Normal 427 2 5 2 2" xfId="32334" xr:uid="{00000000-0005-0000-0000-0000537D0000}"/>
    <cellStyle name="Normal 427 2 5 3" xfId="32335" xr:uid="{00000000-0005-0000-0000-0000547D0000}"/>
    <cellStyle name="Normal 427 2 6" xfId="32336" xr:uid="{00000000-0005-0000-0000-0000557D0000}"/>
    <cellStyle name="Normal 427 3" xfId="32337" xr:uid="{00000000-0005-0000-0000-0000567D0000}"/>
    <cellStyle name="Normal 427 3 2" xfId="32338" xr:uid="{00000000-0005-0000-0000-0000577D0000}"/>
    <cellStyle name="Normal 427 3 2 2" xfId="32339" xr:uid="{00000000-0005-0000-0000-0000587D0000}"/>
    <cellStyle name="Normal 427 3 3" xfId="32340" xr:uid="{00000000-0005-0000-0000-0000597D0000}"/>
    <cellStyle name="Normal 427 3 3 2" xfId="32341" xr:uid="{00000000-0005-0000-0000-00005A7D0000}"/>
    <cellStyle name="Normal 427 3 3 2 2" xfId="32342" xr:uid="{00000000-0005-0000-0000-00005B7D0000}"/>
    <cellStyle name="Normal 427 3 3 3" xfId="32343" xr:uid="{00000000-0005-0000-0000-00005C7D0000}"/>
    <cellStyle name="Normal 427 3 4" xfId="32344" xr:uid="{00000000-0005-0000-0000-00005D7D0000}"/>
    <cellStyle name="Normal 427 3 4 2" xfId="32345" xr:uid="{00000000-0005-0000-0000-00005E7D0000}"/>
    <cellStyle name="Normal 427 3 4 2 2" xfId="32346" xr:uid="{00000000-0005-0000-0000-00005F7D0000}"/>
    <cellStyle name="Normal 427 3 4 3" xfId="32347" xr:uid="{00000000-0005-0000-0000-0000607D0000}"/>
    <cellStyle name="Normal 427 3 5" xfId="32348" xr:uid="{00000000-0005-0000-0000-0000617D0000}"/>
    <cellStyle name="Normal 427 4" xfId="32349" xr:uid="{00000000-0005-0000-0000-0000627D0000}"/>
    <cellStyle name="Normal 427 4 2" xfId="32350" xr:uid="{00000000-0005-0000-0000-0000637D0000}"/>
    <cellStyle name="Normal 427 4 2 2" xfId="32351" xr:uid="{00000000-0005-0000-0000-0000647D0000}"/>
    <cellStyle name="Normal 427 4 2 2 2" xfId="32352" xr:uid="{00000000-0005-0000-0000-0000657D0000}"/>
    <cellStyle name="Normal 427 4 2 3" xfId="32353" xr:uid="{00000000-0005-0000-0000-0000667D0000}"/>
    <cellStyle name="Normal 427 4 2 3 2" xfId="32354" xr:uid="{00000000-0005-0000-0000-0000677D0000}"/>
    <cellStyle name="Normal 427 4 2 3 2 2" xfId="32355" xr:uid="{00000000-0005-0000-0000-0000687D0000}"/>
    <cellStyle name="Normal 427 4 2 3 3" xfId="32356" xr:uid="{00000000-0005-0000-0000-0000697D0000}"/>
    <cellStyle name="Normal 427 4 2 4" xfId="32357" xr:uid="{00000000-0005-0000-0000-00006A7D0000}"/>
    <cellStyle name="Normal 427 4 3" xfId="32358" xr:uid="{00000000-0005-0000-0000-00006B7D0000}"/>
    <cellStyle name="Normal 427 4 3 2" xfId="32359" xr:uid="{00000000-0005-0000-0000-00006C7D0000}"/>
    <cellStyle name="Normal 427 4 3 2 2" xfId="32360" xr:uid="{00000000-0005-0000-0000-00006D7D0000}"/>
    <cellStyle name="Normal 427 4 3 3" xfId="32361" xr:uid="{00000000-0005-0000-0000-00006E7D0000}"/>
    <cellStyle name="Normal 427 4 4" xfId="32362" xr:uid="{00000000-0005-0000-0000-00006F7D0000}"/>
    <cellStyle name="Normal 427 4 4 2" xfId="32363" xr:uid="{00000000-0005-0000-0000-0000707D0000}"/>
    <cellStyle name="Normal 427 4 4 2 2" xfId="32364" xr:uid="{00000000-0005-0000-0000-0000717D0000}"/>
    <cellStyle name="Normal 427 4 4 3" xfId="32365" xr:uid="{00000000-0005-0000-0000-0000727D0000}"/>
    <cellStyle name="Normal 427 4 5" xfId="32366" xr:uid="{00000000-0005-0000-0000-0000737D0000}"/>
    <cellStyle name="Normal 427 4 5 2" xfId="32367" xr:uid="{00000000-0005-0000-0000-0000747D0000}"/>
    <cellStyle name="Normal 427 4 5 2 2" xfId="32368" xr:uid="{00000000-0005-0000-0000-0000757D0000}"/>
    <cellStyle name="Normal 427 4 5 3" xfId="32369" xr:uid="{00000000-0005-0000-0000-0000767D0000}"/>
    <cellStyle name="Normal 427 4 6" xfId="32370" xr:uid="{00000000-0005-0000-0000-0000777D0000}"/>
    <cellStyle name="Normal 427 5" xfId="32371" xr:uid="{00000000-0005-0000-0000-0000787D0000}"/>
    <cellStyle name="Normal 427 5 2" xfId="32372" xr:uid="{00000000-0005-0000-0000-0000797D0000}"/>
    <cellStyle name="Normal 427 5 2 2" xfId="32373" xr:uid="{00000000-0005-0000-0000-00007A7D0000}"/>
    <cellStyle name="Normal 427 5 3" xfId="32374" xr:uid="{00000000-0005-0000-0000-00007B7D0000}"/>
    <cellStyle name="Normal 427 6" xfId="32375" xr:uid="{00000000-0005-0000-0000-00007C7D0000}"/>
    <cellStyle name="Normal 427 6 2" xfId="32376" xr:uid="{00000000-0005-0000-0000-00007D7D0000}"/>
    <cellStyle name="Normal 427 6 2 2" xfId="32377" xr:uid="{00000000-0005-0000-0000-00007E7D0000}"/>
    <cellStyle name="Normal 427 6 3" xfId="32378" xr:uid="{00000000-0005-0000-0000-00007F7D0000}"/>
    <cellStyle name="Normal 427 7" xfId="32379" xr:uid="{00000000-0005-0000-0000-0000807D0000}"/>
    <cellStyle name="Normal 427 7 2" xfId="32380" xr:uid="{00000000-0005-0000-0000-0000817D0000}"/>
    <cellStyle name="Normal 427 7 2 2" xfId="32381" xr:uid="{00000000-0005-0000-0000-0000827D0000}"/>
    <cellStyle name="Normal 427 7 3" xfId="32382" xr:uid="{00000000-0005-0000-0000-0000837D0000}"/>
    <cellStyle name="Normal 427 8" xfId="32383" xr:uid="{00000000-0005-0000-0000-0000847D0000}"/>
    <cellStyle name="Normal 427 8 2" xfId="32384" xr:uid="{00000000-0005-0000-0000-0000857D0000}"/>
    <cellStyle name="Normal 427 8 2 2" xfId="32385" xr:uid="{00000000-0005-0000-0000-0000867D0000}"/>
    <cellStyle name="Normal 427 8 3" xfId="32386" xr:uid="{00000000-0005-0000-0000-0000877D0000}"/>
    <cellStyle name="Normal 427 8 3 2" xfId="32387" xr:uid="{00000000-0005-0000-0000-0000887D0000}"/>
    <cellStyle name="Normal 427 8 4" xfId="32388" xr:uid="{00000000-0005-0000-0000-0000897D0000}"/>
    <cellStyle name="Normal 427 9" xfId="32389" xr:uid="{00000000-0005-0000-0000-00008A7D0000}"/>
    <cellStyle name="Normal 428" xfId="32390" xr:uid="{00000000-0005-0000-0000-00008B7D0000}"/>
    <cellStyle name="Normal 428 10" xfId="32391" xr:uid="{00000000-0005-0000-0000-00008C7D0000}"/>
    <cellStyle name="Normal 428 2" xfId="32392" xr:uid="{00000000-0005-0000-0000-00008D7D0000}"/>
    <cellStyle name="Normal 428 2 2" xfId="32393" xr:uid="{00000000-0005-0000-0000-00008E7D0000}"/>
    <cellStyle name="Normal 428 2 2 2" xfId="32394" xr:uid="{00000000-0005-0000-0000-00008F7D0000}"/>
    <cellStyle name="Normal 428 2 2 2 2" xfId="32395" xr:uid="{00000000-0005-0000-0000-0000907D0000}"/>
    <cellStyle name="Normal 428 2 2 3" xfId="32396" xr:uid="{00000000-0005-0000-0000-0000917D0000}"/>
    <cellStyle name="Normal 428 2 2 3 2" xfId="32397" xr:uid="{00000000-0005-0000-0000-0000927D0000}"/>
    <cellStyle name="Normal 428 2 2 3 2 2" xfId="32398" xr:uid="{00000000-0005-0000-0000-0000937D0000}"/>
    <cellStyle name="Normal 428 2 2 3 3" xfId="32399" xr:uid="{00000000-0005-0000-0000-0000947D0000}"/>
    <cellStyle name="Normal 428 2 2 4" xfId="32400" xr:uid="{00000000-0005-0000-0000-0000957D0000}"/>
    <cellStyle name="Normal 428 2 3" xfId="32401" xr:uid="{00000000-0005-0000-0000-0000967D0000}"/>
    <cellStyle name="Normal 428 2 3 2" xfId="32402" xr:uid="{00000000-0005-0000-0000-0000977D0000}"/>
    <cellStyle name="Normal 428 2 3 2 2" xfId="32403" xr:uid="{00000000-0005-0000-0000-0000987D0000}"/>
    <cellStyle name="Normal 428 2 3 3" xfId="32404" xr:uid="{00000000-0005-0000-0000-0000997D0000}"/>
    <cellStyle name="Normal 428 2 4" xfId="32405" xr:uid="{00000000-0005-0000-0000-00009A7D0000}"/>
    <cellStyle name="Normal 428 2 4 2" xfId="32406" xr:uid="{00000000-0005-0000-0000-00009B7D0000}"/>
    <cellStyle name="Normal 428 2 4 2 2" xfId="32407" xr:uid="{00000000-0005-0000-0000-00009C7D0000}"/>
    <cellStyle name="Normal 428 2 4 3" xfId="32408" xr:uid="{00000000-0005-0000-0000-00009D7D0000}"/>
    <cellStyle name="Normal 428 2 5" xfId="32409" xr:uid="{00000000-0005-0000-0000-00009E7D0000}"/>
    <cellStyle name="Normal 428 2 5 2" xfId="32410" xr:uid="{00000000-0005-0000-0000-00009F7D0000}"/>
    <cellStyle name="Normal 428 2 5 2 2" xfId="32411" xr:uid="{00000000-0005-0000-0000-0000A07D0000}"/>
    <cellStyle name="Normal 428 2 5 3" xfId="32412" xr:uid="{00000000-0005-0000-0000-0000A17D0000}"/>
    <cellStyle name="Normal 428 2 6" xfId="32413" xr:uid="{00000000-0005-0000-0000-0000A27D0000}"/>
    <cellStyle name="Normal 428 3" xfId="32414" xr:uid="{00000000-0005-0000-0000-0000A37D0000}"/>
    <cellStyle name="Normal 428 3 2" xfId="32415" xr:uid="{00000000-0005-0000-0000-0000A47D0000}"/>
    <cellStyle name="Normal 428 3 2 2" xfId="32416" xr:uid="{00000000-0005-0000-0000-0000A57D0000}"/>
    <cellStyle name="Normal 428 3 3" xfId="32417" xr:uid="{00000000-0005-0000-0000-0000A67D0000}"/>
    <cellStyle name="Normal 428 3 3 2" xfId="32418" xr:uid="{00000000-0005-0000-0000-0000A77D0000}"/>
    <cellStyle name="Normal 428 3 3 2 2" xfId="32419" xr:uid="{00000000-0005-0000-0000-0000A87D0000}"/>
    <cellStyle name="Normal 428 3 3 3" xfId="32420" xr:uid="{00000000-0005-0000-0000-0000A97D0000}"/>
    <cellStyle name="Normal 428 3 4" xfId="32421" xr:uid="{00000000-0005-0000-0000-0000AA7D0000}"/>
    <cellStyle name="Normal 428 3 4 2" xfId="32422" xr:uid="{00000000-0005-0000-0000-0000AB7D0000}"/>
    <cellStyle name="Normal 428 3 4 2 2" xfId="32423" xr:uid="{00000000-0005-0000-0000-0000AC7D0000}"/>
    <cellStyle name="Normal 428 3 4 3" xfId="32424" xr:uid="{00000000-0005-0000-0000-0000AD7D0000}"/>
    <cellStyle name="Normal 428 3 5" xfId="32425" xr:uid="{00000000-0005-0000-0000-0000AE7D0000}"/>
    <cellStyle name="Normal 428 4" xfId="32426" xr:uid="{00000000-0005-0000-0000-0000AF7D0000}"/>
    <cellStyle name="Normal 428 4 2" xfId="32427" xr:uid="{00000000-0005-0000-0000-0000B07D0000}"/>
    <cellStyle name="Normal 428 4 2 2" xfId="32428" xr:uid="{00000000-0005-0000-0000-0000B17D0000}"/>
    <cellStyle name="Normal 428 4 2 2 2" xfId="32429" xr:uid="{00000000-0005-0000-0000-0000B27D0000}"/>
    <cellStyle name="Normal 428 4 2 3" xfId="32430" xr:uid="{00000000-0005-0000-0000-0000B37D0000}"/>
    <cellStyle name="Normal 428 4 2 3 2" xfId="32431" xr:uid="{00000000-0005-0000-0000-0000B47D0000}"/>
    <cellStyle name="Normal 428 4 2 3 2 2" xfId="32432" xr:uid="{00000000-0005-0000-0000-0000B57D0000}"/>
    <cellStyle name="Normal 428 4 2 3 3" xfId="32433" xr:uid="{00000000-0005-0000-0000-0000B67D0000}"/>
    <cellStyle name="Normal 428 4 2 4" xfId="32434" xr:uid="{00000000-0005-0000-0000-0000B77D0000}"/>
    <cellStyle name="Normal 428 4 3" xfId="32435" xr:uid="{00000000-0005-0000-0000-0000B87D0000}"/>
    <cellStyle name="Normal 428 4 3 2" xfId="32436" xr:uid="{00000000-0005-0000-0000-0000B97D0000}"/>
    <cellStyle name="Normal 428 4 3 2 2" xfId="32437" xr:uid="{00000000-0005-0000-0000-0000BA7D0000}"/>
    <cellStyle name="Normal 428 4 3 3" xfId="32438" xr:uid="{00000000-0005-0000-0000-0000BB7D0000}"/>
    <cellStyle name="Normal 428 4 4" xfId="32439" xr:uid="{00000000-0005-0000-0000-0000BC7D0000}"/>
    <cellStyle name="Normal 428 4 4 2" xfId="32440" xr:uid="{00000000-0005-0000-0000-0000BD7D0000}"/>
    <cellStyle name="Normal 428 4 4 2 2" xfId="32441" xr:uid="{00000000-0005-0000-0000-0000BE7D0000}"/>
    <cellStyle name="Normal 428 4 4 3" xfId="32442" xr:uid="{00000000-0005-0000-0000-0000BF7D0000}"/>
    <cellStyle name="Normal 428 4 5" xfId="32443" xr:uid="{00000000-0005-0000-0000-0000C07D0000}"/>
    <cellStyle name="Normal 428 4 5 2" xfId="32444" xr:uid="{00000000-0005-0000-0000-0000C17D0000}"/>
    <cellStyle name="Normal 428 4 5 2 2" xfId="32445" xr:uid="{00000000-0005-0000-0000-0000C27D0000}"/>
    <cellStyle name="Normal 428 4 5 3" xfId="32446" xr:uid="{00000000-0005-0000-0000-0000C37D0000}"/>
    <cellStyle name="Normal 428 4 6" xfId="32447" xr:uid="{00000000-0005-0000-0000-0000C47D0000}"/>
    <cellStyle name="Normal 428 5" xfId="32448" xr:uid="{00000000-0005-0000-0000-0000C57D0000}"/>
    <cellStyle name="Normal 428 5 2" xfId="32449" xr:uid="{00000000-0005-0000-0000-0000C67D0000}"/>
    <cellStyle name="Normal 428 5 2 2" xfId="32450" xr:uid="{00000000-0005-0000-0000-0000C77D0000}"/>
    <cellStyle name="Normal 428 5 3" xfId="32451" xr:uid="{00000000-0005-0000-0000-0000C87D0000}"/>
    <cellStyle name="Normal 428 6" xfId="32452" xr:uid="{00000000-0005-0000-0000-0000C97D0000}"/>
    <cellStyle name="Normal 428 6 2" xfId="32453" xr:uid="{00000000-0005-0000-0000-0000CA7D0000}"/>
    <cellStyle name="Normal 428 6 2 2" xfId="32454" xr:uid="{00000000-0005-0000-0000-0000CB7D0000}"/>
    <cellStyle name="Normal 428 6 3" xfId="32455" xr:uid="{00000000-0005-0000-0000-0000CC7D0000}"/>
    <cellStyle name="Normal 428 7" xfId="32456" xr:uid="{00000000-0005-0000-0000-0000CD7D0000}"/>
    <cellStyle name="Normal 428 7 2" xfId="32457" xr:uid="{00000000-0005-0000-0000-0000CE7D0000}"/>
    <cellStyle name="Normal 428 7 2 2" xfId="32458" xr:uid="{00000000-0005-0000-0000-0000CF7D0000}"/>
    <cellStyle name="Normal 428 7 3" xfId="32459" xr:uid="{00000000-0005-0000-0000-0000D07D0000}"/>
    <cellStyle name="Normal 428 8" xfId="32460" xr:uid="{00000000-0005-0000-0000-0000D17D0000}"/>
    <cellStyle name="Normal 428 8 2" xfId="32461" xr:uid="{00000000-0005-0000-0000-0000D27D0000}"/>
    <cellStyle name="Normal 428 8 2 2" xfId="32462" xr:uid="{00000000-0005-0000-0000-0000D37D0000}"/>
    <cellStyle name="Normal 428 8 3" xfId="32463" xr:uid="{00000000-0005-0000-0000-0000D47D0000}"/>
    <cellStyle name="Normal 428 8 3 2" xfId="32464" xr:uid="{00000000-0005-0000-0000-0000D57D0000}"/>
    <cellStyle name="Normal 428 8 4" xfId="32465" xr:uid="{00000000-0005-0000-0000-0000D67D0000}"/>
    <cellStyle name="Normal 428 9" xfId="32466" xr:uid="{00000000-0005-0000-0000-0000D77D0000}"/>
    <cellStyle name="Normal 429" xfId="32467" xr:uid="{00000000-0005-0000-0000-0000D87D0000}"/>
    <cellStyle name="Normal 429 10" xfId="32468" xr:uid="{00000000-0005-0000-0000-0000D97D0000}"/>
    <cellStyle name="Normal 429 2" xfId="32469" xr:uid="{00000000-0005-0000-0000-0000DA7D0000}"/>
    <cellStyle name="Normal 429 2 2" xfId="32470" xr:uid="{00000000-0005-0000-0000-0000DB7D0000}"/>
    <cellStyle name="Normal 429 2 2 2" xfId="32471" xr:uid="{00000000-0005-0000-0000-0000DC7D0000}"/>
    <cellStyle name="Normal 429 2 2 2 2" xfId="32472" xr:uid="{00000000-0005-0000-0000-0000DD7D0000}"/>
    <cellStyle name="Normal 429 2 2 3" xfId="32473" xr:uid="{00000000-0005-0000-0000-0000DE7D0000}"/>
    <cellStyle name="Normal 429 2 2 3 2" xfId="32474" xr:uid="{00000000-0005-0000-0000-0000DF7D0000}"/>
    <cellStyle name="Normal 429 2 2 3 2 2" xfId="32475" xr:uid="{00000000-0005-0000-0000-0000E07D0000}"/>
    <cellStyle name="Normal 429 2 2 3 3" xfId="32476" xr:uid="{00000000-0005-0000-0000-0000E17D0000}"/>
    <cellStyle name="Normal 429 2 2 4" xfId="32477" xr:uid="{00000000-0005-0000-0000-0000E27D0000}"/>
    <cellStyle name="Normal 429 2 3" xfId="32478" xr:uid="{00000000-0005-0000-0000-0000E37D0000}"/>
    <cellStyle name="Normal 429 2 3 2" xfId="32479" xr:uid="{00000000-0005-0000-0000-0000E47D0000}"/>
    <cellStyle name="Normal 429 2 3 2 2" xfId="32480" xr:uid="{00000000-0005-0000-0000-0000E57D0000}"/>
    <cellStyle name="Normal 429 2 3 3" xfId="32481" xr:uid="{00000000-0005-0000-0000-0000E67D0000}"/>
    <cellStyle name="Normal 429 2 4" xfId="32482" xr:uid="{00000000-0005-0000-0000-0000E77D0000}"/>
    <cellStyle name="Normal 429 2 4 2" xfId="32483" xr:uid="{00000000-0005-0000-0000-0000E87D0000}"/>
    <cellStyle name="Normal 429 2 4 2 2" xfId="32484" xr:uid="{00000000-0005-0000-0000-0000E97D0000}"/>
    <cellStyle name="Normal 429 2 4 3" xfId="32485" xr:uid="{00000000-0005-0000-0000-0000EA7D0000}"/>
    <cellStyle name="Normal 429 2 5" xfId="32486" xr:uid="{00000000-0005-0000-0000-0000EB7D0000}"/>
    <cellStyle name="Normal 429 2 5 2" xfId="32487" xr:uid="{00000000-0005-0000-0000-0000EC7D0000}"/>
    <cellStyle name="Normal 429 2 5 2 2" xfId="32488" xr:uid="{00000000-0005-0000-0000-0000ED7D0000}"/>
    <cellStyle name="Normal 429 2 5 3" xfId="32489" xr:uid="{00000000-0005-0000-0000-0000EE7D0000}"/>
    <cellStyle name="Normal 429 2 6" xfId="32490" xr:uid="{00000000-0005-0000-0000-0000EF7D0000}"/>
    <cellStyle name="Normal 429 3" xfId="32491" xr:uid="{00000000-0005-0000-0000-0000F07D0000}"/>
    <cellStyle name="Normal 429 3 2" xfId="32492" xr:uid="{00000000-0005-0000-0000-0000F17D0000}"/>
    <cellStyle name="Normal 429 3 2 2" xfId="32493" xr:uid="{00000000-0005-0000-0000-0000F27D0000}"/>
    <cellStyle name="Normal 429 3 3" xfId="32494" xr:uid="{00000000-0005-0000-0000-0000F37D0000}"/>
    <cellStyle name="Normal 429 3 3 2" xfId="32495" xr:uid="{00000000-0005-0000-0000-0000F47D0000}"/>
    <cellStyle name="Normal 429 3 3 2 2" xfId="32496" xr:uid="{00000000-0005-0000-0000-0000F57D0000}"/>
    <cellStyle name="Normal 429 3 3 3" xfId="32497" xr:uid="{00000000-0005-0000-0000-0000F67D0000}"/>
    <cellStyle name="Normal 429 3 4" xfId="32498" xr:uid="{00000000-0005-0000-0000-0000F77D0000}"/>
    <cellStyle name="Normal 429 3 4 2" xfId="32499" xr:uid="{00000000-0005-0000-0000-0000F87D0000}"/>
    <cellStyle name="Normal 429 3 4 2 2" xfId="32500" xr:uid="{00000000-0005-0000-0000-0000F97D0000}"/>
    <cellStyle name="Normal 429 3 4 3" xfId="32501" xr:uid="{00000000-0005-0000-0000-0000FA7D0000}"/>
    <cellStyle name="Normal 429 3 5" xfId="32502" xr:uid="{00000000-0005-0000-0000-0000FB7D0000}"/>
    <cellStyle name="Normal 429 4" xfId="32503" xr:uid="{00000000-0005-0000-0000-0000FC7D0000}"/>
    <cellStyle name="Normal 429 4 2" xfId="32504" xr:uid="{00000000-0005-0000-0000-0000FD7D0000}"/>
    <cellStyle name="Normal 429 4 2 2" xfId="32505" xr:uid="{00000000-0005-0000-0000-0000FE7D0000}"/>
    <cellStyle name="Normal 429 4 2 2 2" xfId="32506" xr:uid="{00000000-0005-0000-0000-0000FF7D0000}"/>
    <cellStyle name="Normal 429 4 2 3" xfId="32507" xr:uid="{00000000-0005-0000-0000-0000007E0000}"/>
    <cellStyle name="Normal 429 4 2 3 2" xfId="32508" xr:uid="{00000000-0005-0000-0000-0000017E0000}"/>
    <cellStyle name="Normal 429 4 2 3 2 2" xfId="32509" xr:uid="{00000000-0005-0000-0000-0000027E0000}"/>
    <cellStyle name="Normal 429 4 2 3 3" xfId="32510" xr:uid="{00000000-0005-0000-0000-0000037E0000}"/>
    <cellStyle name="Normal 429 4 2 4" xfId="32511" xr:uid="{00000000-0005-0000-0000-0000047E0000}"/>
    <cellStyle name="Normal 429 4 3" xfId="32512" xr:uid="{00000000-0005-0000-0000-0000057E0000}"/>
    <cellStyle name="Normal 429 4 3 2" xfId="32513" xr:uid="{00000000-0005-0000-0000-0000067E0000}"/>
    <cellStyle name="Normal 429 4 3 2 2" xfId="32514" xr:uid="{00000000-0005-0000-0000-0000077E0000}"/>
    <cellStyle name="Normal 429 4 3 3" xfId="32515" xr:uid="{00000000-0005-0000-0000-0000087E0000}"/>
    <cellStyle name="Normal 429 4 4" xfId="32516" xr:uid="{00000000-0005-0000-0000-0000097E0000}"/>
    <cellStyle name="Normal 429 4 4 2" xfId="32517" xr:uid="{00000000-0005-0000-0000-00000A7E0000}"/>
    <cellStyle name="Normal 429 4 4 2 2" xfId="32518" xr:uid="{00000000-0005-0000-0000-00000B7E0000}"/>
    <cellStyle name="Normal 429 4 4 3" xfId="32519" xr:uid="{00000000-0005-0000-0000-00000C7E0000}"/>
    <cellStyle name="Normal 429 4 5" xfId="32520" xr:uid="{00000000-0005-0000-0000-00000D7E0000}"/>
    <cellStyle name="Normal 429 4 5 2" xfId="32521" xr:uid="{00000000-0005-0000-0000-00000E7E0000}"/>
    <cellStyle name="Normal 429 4 5 2 2" xfId="32522" xr:uid="{00000000-0005-0000-0000-00000F7E0000}"/>
    <cellStyle name="Normal 429 4 5 3" xfId="32523" xr:uid="{00000000-0005-0000-0000-0000107E0000}"/>
    <cellStyle name="Normal 429 4 6" xfId="32524" xr:uid="{00000000-0005-0000-0000-0000117E0000}"/>
    <cellStyle name="Normal 429 5" xfId="32525" xr:uid="{00000000-0005-0000-0000-0000127E0000}"/>
    <cellStyle name="Normal 429 5 2" xfId="32526" xr:uid="{00000000-0005-0000-0000-0000137E0000}"/>
    <cellStyle name="Normal 429 5 2 2" xfId="32527" xr:uid="{00000000-0005-0000-0000-0000147E0000}"/>
    <cellStyle name="Normal 429 5 3" xfId="32528" xr:uid="{00000000-0005-0000-0000-0000157E0000}"/>
    <cellStyle name="Normal 429 6" xfId="32529" xr:uid="{00000000-0005-0000-0000-0000167E0000}"/>
    <cellStyle name="Normal 429 6 2" xfId="32530" xr:uid="{00000000-0005-0000-0000-0000177E0000}"/>
    <cellStyle name="Normal 429 6 2 2" xfId="32531" xr:uid="{00000000-0005-0000-0000-0000187E0000}"/>
    <cellStyle name="Normal 429 6 3" xfId="32532" xr:uid="{00000000-0005-0000-0000-0000197E0000}"/>
    <cellStyle name="Normal 429 7" xfId="32533" xr:uid="{00000000-0005-0000-0000-00001A7E0000}"/>
    <cellStyle name="Normal 429 7 2" xfId="32534" xr:uid="{00000000-0005-0000-0000-00001B7E0000}"/>
    <cellStyle name="Normal 429 7 2 2" xfId="32535" xr:uid="{00000000-0005-0000-0000-00001C7E0000}"/>
    <cellStyle name="Normal 429 7 3" xfId="32536" xr:uid="{00000000-0005-0000-0000-00001D7E0000}"/>
    <cellStyle name="Normal 429 8" xfId="32537" xr:uid="{00000000-0005-0000-0000-00001E7E0000}"/>
    <cellStyle name="Normal 429 8 2" xfId="32538" xr:uid="{00000000-0005-0000-0000-00001F7E0000}"/>
    <cellStyle name="Normal 429 8 2 2" xfId="32539" xr:uid="{00000000-0005-0000-0000-0000207E0000}"/>
    <cellStyle name="Normal 429 8 3" xfId="32540" xr:uid="{00000000-0005-0000-0000-0000217E0000}"/>
    <cellStyle name="Normal 429 8 3 2" xfId="32541" xr:uid="{00000000-0005-0000-0000-0000227E0000}"/>
    <cellStyle name="Normal 429 8 4" xfId="32542" xr:uid="{00000000-0005-0000-0000-0000237E0000}"/>
    <cellStyle name="Normal 429 9" xfId="32543" xr:uid="{00000000-0005-0000-0000-0000247E0000}"/>
    <cellStyle name="Normal 43" xfId="32544" xr:uid="{00000000-0005-0000-0000-0000257E0000}"/>
    <cellStyle name="Normal 43 2" xfId="32545" xr:uid="{00000000-0005-0000-0000-0000267E0000}"/>
    <cellStyle name="Normal 43 2 2" xfId="32546" xr:uid="{00000000-0005-0000-0000-0000277E0000}"/>
    <cellStyle name="Normal 43 2 2 2" xfId="32547" xr:uid="{00000000-0005-0000-0000-0000287E0000}"/>
    <cellStyle name="Normal 43 2 2 2 2" xfId="32548" xr:uid="{00000000-0005-0000-0000-0000297E0000}"/>
    <cellStyle name="Normal 43 2 2 3" xfId="32549" xr:uid="{00000000-0005-0000-0000-00002A7E0000}"/>
    <cellStyle name="Normal 43 2 2 3 2" xfId="32550" xr:uid="{00000000-0005-0000-0000-00002B7E0000}"/>
    <cellStyle name="Normal 43 2 2 3 2 2" xfId="32551" xr:uid="{00000000-0005-0000-0000-00002C7E0000}"/>
    <cellStyle name="Normal 43 2 2 3 3" xfId="32552" xr:uid="{00000000-0005-0000-0000-00002D7E0000}"/>
    <cellStyle name="Normal 43 2 2 4" xfId="32553" xr:uid="{00000000-0005-0000-0000-00002E7E0000}"/>
    <cellStyle name="Normal 43 2 2 4 2" xfId="32554" xr:uid="{00000000-0005-0000-0000-00002F7E0000}"/>
    <cellStyle name="Normal 43 2 2 4 2 2" xfId="32555" xr:uid="{00000000-0005-0000-0000-0000307E0000}"/>
    <cellStyle name="Normal 43 2 2 4 3" xfId="32556" xr:uid="{00000000-0005-0000-0000-0000317E0000}"/>
    <cellStyle name="Normal 43 2 2 5" xfId="32557" xr:uid="{00000000-0005-0000-0000-0000327E0000}"/>
    <cellStyle name="Normal 43 2 3" xfId="32558" xr:uid="{00000000-0005-0000-0000-0000337E0000}"/>
    <cellStyle name="Normal 43 2 3 2" xfId="32559" xr:uid="{00000000-0005-0000-0000-0000347E0000}"/>
    <cellStyle name="Normal 43 2 3 2 2" xfId="32560" xr:uid="{00000000-0005-0000-0000-0000357E0000}"/>
    <cellStyle name="Normal 43 2 3 3" xfId="32561" xr:uid="{00000000-0005-0000-0000-0000367E0000}"/>
    <cellStyle name="Normal 43 2 4" xfId="32562" xr:uid="{00000000-0005-0000-0000-0000377E0000}"/>
    <cellStyle name="Normal 43 2 4 2" xfId="32563" xr:uid="{00000000-0005-0000-0000-0000387E0000}"/>
    <cellStyle name="Normal 43 2 4 2 2" xfId="32564" xr:uid="{00000000-0005-0000-0000-0000397E0000}"/>
    <cellStyle name="Normal 43 2 4 3" xfId="32565" xr:uid="{00000000-0005-0000-0000-00003A7E0000}"/>
    <cellStyle name="Normal 43 2 5" xfId="32566" xr:uid="{00000000-0005-0000-0000-00003B7E0000}"/>
    <cellStyle name="Normal 43 2 5 2" xfId="32567" xr:uid="{00000000-0005-0000-0000-00003C7E0000}"/>
    <cellStyle name="Normal 43 2 5 2 2" xfId="32568" xr:uid="{00000000-0005-0000-0000-00003D7E0000}"/>
    <cellStyle name="Normal 43 2 5 3" xfId="32569" xr:uid="{00000000-0005-0000-0000-00003E7E0000}"/>
    <cellStyle name="Normal 43 2 6" xfId="32570" xr:uid="{00000000-0005-0000-0000-00003F7E0000}"/>
    <cellStyle name="Normal 43 3" xfId="32571" xr:uid="{00000000-0005-0000-0000-0000407E0000}"/>
    <cellStyle name="Normal 43 3 2" xfId="32572" xr:uid="{00000000-0005-0000-0000-0000417E0000}"/>
    <cellStyle name="Normal 43 3 2 2" xfId="32573" xr:uid="{00000000-0005-0000-0000-0000427E0000}"/>
    <cellStyle name="Normal 43 3 3" xfId="32574" xr:uid="{00000000-0005-0000-0000-0000437E0000}"/>
    <cellStyle name="Normal 43 3 3 2" xfId="32575" xr:uid="{00000000-0005-0000-0000-0000447E0000}"/>
    <cellStyle name="Normal 43 3 3 2 2" xfId="32576" xr:uid="{00000000-0005-0000-0000-0000457E0000}"/>
    <cellStyle name="Normal 43 3 3 3" xfId="32577" xr:uid="{00000000-0005-0000-0000-0000467E0000}"/>
    <cellStyle name="Normal 43 3 4" xfId="32578" xr:uid="{00000000-0005-0000-0000-0000477E0000}"/>
    <cellStyle name="Normal 43 3 4 2" xfId="32579" xr:uid="{00000000-0005-0000-0000-0000487E0000}"/>
    <cellStyle name="Normal 43 3 4 2 2" xfId="32580" xr:uid="{00000000-0005-0000-0000-0000497E0000}"/>
    <cellStyle name="Normal 43 3 4 3" xfId="32581" xr:uid="{00000000-0005-0000-0000-00004A7E0000}"/>
    <cellStyle name="Normal 43 3 5" xfId="32582" xr:uid="{00000000-0005-0000-0000-00004B7E0000}"/>
    <cellStyle name="Normal 43 4" xfId="32583" xr:uid="{00000000-0005-0000-0000-00004C7E0000}"/>
    <cellStyle name="Normal 43 4 2" xfId="32584" xr:uid="{00000000-0005-0000-0000-00004D7E0000}"/>
    <cellStyle name="Normal 43 4 2 2" xfId="32585" xr:uid="{00000000-0005-0000-0000-00004E7E0000}"/>
    <cellStyle name="Normal 43 4 3" xfId="32586" xr:uid="{00000000-0005-0000-0000-00004F7E0000}"/>
    <cellStyle name="Normal 43 5" xfId="32587" xr:uid="{00000000-0005-0000-0000-0000507E0000}"/>
    <cellStyle name="Normal 43 5 2" xfId="32588" xr:uid="{00000000-0005-0000-0000-0000517E0000}"/>
    <cellStyle name="Normal 43 5 2 2" xfId="32589" xr:uid="{00000000-0005-0000-0000-0000527E0000}"/>
    <cellStyle name="Normal 43 5 3" xfId="32590" xr:uid="{00000000-0005-0000-0000-0000537E0000}"/>
    <cellStyle name="Normal 43 6" xfId="32591" xr:uid="{00000000-0005-0000-0000-0000547E0000}"/>
    <cellStyle name="Normal 43 6 2" xfId="32592" xr:uid="{00000000-0005-0000-0000-0000557E0000}"/>
    <cellStyle name="Normal 43 6 2 2" xfId="32593" xr:uid="{00000000-0005-0000-0000-0000567E0000}"/>
    <cellStyle name="Normal 43 6 3" xfId="32594" xr:uid="{00000000-0005-0000-0000-0000577E0000}"/>
    <cellStyle name="Normal 43 7" xfId="32595" xr:uid="{00000000-0005-0000-0000-0000587E0000}"/>
    <cellStyle name="Normal 430" xfId="32596" xr:uid="{00000000-0005-0000-0000-0000597E0000}"/>
    <cellStyle name="Normal 430 10" xfId="32597" xr:uid="{00000000-0005-0000-0000-00005A7E0000}"/>
    <cellStyle name="Normal 430 2" xfId="32598" xr:uid="{00000000-0005-0000-0000-00005B7E0000}"/>
    <cellStyle name="Normal 430 2 2" xfId="32599" xr:uid="{00000000-0005-0000-0000-00005C7E0000}"/>
    <cellStyle name="Normal 430 2 2 2" xfId="32600" xr:uid="{00000000-0005-0000-0000-00005D7E0000}"/>
    <cellStyle name="Normal 430 2 2 2 2" xfId="32601" xr:uid="{00000000-0005-0000-0000-00005E7E0000}"/>
    <cellStyle name="Normal 430 2 2 3" xfId="32602" xr:uid="{00000000-0005-0000-0000-00005F7E0000}"/>
    <cellStyle name="Normal 430 2 2 3 2" xfId="32603" xr:uid="{00000000-0005-0000-0000-0000607E0000}"/>
    <cellStyle name="Normal 430 2 2 3 2 2" xfId="32604" xr:uid="{00000000-0005-0000-0000-0000617E0000}"/>
    <cellStyle name="Normal 430 2 2 3 3" xfId="32605" xr:uid="{00000000-0005-0000-0000-0000627E0000}"/>
    <cellStyle name="Normal 430 2 2 4" xfId="32606" xr:uid="{00000000-0005-0000-0000-0000637E0000}"/>
    <cellStyle name="Normal 430 2 3" xfId="32607" xr:uid="{00000000-0005-0000-0000-0000647E0000}"/>
    <cellStyle name="Normal 430 2 3 2" xfId="32608" xr:uid="{00000000-0005-0000-0000-0000657E0000}"/>
    <cellStyle name="Normal 430 2 3 2 2" xfId="32609" xr:uid="{00000000-0005-0000-0000-0000667E0000}"/>
    <cellStyle name="Normal 430 2 3 3" xfId="32610" xr:uid="{00000000-0005-0000-0000-0000677E0000}"/>
    <cellStyle name="Normal 430 2 4" xfId="32611" xr:uid="{00000000-0005-0000-0000-0000687E0000}"/>
    <cellStyle name="Normal 430 2 4 2" xfId="32612" xr:uid="{00000000-0005-0000-0000-0000697E0000}"/>
    <cellStyle name="Normal 430 2 4 2 2" xfId="32613" xr:uid="{00000000-0005-0000-0000-00006A7E0000}"/>
    <cellStyle name="Normal 430 2 4 3" xfId="32614" xr:uid="{00000000-0005-0000-0000-00006B7E0000}"/>
    <cellStyle name="Normal 430 2 5" xfId="32615" xr:uid="{00000000-0005-0000-0000-00006C7E0000}"/>
    <cellStyle name="Normal 430 2 5 2" xfId="32616" xr:uid="{00000000-0005-0000-0000-00006D7E0000}"/>
    <cellStyle name="Normal 430 2 5 2 2" xfId="32617" xr:uid="{00000000-0005-0000-0000-00006E7E0000}"/>
    <cellStyle name="Normal 430 2 5 3" xfId="32618" xr:uid="{00000000-0005-0000-0000-00006F7E0000}"/>
    <cellStyle name="Normal 430 2 6" xfId="32619" xr:uid="{00000000-0005-0000-0000-0000707E0000}"/>
    <cellStyle name="Normal 430 3" xfId="32620" xr:uid="{00000000-0005-0000-0000-0000717E0000}"/>
    <cellStyle name="Normal 430 3 2" xfId="32621" xr:uid="{00000000-0005-0000-0000-0000727E0000}"/>
    <cellStyle name="Normal 430 3 2 2" xfId="32622" xr:uid="{00000000-0005-0000-0000-0000737E0000}"/>
    <cellStyle name="Normal 430 3 3" xfId="32623" xr:uid="{00000000-0005-0000-0000-0000747E0000}"/>
    <cellStyle name="Normal 430 3 3 2" xfId="32624" xr:uid="{00000000-0005-0000-0000-0000757E0000}"/>
    <cellStyle name="Normal 430 3 3 2 2" xfId="32625" xr:uid="{00000000-0005-0000-0000-0000767E0000}"/>
    <cellStyle name="Normal 430 3 3 3" xfId="32626" xr:uid="{00000000-0005-0000-0000-0000777E0000}"/>
    <cellStyle name="Normal 430 3 4" xfId="32627" xr:uid="{00000000-0005-0000-0000-0000787E0000}"/>
    <cellStyle name="Normal 430 3 4 2" xfId="32628" xr:uid="{00000000-0005-0000-0000-0000797E0000}"/>
    <cellStyle name="Normal 430 3 4 2 2" xfId="32629" xr:uid="{00000000-0005-0000-0000-00007A7E0000}"/>
    <cellStyle name="Normal 430 3 4 3" xfId="32630" xr:uid="{00000000-0005-0000-0000-00007B7E0000}"/>
    <cellStyle name="Normal 430 3 5" xfId="32631" xr:uid="{00000000-0005-0000-0000-00007C7E0000}"/>
    <cellStyle name="Normal 430 4" xfId="32632" xr:uid="{00000000-0005-0000-0000-00007D7E0000}"/>
    <cellStyle name="Normal 430 4 2" xfId="32633" xr:uid="{00000000-0005-0000-0000-00007E7E0000}"/>
    <cellStyle name="Normal 430 4 2 2" xfId="32634" xr:uid="{00000000-0005-0000-0000-00007F7E0000}"/>
    <cellStyle name="Normal 430 4 2 2 2" xfId="32635" xr:uid="{00000000-0005-0000-0000-0000807E0000}"/>
    <cellStyle name="Normal 430 4 2 3" xfId="32636" xr:uid="{00000000-0005-0000-0000-0000817E0000}"/>
    <cellStyle name="Normal 430 4 2 3 2" xfId="32637" xr:uid="{00000000-0005-0000-0000-0000827E0000}"/>
    <cellStyle name="Normal 430 4 2 3 2 2" xfId="32638" xr:uid="{00000000-0005-0000-0000-0000837E0000}"/>
    <cellStyle name="Normal 430 4 2 3 3" xfId="32639" xr:uid="{00000000-0005-0000-0000-0000847E0000}"/>
    <cellStyle name="Normal 430 4 2 4" xfId="32640" xr:uid="{00000000-0005-0000-0000-0000857E0000}"/>
    <cellStyle name="Normal 430 4 3" xfId="32641" xr:uid="{00000000-0005-0000-0000-0000867E0000}"/>
    <cellStyle name="Normal 430 4 3 2" xfId="32642" xr:uid="{00000000-0005-0000-0000-0000877E0000}"/>
    <cellStyle name="Normal 430 4 3 2 2" xfId="32643" xr:uid="{00000000-0005-0000-0000-0000887E0000}"/>
    <cellStyle name="Normal 430 4 3 3" xfId="32644" xr:uid="{00000000-0005-0000-0000-0000897E0000}"/>
    <cellStyle name="Normal 430 4 4" xfId="32645" xr:uid="{00000000-0005-0000-0000-00008A7E0000}"/>
    <cellStyle name="Normal 430 4 4 2" xfId="32646" xr:uid="{00000000-0005-0000-0000-00008B7E0000}"/>
    <cellStyle name="Normal 430 4 4 2 2" xfId="32647" xr:uid="{00000000-0005-0000-0000-00008C7E0000}"/>
    <cellStyle name="Normal 430 4 4 3" xfId="32648" xr:uid="{00000000-0005-0000-0000-00008D7E0000}"/>
    <cellStyle name="Normal 430 4 5" xfId="32649" xr:uid="{00000000-0005-0000-0000-00008E7E0000}"/>
    <cellStyle name="Normal 430 4 5 2" xfId="32650" xr:uid="{00000000-0005-0000-0000-00008F7E0000}"/>
    <cellStyle name="Normal 430 4 5 2 2" xfId="32651" xr:uid="{00000000-0005-0000-0000-0000907E0000}"/>
    <cellStyle name="Normal 430 4 5 3" xfId="32652" xr:uid="{00000000-0005-0000-0000-0000917E0000}"/>
    <cellStyle name="Normal 430 4 6" xfId="32653" xr:uid="{00000000-0005-0000-0000-0000927E0000}"/>
    <cellStyle name="Normal 430 5" xfId="32654" xr:uid="{00000000-0005-0000-0000-0000937E0000}"/>
    <cellStyle name="Normal 430 5 2" xfId="32655" xr:uid="{00000000-0005-0000-0000-0000947E0000}"/>
    <cellStyle name="Normal 430 5 2 2" xfId="32656" xr:uid="{00000000-0005-0000-0000-0000957E0000}"/>
    <cellStyle name="Normal 430 5 3" xfId="32657" xr:uid="{00000000-0005-0000-0000-0000967E0000}"/>
    <cellStyle name="Normal 430 6" xfId="32658" xr:uid="{00000000-0005-0000-0000-0000977E0000}"/>
    <cellStyle name="Normal 430 6 2" xfId="32659" xr:uid="{00000000-0005-0000-0000-0000987E0000}"/>
    <cellStyle name="Normal 430 6 2 2" xfId="32660" xr:uid="{00000000-0005-0000-0000-0000997E0000}"/>
    <cellStyle name="Normal 430 6 3" xfId="32661" xr:uid="{00000000-0005-0000-0000-00009A7E0000}"/>
    <cellStyle name="Normal 430 7" xfId="32662" xr:uid="{00000000-0005-0000-0000-00009B7E0000}"/>
    <cellStyle name="Normal 430 7 2" xfId="32663" xr:uid="{00000000-0005-0000-0000-00009C7E0000}"/>
    <cellStyle name="Normal 430 7 2 2" xfId="32664" xr:uid="{00000000-0005-0000-0000-00009D7E0000}"/>
    <cellStyle name="Normal 430 7 3" xfId="32665" xr:uid="{00000000-0005-0000-0000-00009E7E0000}"/>
    <cellStyle name="Normal 430 8" xfId="32666" xr:uid="{00000000-0005-0000-0000-00009F7E0000}"/>
    <cellStyle name="Normal 430 8 2" xfId="32667" xr:uid="{00000000-0005-0000-0000-0000A07E0000}"/>
    <cellStyle name="Normal 430 8 2 2" xfId="32668" xr:uid="{00000000-0005-0000-0000-0000A17E0000}"/>
    <cellStyle name="Normal 430 8 3" xfId="32669" xr:uid="{00000000-0005-0000-0000-0000A27E0000}"/>
    <cellStyle name="Normal 430 8 3 2" xfId="32670" xr:uid="{00000000-0005-0000-0000-0000A37E0000}"/>
    <cellStyle name="Normal 430 8 4" xfId="32671" xr:uid="{00000000-0005-0000-0000-0000A47E0000}"/>
    <cellStyle name="Normal 430 9" xfId="32672" xr:uid="{00000000-0005-0000-0000-0000A57E0000}"/>
    <cellStyle name="Normal 431" xfId="32673" xr:uid="{00000000-0005-0000-0000-0000A67E0000}"/>
    <cellStyle name="Normal 431 10" xfId="32674" xr:uid="{00000000-0005-0000-0000-0000A77E0000}"/>
    <cellStyle name="Normal 431 2" xfId="32675" xr:uid="{00000000-0005-0000-0000-0000A87E0000}"/>
    <cellStyle name="Normal 431 2 2" xfId="32676" xr:uid="{00000000-0005-0000-0000-0000A97E0000}"/>
    <cellStyle name="Normal 431 2 2 2" xfId="32677" xr:uid="{00000000-0005-0000-0000-0000AA7E0000}"/>
    <cellStyle name="Normal 431 2 2 2 2" xfId="32678" xr:uid="{00000000-0005-0000-0000-0000AB7E0000}"/>
    <cellStyle name="Normal 431 2 2 3" xfId="32679" xr:uid="{00000000-0005-0000-0000-0000AC7E0000}"/>
    <cellStyle name="Normal 431 2 2 3 2" xfId="32680" xr:uid="{00000000-0005-0000-0000-0000AD7E0000}"/>
    <cellStyle name="Normal 431 2 2 3 2 2" xfId="32681" xr:uid="{00000000-0005-0000-0000-0000AE7E0000}"/>
    <cellStyle name="Normal 431 2 2 3 3" xfId="32682" xr:uid="{00000000-0005-0000-0000-0000AF7E0000}"/>
    <cellStyle name="Normal 431 2 2 4" xfId="32683" xr:uid="{00000000-0005-0000-0000-0000B07E0000}"/>
    <cellStyle name="Normal 431 2 3" xfId="32684" xr:uid="{00000000-0005-0000-0000-0000B17E0000}"/>
    <cellStyle name="Normal 431 2 3 2" xfId="32685" xr:uid="{00000000-0005-0000-0000-0000B27E0000}"/>
    <cellStyle name="Normal 431 2 3 2 2" xfId="32686" xr:uid="{00000000-0005-0000-0000-0000B37E0000}"/>
    <cellStyle name="Normal 431 2 3 3" xfId="32687" xr:uid="{00000000-0005-0000-0000-0000B47E0000}"/>
    <cellStyle name="Normal 431 2 4" xfId="32688" xr:uid="{00000000-0005-0000-0000-0000B57E0000}"/>
    <cellStyle name="Normal 431 2 4 2" xfId="32689" xr:uid="{00000000-0005-0000-0000-0000B67E0000}"/>
    <cellStyle name="Normal 431 2 4 2 2" xfId="32690" xr:uid="{00000000-0005-0000-0000-0000B77E0000}"/>
    <cellStyle name="Normal 431 2 4 3" xfId="32691" xr:uid="{00000000-0005-0000-0000-0000B87E0000}"/>
    <cellStyle name="Normal 431 2 5" xfId="32692" xr:uid="{00000000-0005-0000-0000-0000B97E0000}"/>
    <cellStyle name="Normal 431 2 5 2" xfId="32693" xr:uid="{00000000-0005-0000-0000-0000BA7E0000}"/>
    <cellStyle name="Normal 431 2 5 2 2" xfId="32694" xr:uid="{00000000-0005-0000-0000-0000BB7E0000}"/>
    <cellStyle name="Normal 431 2 5 3" xfId="32695" xr:uid="{00000000-0005-0000-0000-0000BC7E0000}"/>
    <cellStyle name="Normal 431 2 6" xfId="32696" xr:uid="{00000000-0005-0000-0000-0000BD7E0000}"/>
    <cellStyle name="Normal 431 3" xfId="32697" xr:uid="{00000000-0005-0000-0000-0000BE7E0000}"/>
    <cellStyle name="Normal 431 3 2" xfId="32698" xr:uid="{00000000-0005-0000-0000-0000BF7E0000}"/>
    <cellStyle name="Normal 431 3 2 2" xfId="32699" xr:uid="{00000000-0005-0000-0000-0000C07E0000}"/>
    <cellStyle name="Normal 431 3 3" xfId="32700" xr:uid="{00000000-0005-0000-0000-0000C17E0000}"/>
    <cellStyle name="Normal 431 3 3 2" xfId="32701" xr:uid="{00000000-0005-0000-0000-0000C27E0000}"/>
    <cellStyle name="Normal 431 3 3 2 2" xfId="32702" xr:uid="{00000000-0005-0000-0000-0000C37E0000}"/>
    <cellStyle name="Normal 431 3 3 3" xfId="32703" xr:uid="{00000000-0005-0000-0000-0000C47E0000}"/>
    <cellStyle name="Normal 431 3 4" xfId="32704" xr:uid="{00000000-0005-0000-0000-0000C57E0000}"/>
    <cellStyle name="Normal 431 3 4 2" xfId="32705" xr:uid="{00000000-0005-0000-0000-0000C67E0000}"/>
    <cellStyle name="Normal 431 3 4 2 2" xfId="32706" xr:uid="{00000000-0005-0000-0000-0000C77E0000}"/>
    <cellStyle name="Normal 431 3 4 3" xfId="32707" xr:uid="{00000000-0005-0000-0000-0000C87E0000}"/>
    <cellStyle name="Normal 431 3 5" xfId="32708" xr:uid="{00000000-0005-0000-0000-0000C97E0000}"/>
    <cellStyle name="Normal 431 4" xfId="32709" xr:uid="{00000000-0005-0000-0000-0000CA7E0000}"/>
    <cellStyle name="Normal 431 4 2" xfId="32710" xr:uid="{00000000-0005-0000-0000-0000CB7E0000}"/>
    <cellStyle name="Normal 431 4 2 2" xfId="32711" xr:uid="{00000000-0005-0000-0000-0000CC7E0000}"/>
    <cellStyle name="Normal 431 4 2 2 2" xfId="32712" xr:uid="{00000000-0005-0000-0000-0000CD7E0000}"/>
    <cellStyle name="Normal 431 4 2 3" xfId="32713" xr:uid="{00000000-0005-0000-0000-0000CE7E0000}"/>
    <cellStyle name="Normal 431 4 2 3 2" xfId="32714" xr:uid="{00000000-0005-0000-0000-0000CF7E0000}"/>
    <cellStyle name="Normal 431 4 2 3 2 2" xfId="32715" xr:uid="{00000000-0005-0000-0000-0000D07E0000}"/>
    <cellStyle name="Normal 431 4 2 3 3" xfId="32716" xr:uid="{00000000-0005-0000-0000-0000D17E0000}"/>
    <cellStyle name="Normal 431 4 2 4" xfId="32717" xr:uid="{00000000-0005-0000-0000-0000D27E0000}"/>
    <cellStyle name="Normal 431 4 3" xfId="32718" xr:uid="{00000000-0005-0000-0000-0000D37E0000}"/>
    <cellStyle name="Normal 431 4 3 2" xfId="32719" xr:uid="{00000000-0005-0000-0000-0000D47E0000}"/>
    <cellStyle name="Normal 431 4 3 2 2" xfId="32720" xr:uid="{00000000-0005-0000-0000-0000D57E0000}"/>
    <cellStyle name="Normal 431 4 3 3" xfId="32721" xr:uid="{00000000-0005-0000-0000-0000D67E0000}"/>
    <cellStyle name="Normal 431 4 4" xfId="32722" xr:uid="{00000000-0005-0000-0000-0000D77E0000}"/>
    <cellStyle name="Normal 431 4 4 2" xfId="32723" xr:uid="{00000000-0005-0000-0000-0000D87E0000}"/>
    <cellStyle name="Normal 431 4 4 2 2" xfId="32724" xr:uid="{00000000-0005-0000-0000-0000D97E0000}"/>
    <cellStyle name="Normal 431 4 4 3" xfId="32725" xr:uid="{00000000-0005-0000-0000-0000DA7E0000}"/>
    <cellStyle name="Normal 431 4 5" xfId="32726" xr:uid="{00000000-0005-0000-0000-0000DB7E0000}"/>
    <cellStyle name="Normal 431 4 5 2" xfId="32727" xr:uid="{00000000-0005-0000-0000-0000DC7E0000}"/>
    <cellStyle name="Normal 431 4 5 2 2" xfId="32728" xr:uid="{00000000-0005-0000-0000-0000DD7E0000}"/>
    <cellStyle name="Normal 431 4 5 3" xfId="32729" xr:uid="{00000000-0005-0000-0000-0000DE7E0000}"/>
    <cellStyle name="Normal 431 4 6" xfId="32730" xr:uid="{00000000-0005-0000-0000-0000DF7E0000}"/>
    <cellStyle name="Normal 431 5" xfId="32731" xr:uid="{00000000-0005-0000-0000-0000E07E0000}"/>
    <cellStyle name="Normal 431 5 2" xfId="32732" xr:uid="{00000000-0005-0000-0000-0000E17E0000}"/>
    <cellStyle name="Normal 431 5 2 2" xfId="32733" xr:uid="{00000000-0005-0000-0000-0000E27E0000}"/>
    <cellStyle name="Normal 431 5 3" xfId="32734" xr:uid="{00000000-0005-0000-0000-0000E37E0000}"/>
    <cellStyle name="Normal 431 6" xfId="32735" xr:uid="{00000000-0005-0000-0000-0000E47E0000}"/>
    <cellStyle name="Normal 431 6 2" xfId="32736" xr:uid="{00000000-0005-0000-0000-0000E57E0000}"/>
    <cellStyle name="Normal 431 6 2 2" xfId="32737" xr:uid="{00000000-0005-0000-0000-0000E67E0000}"/>
    <cellStyle name="Normal 431 6 3" xfId="32738" xr:uid="{00000000-0005-0000-0000-0000E77E0000}"/>
    <cellStyle name="Normal 431 7" xfId="32739" xr:uid="{00000000-0005-0000-0000-0000E87E0000}"/>
    <cellStyle name="Normal 431 7 2" xfId="32740" xr:uid="{00000000-0005-0000-0000-0000E97E0000}"/>
    <cellStyle name="Normal 431 7 2 2" xfId="32741" xr:uid="{00000000-0005-0000-0000-0000EA7E0000}"/>
    <cellStyle name="Normal 431 7 3" xfId="32742" xr:uid="{00000000-0005-0000-0000-0000EB7E0000}"/>
    <cellStyle name="Normal 431 8" xfId="32743" xr:uid="{00000000-0005-0000-0000-0000EC7E0000}"/>
    <cellStyle name="Normal 431 8 2" xfId="32744" xr:uid="{00000000-0005-0000-0000-0000ED7E0000}"/>
    <cellStyle name="Normal 431 8 2 2" xfId="32745" xr:uid="{00000000-0005-0000-0000-0000EE7E0000}"/>
    <cellStyle name="Normal 431 8 3" xfId="32746" xr:uid="{00000000-0005-0000-0000-0000EF7E0000}"/>
    <cellStyle name="Normal 431 8 3 2" xfId="32747" xr:uid="{00000000-0005-0000-0000-0000F07E0000}"/>
    <cellStyle name="Normal 431 8 4" xfId="32748" xr:uid="{00000000-0005-0000-0000-0000F17E0000}"/>
    <cellStyle name="Normal 431 9" xfId="32749" xr:uid="{00000000-0005-0000-0000-0000F27E0000}"/>
    <cellStyle name="Normal 432" xfId="32750" xr:uid="{00000000-0005-0000-0000-0000F37E0000}"/>
    <cellStyle name="Normal 432 10" xfId="32751" xr:uid="{00000000-0005-0000-0000-0000F47E0000}"/>
    <cellStyle name="Normal 432 2" xfId="32752" xr:uid="{00000000-0005-0000-0000-0000F57E0000}"/>
    <cellStyle name="Normal 432 2 2" xfId="32753" xr:uid="{00000000-0005-0000-0000-0000F67E0000}"/>
    <cellStyle name="Normal 432 2 2 2" xfId="32754" xr:uid="{00000000-0005-0000-0000-0000F77E0000}"/>
    <cellStyle name="Normal 432 2 2 2 2" xfId="32755" xr:uid="{00000000-0005-0000-0000-0000F87E0000}"/>
    <cellStyle name="Normal 432 2 2 3" xfId="32756" xr:uid="{00000000-0005-0000-0000-0000F97E0000}"/>
    <cellStyle name="Normal 432 2 2 3 2" xfId="32757" xr:uid="{00000000-0005-0000-0000-0000FA7E0000}"/>
    <cellStyle name="Normal 432 2 2 3 2 2" xfId="32758" xr:uid="{00000000-0005-0000-0000-0000FB7E0000}"/>
    <cellStyle name="Normal 432 2 2 3 3" xfId="32759" xr:uid="{00000000-0005-0000-0000-0000FC7E0000}"/>
    <cellStyle name="Normal 432 2 2 4" xfId="32760" xr:uid="{00000000-0005-0000-0000-0000FD7E0000}"/>
    <cellStyle name="Normal 432 2 3" xfId="32761" xr:uid="{00000000-0005-0000-0000-0000FE7E0000}"/>
    <cellStyle name="Normal 432 2 3 2" xfId="32762" xr:uid="{00000000-0005-0000-0000-0000FF7E0000}"/>
    <cellStyle name="Normal 432 2 3 2 2" xfId="32763" xr:uid="{00000000-0005-0000-0000-0000007F0000}"/>
    <cellStyle name="Normal 432 2 3 3" xfId="32764" xr:uid="{00000000-0005-0000-0000-0000017F0000}"/>
    <cellStyle name="Normal 432 2 4" xfId="32765" xr:uid="{00000000-0005-0000-0000-0000027F0000}"/>
    <cellStyle name="Normal 432 2 4 2" xfId="32766" xr:uid="{00000000-0005-0000-0000-0000037F0000}"/>
    <cellStyle name="Normal 432 2 4 2 2" xfId="32767" xr:uid="{00000000-0005-0000-0000-0000047F0000}"/>
    <cellStyle name="Normal 432 2 4 3" xfId="32768" xr:uid="{00000000-0005-0000-0000-0000057F0000}"/>
    <cellStyle name="Normal 432 2 5" xfId="32769" xr:uid="{00000000-0005-0000-0000-0000067F0000}"/>
    <cellStyle name="Normal 432 2 5 2" xfId="32770" xr:uid="{00000000-0005-0000-0000-0000077F0000}"/>
    <cellStyle name="Normal 432 2 5 2 2" xfId="32771" xr:uid="{00000000-0005-0000-0000-0000087F0000}"/>
    <cellStyle name="Normal 432 2 5 3" xfId="32772" xr:uid="{00000000-0005-0000-0000-0000097F0000}"/>
    <cellStyle name="Normal 432 2 6" xfId="32773" xr:uid="{00000000-0005-0000-0000-00000A7F0000}"/>
    <cellStyle name="Normal 432 3" xfId="32774" xr:uid="{00000000-0005-0000-0000-00000B7F0000}"/>
    <cellStyle name="Normal 432 3 2" xfId="32775" xr:uid="{00000000-0005-0000-0000-00000C7F0000}"/>
    <cellStyle name="Normal 432 3 2 2" xfId="32776" xr:uid="{00000000-0005-0000-0000-00000D7F0000}"/>
    <cellStyle name="Normal 432 3 3" xfId="32777" xr:uid="{00000000-0005-0000-0000-00000E7F0000}"/>
    <cellStyle name="Normal 432 3 3 2" xfId="32778" xr:uid="{00000000-0005-0000-0000-00000F7F0000}"/>
    <cellStyle name="Normal 432 3 3 2 2" xfId="32779" xr:uid="{00000000-0005-0000-0000-0000107F0000}"/>
    <cellStyle name="Normal 432 3 3 3" xfId="32780" xr:uid="{00000000-0005-0000-0000-0000117F0000}"/>
    <cellStyle name="Normal 432 3 4" xfId="32781" xr:uid="{00000000-0005-0000-0000-0000127F0000}"/>
    <cellStyle name="Normal 432 3 4 2" xfId="32782" xr:uid="{00000000-0005-0000-0000-0000137F0000}"/>
    <cellStyle name="Normal 432 3 4 2 2" xfId="32783" xr:uid="{00000000-0005-0000-0000-0000147F0000}"/>
    <cellStyle name="Normal 432 3 4 3" xfId="32784" xr:uid="{00000000-0005-0000-0000-0000157F0000}"/>
    <cellStyle name="Normal 432 3 5" xfId="32785" xr:uid="{00000000-0005-0000-0000-0000167F0000}"/>
    <cellStyle name="Normal 432 4" xfId="32786" xr:uid="{00000000-0005-0000-0000-0000177F0000}"/>
    <cellStyle name="Normal 432 4 2" xfId="32787" xr:uid="{00000000-0005-0000-0000-0000187F0000}"/>
    <cellStyle name="Normal 432 4 2 2" xfId="32788" xr:uid="{00000000-0005-0000-0000-0000197F0000}"/>
    <cellStyle name="Normal 432 4 2 2 2" xfId="32789" xr:uid="{00000000-0005-0000-0000-00001A7F0000}"/>
    <cellStyle name="Normal 432 4 2 3" xfId="32790" xr:uid="{00000000-0005-0000-0000-00001B7F0000}"/>
    <cellStyle name="Normal 432 4 2 3 2" xfId="32791" xr:uid="{00000000-0005-0000-0000-00001C7F0000}"/>
    <cellStyle name="Normal 432 4 2 3 2 2" xfId="32792" xr:uid="{00000000-0005-0000-0000-00001D7F0000}"/>
    <cellStyle name="Normal 432 4 2 3 3" xfId="32793" xr:uid="{00000000-0005-0000-0000-00001E7F0000}"/>
    <cellStyle name="Normal 432 4 2 4" xfId="32794" xr:uid="{00000000-0005-0000-0000-00001F7F0000}"/>
    <cellStyle name="Normal 432 4 3" xfId="32795" xr:uid="{00000000-0005-0000-0000-0000207F0000}"/>
    <cellStyle name="Normal 432 4 3 2" xfId="32796" xr:uid="{00000000-0005-0000-0000-0000217F0000}"/>
    <cellStyle name="Normal 432 4 3 2 2" xfId="32797" xr:uid="{00000000-0005-0000-0000-0000227F0000}"/>
    <cellStyle name="Normal 432 4 3 3" xfId="32798" xr:uid="{00000000-0005-0000-0000-0000237F0000}"/>
    <cellStyle name="Normal 432 4 4" xfId="32799" xr:uid="{00000000-0005-0000-0000-0000247F0000}"/>
    <cellStyle name="Normal 432 4 4 2" xfId="32800" xr:uid="{00000000-0005-0000-0000-0000257F0000}"/>
    <cellStyle name="Normal 432 4 4 2 2" xfId="32801" xr:uid="{00000000-0005-0000-0000-0000267F0000}"/>
    <cellStyle name="Normal 432 4 4 3" xfId="32802" xr:uid="{00000000-0005-0000-0000-0000277F0000}"/>
    <cellStyle name="Normal 432 4 5" xfId="32803" xr:uid="{00000000-0005-0000-0000-0000287F0000}"/>
    <cellStyle name="Normal 432 4 5 2" xfId="32804" xr:uid="{00000000-0005-0000-0000-0000297F0000}"/>
    <cellStyle name="Normal 432 4 5 2 2" xfId="32805" xr:uid="{00000000-0005-0000-0000-00002A7F0000}"/>
    <cellStyle name="Normal 432 4 5 3" xfId="32806" xr:uid="{00000000-0005-0000-0000-00002B7F0000}"/>
    <cellStyle name="Normal 432 4 6" xfId="32807" xr:uid="{00000000-0005-0000-0000-00002C7F0000}"/>
    <cellStyle name="Normal 432 5" xfId="32808" xr:uid="{00000000-0005-0000-0000-00002D7F0000}"/>
    <cellStyle name="Normal 432 5 2" xfId="32809" xr:uid="{00000000-0005-0000-0000-00002E7F0000}"/>
    <cellStyle name="Normal 432 5 2 2" xfId="32810" xr:uid="{00000000-0005-0000-0000-00002F7F0000}"/>
    <cellStyle name="Normal 432 5 3" xfId="32811" xr:uid="{00000000-0005-0000-0000-0000307F0000}"/>
    <cellStyle name="Normal 432 6" xfId="32812" xr:uid="{00000000-0005-0000-0000-0000317F0000}"/>
    <cellStyle name="Normal 432 6 2" xfId="32813" xr:uid="{00000000-0005-0000-0000-0000327F0000}"/>
    <cellStyle name="Normal 432 6 2 2" xfId="32814" xr:uid="{00000000-0005-0000-0000-0000337F0000}"/>
    <cellStyle name="Normal 432 6 3" xfId="32815" xr:uid="{00000000-0005-0000-0000-0000347F0000}"/>
    <cellStyle name="Normal 432 7" xfId="32816" xr:uid="{00000000-0005-0000-0000-0000357F0000}"/>
    <cellStyle name="Normal 432 7 2" xfId="32817" xr:uid="{00000000-0005-0000-0000-0000367F0000}"/>
    <cellStyle name="Normal 432 7 2 2" xfId="32818" xr:uid="{00000000-0005-0000-0000-0000377F0000}"/>
    <cellStyle name="Normal 432 7 3" xfId="32819" xr:uid="{00000000-0005-0000-0000-0000387F0000}"/>
    <cellStyle name="Normal 432 8" xfId="32820" xr:uid="{00000000-0005-0000-0000-0000397F0000}"/>
    <cellStyle name="Normal 432 8 2" xfId="32821" xr:uid="{00000000-0005-0000-0000-00003A7F0000}"/>
    <cellStyle name="Normal 432 8 2 2" xfId="32822" xr:uid="{00000000-0005-0000-0000-00003B7F0000}"/>
    <cellStyle name="Normal 432 8 3" xfId="32823" xr:uid="{00000000-0005-0000-0000-00003C7F0000}"/>
    <cellStyle name="Normal 432 8 3 2" xfId="32824" xr:uid="{00000000-0005-0000-0000-00003D7F0000}"/>
    <cellStyle name="Normal 432 8 4" xfId="32825" xr:uid="{00000000-0005-0000-0000-00003E7F0000}"/>
    <cellStyle name="Normal 432 9" xfId="32826" xr:uid="{00000000-0005-0000-0000-00003F7F0000}"/>
    <cellStyle name="Normal 433" xfId="32827" xr:uid="{00000000-0005-0000-0000-0000407F0000}"/>
    <cellStyle name="Normal 433 10" xfId="32828" xr:uid="{00000000-0005-0000-0000-0000417F0000}"/>
    <cellStyle name="Normal 433 2" xfId="32829" xr:uid="{00000000-0005-0000-0000-0000427F0000}"/>
    <cellStyle name="Normal 433 2 2" xfId="32830" xr:uid="{00000000-0005-0000-0000-0000437F0000}"/>
    <cellStyle name="Normal 433 2 2 2" xfId="32831" xr:uid="{00000000-0005-0000-0000-0000447F0000}"/>
    <cellStyle name="Normal 433 2 2 2 2" xfId="32832" xr:uid="{00000000-0005-0000-0000-0000457F0000}"/>
    <cellStyle name="Normal 433 2 2 3" xfId="32833" xr:uid="{00000000-0005-0000-0000-0000467F0000}"/>
    <cellStyle name="Normal 433 2 2 3 2" xfId="32834" xr:uid="{00000000-0005-0000-0000-0000477F0000}"/>
    <cellStyle name="Normal 433 2 2 3 2 2" xfId="32835" xr:uid="{00000000-0005-0000-0000-0000487F0000}"/>
    <cellStyle name="Normal 433 2 2 3 3" xfId="32836" xr:uid="{00000000-0005-0000-0000-0000497F0000}"/>
    <cellStyle name="Normal 433 2 2 4" xfId="32837" xr:uid="{00000000-0005-0000-0000-00004A7F0000}"/>
    <cellStyle name="Normal 433 2 3" xfId="32838" xr:uid="{00000000-0005-0000-0000-00004B7F0000}"/>
    <cellStyle name="Normal 433 2 3 2" xfId="32839" xr:uid="{00000000-0005-0000-0000-00004C7F0000}"/>
    <cellStyle name="Normal 433 2 3 2 2" xfId="32840" xr:uid="{00000000-0005-0000-0000-00004D7F0000}"/>
    <cellStyle name="Normal 433 2 3 3" xfId="32841" xr:uid="{00000000-0005-0000-0000-00004E7F0000}"/>
    <cellStyle name="Normal 433 2 4" xfId="32842" xr:uid="{00000000-0005-0000-0000-00004F7F0000}"/>
    <cellStyle name="Normal 433 2 4 2" xfId="32843" xr:uid="{00000000-0005-0000-0000-0000507F0000}"/>
    <cellStyle name="Normal 433 2 4 2 2" xfId="32844" xr:uid="{00000000-0005-0000-0000-0000517F0000}"/>
    <cellStyle name="Normal 433 2 4 3" xfId="32845" xr:uid="{00000000-0005-0000-0000-0000527F0000}"/>
    <cellStyle name="Normal 433 2 5" xfId="32846" xr:uid="{00000000-0005-0000-0000-0000537F0000}"/>
    <cellStyle name="Normal 433 2 5 2" xfId="32847" xr:uid="{00000000-0005-0000-0000-0000547F0000}"/>
    <cellStyle name="Normal 433 2 5 2 2" xfId="32848" xr:uid="{00000000-0005-0000-0000-0000557F0000}"/>
    <cellStyle name="Normal 433 2 5 3" xfId="32849" xr:uid="{00000000-0005-0000-0000-0000567F0000}"/>
    <cellStyle name="Normal 433 2 6" xfId="32850" xr:uid="{00000000-0005-0000-0000-0000577F0000}"/>
    <cellStyle name="Normal 433 3" xfId="32851" xr:uid="{00000000-0005-0000-0000-0000587F0000}"/>
    <cellStyle name="Normal 433 3 2" xfId="32852" xr:uid="{00000000-0005-0000-0000-0000597F0000}"/>
    <cellStyle name="Normal 433 3 2 2" xfId="32853" xr:uid="{00000000-0005-0000-0000-00005A7F0000}"/>
    <cellStyle name="Normal 433 3 3" xfId="32854" xr:uid="{00000000-0005-0000-0000-00005B7F0000}"/>
    <cellStyle name="Normal 433 3 3 2" xfId="32855" xr:uid="{00000000-0005-0000-0000-00005C7F0000}"/>
    <cellStyle name="Normal 433 3 3 2 2" xfId="32856" xr:uid="{00000000-0005-0000-0000-00005D7F0000}"/>
    <cellStyle name="Normal 433 3 3 3" xfId="32857" xr:uid="{00000000-0005-0000-0000-00005E7F0000}"/>
    <cellStyle name="Normal 433 3 4" xfId="32858" xr:uid="{00000000-0005-0000-0000-00005F7F0000}"/>
    <cellStyle name="Normal 433 3 4 2" xfId="32859" xr:uid="{00000000-0005-0000-0000-0000607F0000}"/>
    <cellStyle name="Normal 433 3 4 2 2" xfId="32860" xr:uid="{00000000-0005-0000-0000-0000617F0000}"/>
    <cellStyle name="Normal 433 3 4 3" xfId="32861" xr:uid="{00000000-0005-0000-0000-0000627F0000}"/>
    <cellStyle name="Normal 433 3 5" xfId="32862" xr:uid="{00000000-0005-0000-0000-0000637F0000}"/>
    <cellStyle name="Normal 433 4" xfId="32863" xr:uid="{00000000-0005-0000-0000-0000647F0000}"/>
    <cellStyle name="Normal 433 4 2" xfId="32864" xr:uid="{00000000-0005-0000-0000-0000657F0000}"/>
    <cellStyle name="Normal 433 4 2 2" xfId="32865" xr:uid="{00000000-0005-0000-0000-0000667F0000}"/>
    <cellStyle name="Normal 433 4 2 2 2" xfId="32866" xr:uid="{00000000-0005-0000-0000-0000677F0000}"/>
    <cellStyle name="Normal 433 4 2 3" xfId="32867" xr:uid="{00000000-0005-0000-0000-0000687F0000}"/>
    <cellStyle name="Normal 433 4 2 3 2" xfId="32868" xr:uid="{00000000-0005-0000-0000-0000697F0000}"/>
    <cellStyle name="Normal 433 4 2 3 2 2" xfId="32869" xr:uid="{00000000-0005-0000-0000-00006A7F0000}"/>
    <cellStyle name="Normal 433 4 2 3 3" xfId="32870" xr:uid="{00000000-0005-0000-0000-00006B7F0000}"/>
    <cellStyle name="Normal 433 4 2 4" xfId="32871" xr:uid="{00000000-0005-0000-0000-00006C7F0000}"/>
    <cellStyle name="Normal 433 4 3" xfId="32872" xr:uid="{00000000-0005-0000-0000-00006D7F0000}"/>
    <cellStyle name="Normal 433 4 3 2" xfId="32873" xr:uid="{00000000-0005-0000-0000-00006E7F0000}"/>
    <cellStyle name="Normal 433 4 3 2 2" xfId="32874" xr:uid="{00000000-0005-0000-0000-00006F7F0000}"/>
    <cellStyle name="Normal 433 4 3 3" xfId="32875" xr:uid="{00000000-0005-0000-0000-0000707F0000}"/>
    <cellStyle name="Normal 433 4 4" xfId="32876" xr:uid="{00000000-0005-0000-0000-0000717F0000}"/>
    <cellStyle name="Normal 433 4 4 2" xfId="32877" xr:uid="{00000000-0005-0000-0000-0000727F0000}"/>
    <cellStyle name="Normal 433 4 4 2 2" xfId="32878" xr:uid="{00000000-0005-0000-0000-0000737F0000}"/>
    <cellStyle name="Normal 433 4 4 3" xfId="32879" xr:uid="{00000000-0005-0000-0000-0000747F0000}"/>
    <cellStyle name="Normal 433 4 5" xfId="32880" xr:uid="{00000000-0005-0000-0000-0000757F0000}"/>
    <cellStyle name="Normal 433 4 5 2" xfId="32881" xr:uid="{00000000-0005-0000-0000-0000767F0000}"/>
    <cellStyle name="Normal 433 4 5 2 2" xfId="32882" xr:uid="{00000000-0005-0000-0000-0000777F0000}"/>
    <cellStyle name="Normal 433 4 5 3" xfId="32883" xr:uid="{00000000-0005-0000-0000-0000787F0000}"/>
    <cellStyle name="Normal 433 4 6" xfId="32884" xr:uid="{00000000-0005-0000-0000-0000797F0000}"/>
    <cellStyle name="Normal 433 5" xfId="32885" xr:uid="{00000000-0005-0000-0000-00007A7F0000}"/>
    <cellStyle name="Normal 433 5 2" xfId="32886" xr:uid="{00000000-0005-0000-0000-00007B7F0000}"/>
    <cellStyle name="Normal 433 5 2 2" xfId="32887" xr:uid="{00000000-0005-0000-0000-00007C7F0000}"/>
    <cellStyle name="Normal 433 5 3" xfId="32888" xr:uid="{00000000-0005-0000-0000-00007D7F0000}"/>
    <cellStyle name="Normal 433 6" xfId="32889" xr:uid="{00000000-0005-0000-0000-00007E7F0000}"/>
    <cellStyle name="Normal 433 6 2" xfId="32890" xr:uid="{00000000-0005-0000-0000-00007F7F0000}"/>
    <cellStyle name="Normal 433 6 2 2" xfId="32891" xr:uid="{00000000-0005-0000-0000-0000807F0000}"/>
    <cellStyle name="Normal 433 6 3" xfId="32892" xr:uid="{00000000-0005-0000-0000-0000817F0000}"/>
    <cellStyle name="Normal 433 7" xfId="32893" xr:uid="{00000000-0005-0000-0000-0000827F0000}"/>
    <cellStyle name="Normal 433 7 2" xfId="32894" xr:uid="{00000000-0005-0000-0000-0000837F0000}"/>
    <cellStyle name="Normal 433 7 2 2" xfId="32895" xr:uid="{00000000-0005-0000-0000-0000847F0000}"/>
    <cellStyle name="Normal 433 7 3" xfId="32896" xr:uid="{00000000-0005-0000-0000-0000857F0000}"/>
    <cellStyle name="Normal 433 8" xfId="32897" xr:uid="{00000000-0005-0000-0000-0000867F0000}"/>
    <cellStyle name="Normal 433 8 2" xfId="32898" xr:uid="{00000000-0005-0000-0000-0000877F0000}"/>
    <cellStyle name="Normal 433 8 2 2" xfId="32899" xr:uid="{00000000-0005-0000-0000-0000887F0000}"/>
    <cellStyle name="Normal 433 8 3" xfId="32900" xr:uid="{00000000-0005-0000-0000-0000897F0000}"/>
    <cellStyle name="Normal 433 8 3 2" xfId="32901" xr:uid="{00000000-0005-0000-0000-00008A7F0000}"/>
    <cellStyle name="Normal 433 8 4" xfId="32902" xr:uid="{00000000-0005-0000-0000-00008B7F0000}"/>
    <cellStyle name="Normal 433 9" xfId="32903" xr:uid="{00000000-0005-0000-0000-00008C7F0000}"/>
    <cellStyle name="Normal 434" xfId="32904" xr:uid="{00000000-0005-0000-0000-00008D7F0000}"/>
    <cellStyle name="Normal 434 10" xfId="32905" xr:uid="{00000000-0005-0000-0000-00008E7F0000}"/>
    <cellStyle name="Normal 434 2" xfId="32906" xr:uid="{00000000-0005-0000-0000-00008F7F0000}"/>
    <cellStyle name="Normal 434 2 2" xfId="32907" xr:uid="{00000000-0005-0000-0000-0000907F0000}"/>
    <cellStyle name="Normal 434 2 2 2" xfId="32908" xr:uid="{00000000-0005-0000-0000-0000917F0000}"/>
    <cellStyle name="Normal 434 2 2 2 2" xfId="32909" xr:uid="{00000000-0005-0000-0000-0000927F0000}"/>
    <cellStyle name="Normal 434 2 2 3" xfId="32910" xr:uid="{00000000-0005-0000-0000-0000937F0000}"/>
    <cellStyle name="Normal 434 2 2 3 2" xfId="32911" xr:uid="{00000000-0005-0000-0000-0000947F0000}"/>
    <cellStyle name="Normal 434 2 2 3 2 2" xfId="32912" xr:uid="{00000000-0005-0000-0000-0000957F0000}"/>
    <cellStyle name="Normal 434 2 2 3 3" xfId="32913" xr:uid="{00000000-0005-0000-0000-0000967F0000}"/>
    <cellStyle name="Normal 434 2 2 4" xfId="32914" xr:uid="{00000000-0005-0000-0000-0000977F0000}"/>
    <cellStyle name="Normal 434 2 3" xfId="32915" xr:uid="{00000000-0005-0000-0000-0000987F0000}"/>
    <cellStyle name="Normal 434 2 3 2" xfId="32916" xr:uid="{00000000-0005-0000-0000-0000997F0000}"/>
    <cellStyle name="Normal 434 2 3 2 2" xfId="32917" xr:uid="{00000000-0005-0000-0000-00009A7F0000}"/>
    <cellStyle name="Normal 434 2 3 3" xfId="32918" xr:uid="{00000000-0005-0000-0000-00009B7F0000}"/>
    <cellStyle name="Normal 434 2 4" xfId="32919" xr:uid="{00000000-0005-0000-0000-00009C7F0000}"/>
    <cellStyle name="Normal 434 2 4 2" xfId="32920" xr:uid="{00000000-0005-0000-0000-00009D7F0000}"/>
    <cellStyle name="Normal 434 2 4 2 2" xfId="32921" xr:uid="{00000000-0005-0000-0000-00009E7F0000}"/>
    <cellStyle name="Normal 434 2 4 3" xfId="32922" xr:uid="{00000000-0005-0000-0000-00009F7F0000}"/>
    <cellStyle name="Normal 434 2 5" xfId="32923" xr:uid="{00000000-0005-0000-0000-0000A07F0000}"/>
    <cellStyle name="Normal 434 2 5 2" xfId="32924" xr:uid="{00000000-0005-0000-0000-0000A17F0000}"/>
    <cellStyle name="Normal 434 2 5 2 2" xfId="32925" xr:uid="{00000000-0005-0000-0000-0000A27F0000}"/>
    <cellStyle name="Normal 434 2 5 3" xfId="32926" xr:uid="{00000000-0005-0000-0000-0000A37F0000}"/>
    <cellStyle name="Normal 434 2 6" xfId="32927" xr:uid="{00000000-0005-0000-0000-0000A47F0000}"/>
    <cellStyle name="Normal 434 3" xfId="32928" xr:uid="{00000000-0005-0000-0000-0000A57F0000}"/>
    <cellStyle name="Normal 434 3 2" xfId="32929" xr:uid="{00000000-0005-0000-0000-0000A67F0000}"/>
    <cellStyle name="Normal 434 3 2 2" xfId="32930" xr:uid="{00000000-0005-0000-0000-0000A77F0000}"/>
    <cellStyle name="Normal 434 3 3" xfId="32931" xr:uid="{00000000-0005-0000-0000-0000A87F0000}"/>
    <cellStyle name="Normal 434 3 3 2" xfId="32932" xr:uid="{00000000-0005-0000-0000-0000A97F0000}"/>
    <cellStyle name="Normal 434 3 3 2 2" xfId="32933" xr:uid="{00000000-0005-0000-0000-0000AA7F0000}"/>
    <cellStyle name="Normal 434 3 3 3" xfId="32934" xr:uid="{00000000-0005-0000-0000-0000AB7F0000}"/>
    <cellStyle name="Normal 434 3 4" xfId="32935" xr:uid="{00000000-0005-0000-0000-0000AC7F0000}"/>
    <cellStyle name="Normal 434 3 4 2" xfId="32936" xr:uid="{00000000-0005-0000-0000-0000AD7F0000}"/>
    <cellStyle name="Normal 434 3 4 2 2" xfId="32937" xr:uid="{00000000-0005-0000-0000-0000AE7F0000}"/>
    <cellStyle name="Normal 434 3 4 3" xfId="32938" xr:uid="{00000000-0005-0000-0000-0000AF7F0000}"/>
    <cellStyle name="Normal 434 3 5" xfId="32939" xr:uid="{00000000-0005-0000-0000-0000B07F0000}"/>
    <cellStyle name="Normal 434 4" xfId="32940" xr:uid="{00000000-0005-0000-0000-0000B17F0000}"/>
    <cellStyle name="Normal 434 4 2" xfId="32941" xr:uid="{00000000-0005-0000-0000-0000B27F0000}"/>
    <cellStyle name="Normal 434 4 2 2" xfId="32942" xr:uid="{00000000-0005-0000-0000-0000B37F0000}"/>
    <cellStyle name="Normal 434 4 2 2 2" xfId="32943" xr:uid="{00000000-0005-0000-0000-0000B47F0000}"/>
    <cellStyle name="Normal 434 4 2 3" xfId="32944" xr:uid="{00000000-0005-0000-0000-0000B57F0000}"/>
    <cellStyle name="Normal 434 4 2 3 2" xfId="32945" xr:uid="{00000000-0005-0000-0000-0000B67F0000}"/>
    <cellStyle name="Normal 434 4 2 3 2 2" xfId="32946" xr:uid="{00000000-0005-0000-0000-0000B77F0000}"/>
    <cellStyle name="Normal 434 4 2 3 3" xfId="32947" xr:uid="{00000000-0005-0000-0000-0000B87F0000}"/>
    <cellStyle name="Normal 434 4 2 4" xfId="32948" xr:uid="{00000000-0005-0000-0000-0000B97F0000}"/>
    <cellStyle name="Normal 434 4 3" xfId="32949" xr:uid="{00000000-0005-0000-0000-0000BA7F0000}"/>
    <cellStyle name="Normal 434 4 3 2" xfId="32950" xr:uid="{00000000-0005-0000-0000-0000BB7F0000}"/>
    <cellStyle name="Normal 434 4 3 2 2" xfId="32951" xr:uid="{00000000-0005-0000-0000-0000BC7F0000}"/>
    <cellStyle name="Normal 434 4 3 3" xfId="32952" xr:uid="{00000000-0005-0000-0000-0000BD7F0000}"/>
    <cellStyle name="Normal 434 4 4" xfId="32953" xr:uid="{00000000-0005-0000-0000-0000BE7F0000}"/>
    <cellStyle name="Normal 434 4 4 2" xfId="32954" xr:uid="{00000000-0005-0000-0000-0000BF7F0000}"/>
    <cellStyle name="Normal 434 4 4 2 2" xfId="32955" xr:uid="{00000000-0005-0000-0000-0000C07F0000}"/>
    <cellStyle name="Normal 434 4 4 3" xfId="32956" xr:uid="{00000000-0005-0000-0000-0000C17F0000}"/>
    <cellStyle name="Normal 434 4 5" xfId="32957" xr:uid="{00000000-0005-0000-0000-0000C27F0000}"/>
    <cellStyle name="Normal 434 4 5 2" xfId="32958" xr:uid="{00000000-0005-0000-0000-0000C37F0000}"/>
    <cellStyle name="Normal 434 4 5 2 2" xfId="32959" xr:uid="{00000000-0005-0000-0000-0000C47F0000}"/>
    <cellStyle name="Normal 434 4 5 3" xfId="32960" xr:uid="{00000000-0005-0000-0000-0000C57F0000}"/>
    <cellStyle name="Normal 434 4 6" xfId="32961" xr:uid="{00000000-0005-0000-0000-0000C67F0000}"/>
    <cellStyle name="Normal 434 5" xfId="32962" xr:uid="{00000000-0005-0000-0000-0000C77F0000}"/>
    <cellStyle name="Normal 434 5 2" xfId="32963" xr:uid="{00000000-0005-0000-0000-0000C87F0000}"/>
    <cellStyle name="Normal 434 5 2 2" xfId="32964" xr:uid="{00000000-0005-0000-0000-0000C97F0000}"/>
    <cellStyle name="Normal 434 5 3" xfId="32965" xr:uid="{00000000-0005-0000-0000-0000CA7F0000}"/>
    <cellStyle name="Normal 434 6" xfId="32966" xr:uid="{00000000-0005-0000-0000-0000CB7F0000}"/>
    <cellStyle name="Normal 434 6 2" xfId="32967" xr:uid="{00000000-0005-0000-0000-0000CC7F0000}"/>
    <cellStyle name="Normal 434 6 2 2" xfId="32968" xr:uid="{00000000-0005-0000-0000-0000CD7F0000}"/>
    <cellStyle name="Normal 434 6 3" xfId="32969" xr:uid="{00000000-0005-0000-0000-0000CE7F0000}"/>
    <cellStyle name="Normal 434 7" xfId="32970" xr:uid="{00000000-0005-0000-0000-0000CF7F0000}"/>
    <cellStyle name="Normal 434 7 2" xfId="32971" xr:uid="{00000000-0005-0000-0000-0000D07F0000}"/>
    <cellStyle name="Normal 434 7 2 2" xfId="32972" xr:uid="{00000000-0005-0000-0000-0000D17F0000}"/>
    <cellStyle name="Normal 434 7 3" xfId="32973" xr:uid="{00000000-0005-0000-0000-0000D27F0000}"/>
    <cellStyle name="Normal 434 8" xfId="32974" xr:uid="{00000000-0005-0000-0000-0000D37F0000}"/>
    <cellStyle name="Normal 434 8 2" xfId="32975" xr:uid="{00000000-0005-0000-0000-0000D47F0000}"/>
    <cellStyle name="Normal 434 8 2 2" xfId="32976" xr:uid="{00000000-0005-0000-0000-0000D57F0000}"/>
    <cellStyle name="Normal 434 8 3" xfId="32977" xr:uid="{00000000-0005-0000-0000-0000D67F0000}"/>
    <cellStyle name="Normal 434 8 3 2" xfId="32978" xr:uid="{00000000-0005-0000-0000-0000D77F0000}"/>
    <cellStyle name="Normal 434 8 4" xfId="32979" xr:uid="{00000000-0005-0000-0000-0000D87F0000}"/>
    <cellStyle name="Normal 434 9" xfId="32980" xr:uid="{00000000-0005-0000-0000-0000D97F0000}"/>
    <cellStyle name="Normal 435" xfId="32981" xr:uid="{00000000-0005-0000-0000-0000DA7F0000}"/>
    <cellStyle name="Normal 435 10" xfId="32982" xr:uid="{00000000-0005-0000-0000-0000DB7F0000}"/>
    <cellStyle name="Normal 435 2" xfId="32983" xr:uid="{00000000-0005-0000-0000-0000DC7F0000}"/>
    <cellStyle name="Normal 435 2 2" xfId="32984" xr:uid="{00000000-0005-0000-0000-0000DD7F0000}"/>
    <cellStyle name="Normal 435 2 2 2" xfId="32985" xr:uid="{00000000-0005-0000-0000-0000DE7F0000}"/>
    <cellStyle name="Normal 435 2 2 2 2" xfId="32986" xr:uid="{00000000-0005-0000-0000-0000DF7F0000}"/>
    <cellStyle name="Normal 435 2 2 3" xfId="32987" xr:uid="{00000000-0005-0000-0000-0000E07F0000}"/>
    <cellStyle name="Normal 435 2 2 3 2" xfId="32988" xr:uid="{00000000-0005-0000-0000-0000E17F0000}"/>
    <cellStyle name="Normal 435 2 2 3 2 2" xfId="32989" xr:uid="{00000000-0005-0000-0000-0000E27F0000}"/>
    <cellStyle name="Normal 435 2 2 3 3" xfId="32990" xr:uid="{00000000-0005-0000-0000-0000E37F0000}"/>
    <cellStyle name="Normal 435 2 2 4" xfId="32991" xr:uid="{00000000-0005-0000-0000-0000E47F0000}"/>
    <cellStyle name="Normal 435 2 3" xfId="32992" xr:uid="{00000000-0005-0000-0000-0000E57F0000}"/>
    <cellStyle name="Normal 435 2 3 2" xfId="32993" xr:uid="{00000000-0005-0000-0000-0000E67F0000}"/>
    <cellStyle name="Normal 435 2 3 2 2" xfId="32994" xr:uid="{00000000-0005-0000-0000-0000E77F0000}"/>
    <cellStyle name="Normal 435 2 3 3" xfId="32995" xr:uid="{00000000-0005-0000-0000-0000E87F0000}"/>
    <cellStyle name="Normal 435 2 4" xfId="32996" xr:uid="{00000000-0005-0000-0000-0000E97F0000}"/>
    <cellStyle name="Normal 435 2 4 2" xfId="32997" xr:uid="{00000000-0005-0000-0000-0000EA7F0000}"/>
    <cellStyle name="Normal 435 2 4 2 2" xfId="32998" xr:uid="{00000000-0005-0000-0000-0000EB7F0000}"/>
    <cellStyle name="Normal 435 2 4 3" xfId="32999" xr:uid="{00000000-0005-0000-0000-0000EC7F0000}"/>
    <cellStyle name="Normal 435 2 5" xfId="33000" xr:uid="{00000000-0005-0000-0000-0000ED7F0000}"/>
    <cellStyle name="Normal 435 2 5 2" xfId="33001" xr:uid="{00000000-0005-0000-0000-0000EE7F0000}"/>
    <cellStyle name="Normal 435 2 5 2 2" xfId="33002" xr:uid="{00000000-0005-0000-0000-0000EF7F0000}"/>
    <cellStyle name="Normal 435 2 5 3" xfId="33003" xr:uid="{00000000-0005-0000-0000-0000F07F0000}"/>
    <cellStyle name="Normal 435 2 6" xfId="33004" xr:uid="{00000000-0005-0000-0000-0000F17F0000}"/>
    <cellStyle name="Normal 435 3" xfId="33005" xr:uid="{00000000-0005-0000-0000-0000F27F0000}"/>
    <cellStyle name="Normal 435 3 2" xfId="33006" xr:uid="{00000000-0005-0000-0000-0000F37F0000}"/>
    <cellStyle name="Normal 435 3 2 2" xfId="33007" xr:uid="{00000000-0005-0000-0000-0000F47F0000}"/>
    <cellStyle name="Normal 435 3 3" xfId="33008" xr:uid="{00000000-0005-0000-0000-0000F57F0000}"/>
    <cellStyle name="Normal 435 3 3 2" xfId="33009" xr:uid="{00000000-0005-0000-0000-0000F67F0000}"/>
    <cellStyle name="Normal 435 3 3 2 2" xfId="33010" xr:uid="{00000000-0005-0000-0000-0000F77F0000}"/>
    <cellStyle name="Normal 435 3 3 3" xfId="33011" xr:uid="{00000000-0005-0000-0000-0000F87F0000}"/>
    <cellStyle name="Normal 435 3 4" xfId="33012" xr:uid="{00000000-0005-0000-0000-0000F97F0000}"/>
    <cellStyle name="Normal 435 3 4 2" xfId="33013" xr:uid="{00000000-0005-0000-0000-0000FA7F0000}"/>
    <cellStyle name="Normal 435 3 4 2 2" xfId="33014" xr:uid="{00000000-0005-0000-0000-0000FB7F0000}"/>
    <cellStyle name="Normal 435 3 4 3" xfId="33015" xr:uid="{00000000-0005-0000-0000-0000FC7F0000}"/>
    <cellStyle name="Normal 435 3 5" xfId="33016" xr:uid="{00000000-0005-0000-0000-0000FD7F0000}"/>
    <cellStyle name="Normal 435 4" xfId="33017" xr:uid="{00000000-0005-0000-0000-0000FE7F0000}"/>
    <cellStyle name="Normal 435 4 2" xfId="33018" xr:uid="{00000000-0005-0000-0000-0000FF7F0000}"/>
    <cellStyle name="Normal 435 4 2 2" xfId="33019" xr:uid="{00000000-0005-0000-0000-000000800000}"/>
    <cellStyle name="Normal 435 4 2 2 2" xfId="33020" xr:uid="{00000000-0005-0000-0000-000001800000}"/>
    <cellStyle name="Normal 435 4 2 3" xfId="33021" xr:uid="{00000000-0005-0000-0000-000002800000}"/>
    <cellStyle name="Normal 435 4 2 3 2" xfId="33022" xr:uid="{00000000-0005-0000-0000-000003800000}"/>
    <cellStyle name="Normal 435 4 2 3 2 2" xfId="33023" xr:uid="{00000000-0005-0000-0000-000004800000}"/>
    <cellStyle name="Normal 435 4 2 3 3" xfId="33024" xr:uid="{00000000-0005-0000-0000-000005800000}"/>
    <cellStyle name="Normal 435 4 2 4" xfId="33025" xr:uid="{00000000-0005-0000-0000-000006800000}"/>
    <cellStyle name="Normal 435 4 3" xfId="33026" xr:uid="{00000000-0005-0000-0000-000007800000}"/>
    <cellStyle name="Normal 435 4 3 2" xfId="33027" xr:uid="{00000000-0005-0000-0000-000008800000}"/>
    <cellStyle name="Normal 435 4 3 2 2" xfId="33028" xr:uid="{00000000-0005-0000-0000-000009800000}"/>
    <cellStyle name="Normal 435 4 3 3" xfId="33029" xr:uid="{00000000-0005-0000-0000-00000A800000}"/>
    <cellStyle name="Normal 435 4 4" xfId="33030" xr:uid="{00000000-0005-0000-0000-00000B800000}"/>
    <cellStyle name="Normal 435 4 4 2" xfId="33031" xr:uid="{00000000-0005-0000-0000-00000C800000}"/>
    <cellStyle name="Normal 435 4 4 2 2" xfId="33032" xr:uid="{00000000-0005-0000-0000-00000D800000}"/>
    <cellStyle name="Normal 435 4 4 3" xfId="33033" xr:uid="{00000000-0005-0000-0000-00000E800000}"/>
    <cellStyle name="Normal 435 4 5" xfId="33034" xr:uid="{00000000-0005-0000-0000-00000F800000}"/>
    <cellStyle name="Normal 435 4 5 2" xfId="33035" xr:uid="{00000000-0005-0000-0000-000010800000}"/>
    <cellStyle name="Normal 435 4 5 2 2" xfId="33036" xr:uid="{00000000-0005-0000-0000-000011800000}"/>
    <cellStyle name="Normal 435 4 5 3" xfId="33037" xr:uid="{00000000-0005-0000-0000-000012800000}"/>
    <cellStyle name="Normal 435 4 6" xfId="33038" xr:uid="{00000000-0005-0000-0000-000013800000}"/>
    <cellStyle name="Normal 435 5" xfId="33039" xr:uid="{00000000-0005-0000-0000-000014800000}"/>
    <cellStyle name="Normal 435 5 2" xfId="33040" xr:uid="{00000000-0005-0000-0000-000015800000}"/>
    <cellStyle name="Normal 435 5 2 2" xfId="33041" xr:uid="{00000000-0005-0000-0000-000016800000}"/>
    <cellStyle name="Normal 435 5 3" xfId="33042" xr:uid="{00000000-0005-0000-0000-000017800000}"/>
    <cellStyle name="Normal 435 6" xfId="33043" xr:uid="{00000000-0005-0000-0000-000018800000}"/>
    <cellStyle name="Normal 435 6 2" xfId="33044" xr:uid="{00000000-0005-0000-0000-000019800000}"/>
    <cellStyle name="Normal 435 6 2 2" xfId="33045" xr:uid="{00000000-0005-0000-0000-00001A800000}"/>
    <cellStyle name="Normal 435 6 3" xfId="33046" xr:uid="{00000000-0005-0000-0000-00001B800000}"/>
    <cellStyle name="Normal 435 7" xfId="33047" xr:uid="{00000000-0005-0000-0000-00001C800000}"/>
    <cellStyle name="Normal 435 7 2" xfId="33048" xr:uid="{00000000-0005-0000-0000-00001D800000}"/>
    <cellStyle name="Normal 435 7 2 2" xfId="33049" xr:uid="{00000000-0005-0000-0000-00001E800000}"/>
    <cellStyle name="Normal 435 7 3" xfId="33050" xr:uid="{00000000-0005-0000-0000-00001F800000}"/>
    <cellStyle name="Normal 435 8" xfId="33051" xr:uid="{00000000-0005-0000-0000-000020800000}"/>
    <cellStyle name="Normal 435 8 2" xfId="33052" xr:uid="{00000000-0005-0000-0000-000021800000}"/>
    <cellStyle name="Normal 435 8 2 2" xfId="33053" xr:uid="{00000000-0005-0000-0000-000022800000}"/>
    <cellStyle name="Normal 435 8 3" xfId="33054" xr:uid="{00000000-0005-0000-0000-000023800000}"/>
    <cellStyle name="Normal 435 8 3 2" xfId="33055" xr:uid="{00000000-0005-0000-0000-000024800000}"/>
    <cellStyle name="Normal 435 8 4" xfId="33056" xr:uid="{00000000-0005-0000-0000-000025800000}"/>
    <cellStyle name="Normal 435 9" xfId="33057" xr:uid="{00000000-0005-0000-0000-000026800000}"/>
    <cellStyle name="Normal 436" xfId="33058" xr:uid="{00000000-0005-0000-0000-000027800000}"/>
    <cellStyle name="Normal 436 10" xfId="33059" xr:uid="{00000000-0005-0000-0000-000028800000}"/>
    <cellStyle name="Normal 436 2" xfId="33060" xr:uid="{00000000-0005-0000-0000-000029800000}"/>
    <cellStyle name="Normal 436 2 2" xfId="33061" xr:uid="{00000000-0005-0000-0000-00002A800000}"/>
    <cellStyle name="Normal 436 2 2 2" xfId="33062" xr:uid="{00000000-0005-0000-0000-00002B800000}"/>
    <cellStyle name="Normal 436 2 2 2 2" xfId="33063" xr:uid="{00000000-0005-0000-0000-00002C800000}"/>
    <cellStyle name="Normal 436 2 2 3" xfId="33064" xr:uid="{00000000-0005-0000-0000-00002D800000}"/>
    <cellStyle name="Normal 436 2 2 3 2" xfId="33065" xr:uid="{00000000-0005-0000-0000-00002E800000}"/>
    <cellStyle name="Normal 436 2 2 3 2 2" xfId="33066" xr:uid="{00000000-0005-0000-0000-00002F800000}"/>
    <cellStyle name="Normal 436 2 2 3 3" xfId="33067" xr:uid="{00000000-0005-0000-0000-000030800000}"/>
    <cellStyle name="Normal 436 2 2 4" xfId="33068" xr:uid="{00000000-0005-0000-0000-000031800000}"/>
    <cellStyle name="Normal 436 2 3" xfId="33069" xr:uid="{00000000-0005-0000-0000-000032800000}"/>
    <cellStyle name="Normal 436 2 3 2" xfId="33070" xr:uid="{00000000-0005-0000-0000-000033800000}"/>
    <cellStyle name="Normal 436 2 3 2 2" xfId="33071" xr:uid="{00000000-0005-0000-0000-000034800000}"/>
    <cellStyle name="Normal 436 2 3 3" xfId="33072" xr:uid="{00000000-0005-0000-0000-000035800000}"/>
    <cellStyle name="Normal 436 2 4" xfId="33073" xr:uid="{00000000-0005-0000-0000-000036800000}"/>
    <cellStyle name="Normal 436 2 4 2" xfId="33074" xr:uid="{00000000-0005-0000-0000-000037800000}"/>
    <cellStyle name="Normal 436 2 4 2 2" xfId="33075" xr:uid="{00000000-0005-0000-0000-000038800000}"/>
    <cellStyle name="Normal 436 2 4 3" xfId="33076" xr:uid="{00000000-0005-0000-0000-000039800000}"/>
    <cellStyle name="Normal 436 2 5" xfId="33077" xr:uid="{00000000-0005-0000-0000-00003A800000}"/>
    <cellStyle name="Normal 436 2 5 2" xfId="33078" xr:uid="{00000000-0005-0000-0000-00003B800000}"/>
    <cellStyle name="Normal 436 2 5 2 2" xfId="33079" xr:uid="{00000000-0005-0000-0000-00003C800000}"/>
    <cellStyle name="Normal 436 2 5 3" xfId="33080" xr:uid="{00000000-0005-0000-0000-00003D800000}"/>
    <cellStyle name="Normal 436 2 6" xfId="33081" xr:uid="{00000000-0005-0000-0000-00003E800000}"/>
    <cellStyle name="Normal 436 3" xfId="33082" xr:uid="{00000000-0005-0000-0000-00003F800000}"/>
    <cellStyle name="Normal 436 3 2" xfId="33083" xr:uid="{00000000-0005-0000-0000-000040800000}"/>
    <cellStyle name="Normal 436 3 2 2" xfId="33084" xr:uid="{00000000-0005-0000-0000-000041800000}"/>
    <cellStyle name="Normal 436 3 3" xfId="33085" xr:uid="{00000000-0005-0000-0000-000042800000}"/>
    <cellStyle name="Normal 436 3 3 2" xfId="33086" xr:uid="{00000000-0005-0000-0000-000043800000}"/>
    <cellStyle name="Normal 436 3 3 2 2" xfId="33087" xr:uid="{00000000-0005-0000-0000-000044800000}"/>
    <cellStyle name="Normal 436 3 3 3" xfId="33088" xr:uid="{00000000-0005-0000-0000-000045800000}"/>
    <cellStyle name="Normal 436 3 4" xfId="33089" xr:uid="{00000000-0005-0000-0000-000046800000}"/>
    <cellStyle name="Normal 436 3 4 2" xfId="33090" xr:uid="{00000000-0005-0000-0000-000047800000}"/>
    <cellStyle name="Normal 436 3 4 2 2" xfId="33091" xr:uid="{00000000-0005-0000-0000-000048800000}"/>
    <cellStyle name="Normal 436 3 4 3" xfId="33092" xr:uid="{00000000-0005-0000-0000-000049800000}"/>
    <cellStyle name="Normal 436 3 5" xfId="33093" xr:uid="{00000000-0005-0000-0000-00004A800000}"/>
    <cellStyle name="Normal 436 4" xfId="33094" xr:uid="{00000000-0005-0000-0000-00004B800000}"/>
    <cellStyle name="Normal 436 4 2" xfId="33095" xr:uid="{00000000-0005-0000-0000-00004C800000}"/>
    <cellStyle name="Normal 436 4 2 2" xfId="33096" xr:uid="{00000000-0005-0000-0000-00004D800000}"/>
    <cellStyle name="Normal 436 4 2 2 2" xfId="33097" xr:uid="{00000000-0005-0000-0000-00004E800000}"/>
    <cellStyle name="Normal 436 4 2 3" xfId="33098" xr:uid="{00000000-0005-0000-0000-00004F800000}"/>
    <cellStyle name="Normal 436 4 2 3 2" xfId="33099" xr:uid="{00000000-0005-0000-0000-000050800000}"/>
    <cellStyle name="Normal 436 4 2 3 2 2" xfId="33100" xr:uid="{00000000-0005-0000-0000-000051800000}"/>
    <cellStyle name="Normal 436 4 2 3 3" xfId="33101" xr:uid="{00000000-0005-0000-0000-000052800000}"/>
    <cellStyle name="Normal 436 4 2 4" xfId="33102" xr:uid="{00000000-0005-0000-0000-000053800000}"/>
    <cellStyle name="Normal 436 4 3" xfId="33103" xr:uid="{00000000-0005-0000-0000-000054800000}"/>
    <cellStyle name="Normal 436 4 3 2" xfId="33104" xr:uid="{00000000-0005-0000-0000-000055800000}"/>
    <cellStyle name="Normal 436 4 3 2 2" xfId="33105" xr:uid="{00000000-0005-0000-0000-000056800000}"/>
    <cellStyle name="Normal 436 4 3 3" xfId="33106" xr:uid="{00000000-0005-0000-0000-000057800000}"/>
    <cellStyle name="Normal 436 4 4" xfId="33107" xr:uid="{00000000-0005-0000-0000-000058800000}"/>
    <cellStyle name="Normal 436 4 4 2" xfId="33108" xr:uid="{00000000-0005-0000-0000-000059800000}"/>
    <cellStyle name="Normal 436 4 4 2 2" xfId="33109" xr:uid="{00000000-0005-0000-0000-00005A800000}"/>
    <cellStyle name="Normal 436 4 4 3" xfId="33110" xr:uid="{00000000-0005-0000-0000-00005B800000}"/>
    <cellStyle name="Normal 436 4 5" xfId="33111" xr:uid="{00000000-0005-0000-0000-00005C800000}"/>
    <cellStyle name="Normal 436 4 5 2" xfId="33112" xr:uid="{00000000-0005-0000-0000-00005D800000}"/>
    <cellStyle name="Normal 436 4 5 2 2" xfId="33113" xr:uid="{00000000-0005-0000-0000-00005E800000}"/>
    <cellStyle name="Normal 436 4 5 3" xfId="33114" xr:uid="{00000000-0005-0000-0000-00005F800000}"/>
    <cellStyle name="Normal 436 4 6" xfId="33115" xr:uid="{00000000-0005-0000-0000-000060800000}"/>
    <cellStyle name="Normal 436 5" xfId="33116" xr:uid="{00000000-0005-0000-0000-000061800000}"/>
    <cellStyle name="Normal 436 5 2" xfId="33117" xr:uid="{00000000-0005-0000-0000-000062800000}"/>
    <cellStyle name="Normal 436 5 2 2" xfId="33118" xr:uid="{00000000-0005-0000-0000-000063800000}"/>
    <cellStyle name="Normal 436 5 3" xfId="33119" xr:uid="{00000000-0005-0000-0000-000064800000}"/>
    <cellStyle name="Normal 436 6" xfId="33120" xr:uid="{00000000-0005-0000-0000-000065800000}"/>
    <cellStyle name="Normal 436 6 2" xfId="33121" xr:uid="{00000000-0005-0000-0000-000066800000}"/>
    <cellStyle name="Normal 436 6 2 2" xfId="33122" xr:uid="{00000000-0005-0000-0000-000067800000}"/>
    <cellStyle name="Normal 436 6 3" xfId="33123" xr:uid="{00000000-0005-0000-0000-000068800000}"/>
    <cellStyle name="Normal 436 7" xfId="33124" xr:uid="{00000000-0005-0000-0000-000069800000}"/>
    <cellStyle name="Normal 436 7 2" xfId="33125" xr:uid="{00000000-0005-0000-0000-00006A800000}"/>
    <cellStyle name="Normal 436 7 2 2" xfId="33126" xr:uid="{00000000-0005-0000-0000-00006B800000}"/>
    <cellStyle name="Normal 436 7 3" xfId="33127" xr:uid="{00000000-0005-0000-0000-00006C800000}"/>
    <cellStyle name="Normal 436 8" xfId="33128" xr:uid="{00000000-0005-0000-0000-00006D800000}"/>
    <cellStyle name="Normal 436 8 2" xfId="33129" xr:uid="{00000000-0005-0000-0000-00006E800000}"/>
    <cellStyle name="Normal 436 8 2 2" xfId="33130" xr:uid="{00000000-0005-0000-0000-00006F800000}"/>
    <cellStyle name="Normal 436 8 3" xfId="33131" xr:uid="{00000000-0005-0000-0000-000070800000}"/>
    <cellStyle name="Normal 436 8 3 2" xfId="33132" xr:uid="{00000000-0005-0000-0000-000071800000}"/>
    <cellStyle name="Normal 436 8 4" xfId="33133" xr:uid="{00000000-0005-0000-0000-000072800000}"/>
    <cellStyle name="Normal 436 9" xfId="33134" xr:uid="{00000000-0005-0000-0000-000073800000}"/>
    <cellStyle name="Normal 437" xfId="33135" xr:uid="{00000000-0005-0000-0000-000074800000}"/>
    <cellStyle name="Normal 437 10" xfId="33136" xr:uid="{00000000-0005-0000-0000-000075800000}"/>
    <cellStyle name="Normal 437 2" xfId="33137" xr:uid="{00000000-0005-0000-0000-000076800000}"/>
    <cellStyle name="Normal 437 2 2" xfId="33138" xr:uid="{00000000-0005-0000-0000-000077800000}"/>
    <cellStyle name="Normal 437 2 2 2" xfId="33139" xr:uid="{00000000-0005-0000-0000-000078800000}"/>
    <cellStyle name="Normal 437 2 2 2 2" xfId="33140" xr:uid="{00000000-0005-0000-0000-000079800000}"/>
    <cellStyle name="Normal 437 2 2 3" xfId="33141" xr:uid="{00000000-0005-0000-0000-00007A800000}"/>
    <cellStyle name="Normal 437 2 2 3 2" xfId="33142" xr:uid="{00000000-0005-0000-0000-00007B800000}"/>
    <cellStyle name="Normal 437 2 2 3 2 2" xfId="33143" xr:uid="{00000000-0005-0000-0000-00007C800000}"/>
    <cellStyle name="Normal 437 2 2 3 3" xfId="33144" xr:uid="{00000000-0005-0000-0000-00007D800000}"/>
    <cellStyle name="Normal 437 2 2 4" xfId="33145" xr:uid="{00000000-0005-0000-0000-00007E800000}"/>
    <cellStyle name="Normal 437 2 3" xfId="33146" xr:uid="{00000000-0005-0000-0000-00007F800000}"/>
    <cellStyle name="Normal 437 2 3 2" xfId="33147" xr:uid="{00000000-0005-0000-0000-000080800000}"/>
    <cellStyle name="Normal 437 2 3 2 2" xfId="33148" xr:uid="{00000000-0005-0000-0000-000081800000}"/>
    <cellStyle name="Normal 437 2 3 3" xfId="33149" xr:uid="{00000000-0005-0000-0000-000082800000}"/>
    <cellStyle name="Normal 437 2 4" xfId="33150" xr:uid="{00000000-0005-0000-0000-000083800000}"/>
    <cellStyle name="Normal 437 2 4 2" xfId="33151" xr:uid="{00000000-0005-0000-0000-000084800000}"/>
    <cellStyle name="Normal 437 2 4 2 2" xfId="33152" xr:uid="{00000000-0005-0000-0000-000085800000}"/>
    <cellStyle name="Normal 437 2 4 3" xfId="33153" xr:uid="{00000000-0005-0000-0000-000086800000}"/>
    <cellStyle name="Normal 437 2 5" xfId="33154" xr:uid="{00000000-0005-0000-0000-000087800000}"/>
    <cellStyle name="Normal 437 2 5 2" xfId="33155" xr:uid="{00000000-0005-0000-0000-000088800000}"/>
    <cellStyle name="Normal 437 2 5 2 2" xfId="33156" xr:uid="{00000000-0005-0000-0000-000089800000}"/>
    <cellStyle name="Normal 437 2 5 3" xfId="33157" xr:uid="{00000000-0005-0000-0000-00008A800000}"/>
    <cellStyle name="Normal 437 2 6" xfId="33158" xr:uid="{00000000-0005-0000-0000-00008B800000}"/>
    <cellStyle name="Normal 437 3" xfId="33159" xr:uid="{00000000-0005-0000-0000-00008C800000}"/>
    <cellStyle name="Normal 437 3 2" xfId="33160" xr:uid="{00000000-0005-0000-0000-00008D800000}"/>
    <cellStyle name="Normal 437 3 2 2" xfId="33161" xr:uid="{00000000-0005-0000-0000-00008E800000}"/>
    <cellStyle name="Normal 437 3 3" xfId="33162" xr:uid="{00000000-0005-0000-0000-00008F800000}"/>
    <cellStyle name="Normal 437 3 3 2" xfId="33163" xr:uid="{00000000-0005-0000-0000-000090800000}"/>
    <cellStyle name="Normal 437 3 3 2 2" xfId="33164" xr:uid="{00000000-0005-0000-0000-000091800000}"/>
    <cellStyle name="Normal 437 3 3 3" xfId="33165" xr:uid="{00000000-0005-0000-0000-000092800000}"/>
    <cellStyle name="Normal 437 3 4" xfId="33166" xr:uid="{00000000-0005-0000-0000-000093800000}"/>
    <cellStyle name="Normal 437 3 4 2" xfId="33167" xr:uid="{00000000-0005-0000-0000-000094800000}"/>
    <cellStyle name="Normal 437 3 4 2 2" xfId="33168" xr:uid="{00000000-0005-0000-0000-000095800000}"/>
    <cellStyle name="Normal 437 3 4 3" xfId="33169" xr:uid="{00000000-0005-0000-0000-000096800000}"/>
    <cellStyle name="Normal 437 3 5" xfId="33170" xr:uid="{00000000-0005-0000-0000-000097800000}"/>
    <cellStyle name="Normal 437 4" xfId="33171" xr:uid="{00000000-0005-0000-0000-000098800000}"/>
    <cellStyle name="Normal 437 4 2" xfId="33172" xr:uid="{00000000-0005-0000-0000-000099800000}"/>
    <cellStyle name="Normal 437 4 2 2" xfId="33173" xr:uid="{00000000-0005-0000-0000-00009A800000}"/>
    <cellStyle name="Normal 437 4 2 2 2" xfId="33174" xr:uid="{00000000-0005-0000-0000-00009B800000}"/>
    <cellStyle name="Normal 437 4 2 3" xfId="33175" xr:uid="{00000000-0005-0000-0000-00009C800000}"/>
    <cellStyle name="Normal 437 4 2 3 2" xfId="33176" xr:uid="{00000000-0005-0000-0000-00009D800000}"/>
    <cellStyle name="Normal 437 4 2 3 2 2" xfId="33177" xr:uid="{00000000-0005-0000-0000-00009E800000}"/>
    <cellStyle name="Normal 437 4 2 3 3" xfId="33178" xr:uid="{00000000-0005-0000-0000-00009F800000}"/>
    <cellStyle name="Normal 437 4 2 4" xfId="33179" xr:uid="{00000000-0005-0000-0000-0000A0800000}"/>
    <cellStyle name="Normal 437 4 3" xfId="33180" xr:uid="{00000000-0005-0000-0000-0000A1800000}"/>
    <cellStyle name="Normal 437 4 3 2" xfId="33181" xr:uid="{00000000-0005-0000-0000-0000A2800000}"/>
    <cellStyle name="Normal 437 4 3 2 2" xfId="33182" xr:uid="{00000000-0005-0000-0000-0000A3800000}"/>
    <cellStyle name="Normal 437 4 3 3" xfId="33183" xr:uid="{00000000-0005-0000-0000-0000A4800000}"/>
    <cellStyle name="Normal 437 4 4" xfId="33184" xr:uid="{00000000-0005-0000-0000-0000A5800000}"/>
    <cellStyle name="Normal 437 4 4 2" xfId="33185" xr:uid="{00000000-0005-0000-0000-0000A6800000}"/>
    <cellStyle name="Normal 437 4 4 2 2" xfId="33186" xr:uid="{00000000-0005-0000-0000-0000A7800000}"/>
    <cellStyle name="Normal 437 4 4 3" xfId="33187" xr:uid="{00000000-0005-0000-0000-0000A8800000}"/>
    <cellStyle name="Normal 437 4 5" xfId="33188" xr:uid="{00000000-0005-0000-0000-0000A9800000}"/>
    <cellStyle name="Normal 437 4 5 2" xfId="33189" xr:uid="{00000000-0005-0000-0000-0000AA800000}"/>
    <cellStyle name="Normal 437 4 5 2 2" xfId="33190" xr:uid="{00000000-0005-0000-0000-0000AB800000}"/>
    <cellStyle name="Normal 437 4 5 3" xfId="33191" xr:uid="{00000000-0005-0000-0000-0000AC800000}"/>
    <cellStyle name="Normal 437 4 6" xfId="33192" xr:uid="{00000000-0005-0000-0000-0000AD800000}"/>
    <cellStyle name="Normal 437 5" xfId="33193" xr:uid="{00000000-0005-0000-0000-0000AE800000}"/>
    <cellStyle name="Normal 437 5 2" xfId="33194" xr:uid="{00000000-0005-0000-0000-0000AF800000}"/>
    <cellStyle name="Normal 437 5 2 2" xfId="33195" xr:uid="{00000000-0005-0000-0000-0000B0800000}"/>
    <cellStyle name="Normal 437 5 3" xfId="33196" xr:uid="{00000000-0005-0000-0000-0000B1800000}"/>
    <cellStyle name="Normal 437 6" xfId="33197" xr:uid="{00000000-0005-0000-0000-0000B2800000}"/>
    <cellStyle name="Normal 437 6 2" xfId="33198" xr:uid="{00000000-0005-0000-0000-0000B3800000}"/>
    <cellStyle name="Normal 437 6 2 2" xfId="33199" xr:uid="{00000000-0005-0000-0000-0000B4800000}"/>
    <cellStyle name="Normal 437 6 3" xfId="33200" xr:uid="{00000000-0005-0000-0000-0000B5800000}"/>
    <cellStyle name="Normal 437 7" xfId="33201" xr:uid="{00000000-0005-0000-0000-0000B6800000}"/>
    <cellStyle name="Normal 437 7 2" xfId="33202" xr:uid="{00000000-0005-0000-0000-0000B7800000}"/>
    <cellStyle name="Normal 437 7 2 2" xfId="33203" xr:uid="{00000000-0005-0000-0000-0000B8800000}"/>
    <cellStyle name="Normal 437 7 3" xfId="33204" xr:uid="{00000000-0005-0000-0000-0000B9800000}"/>
    <cellStyle name="Normal 437 8" xfId="33205" xr:uid="{00000000-0005-0000-0000-0000BA800000}"/>
    <cellStyle name="Normal 437 8 2" xfId="33206" xr:uid="{00000000-0005-0000-0000-0000BB800000}"/>
    <cellStyle name="Normal 437 8 2 2" xfId="33207" xr:uid="{00000000-0005-0000-0000-0000BC800000}"/>
    <cellStyle name="Normal 437 8 3" xfId="33208" xr:uid="{00000000-0005-0000-0000-0000BD800000}"/>
    <cellStyle name="Normal 437 8 3 2" xfId="33209" xr:uid="{00000000-0005-0000-0000-0000BE800000}"/>
    <cellStyle name="Normal 437 8 4" xfId="33210" xr:uid="{00000000-0005-0000-0000-0000BF800000}"/>
    <cellStyle name="Normal 437 9" xfId="33211" xr:uid="{00000000-0005-0000-0000-0000C0800000}"/>
    <cellStyle name="Normal 438" xfId="33212" xr:uid="{00000000-0005-0000-0000-0000C1800000}"/>
    <cellStyle name="Normal 438 10" xfId="33213" xr:uid="{00000000-0005-0000-0000-0000C2800000}"/>
    <cellStyle name="Normal 438 2" xfId="33214" xr:uid="{00000000-0005-0000-0000-0000C3800000}"/>
    <cellStyle name="Normal 438 2 2" xfId="33215" xr:uid="{00000000-0005-0000-0000-0000C4800000}"/>
    <cellStyle name="Normal 438 2 2 2" xfId="33216" xr:uid="{00000000-0005-0000-0000-0000C5800000}"/>
    <cellStyle name="Normal 438 2 2 2 2" xfId="33217" xr:uid="{00000000-0005-0000-0000-0000C6800000}"/>
    <cellStyle name="Normal 438 2 2 3" xfId="33218" xr:uid="{00000000-0005-0000-0000-0000C7800000}"/>
    <cellStyle name="Normal 438 2 2 3 2" xfId="33219" xr:uid="{00000000-0005-0000-0000-0000C8800000}"/>
    <cellStyle name="Normal 438 2 2 3 2 2" xfId="33220" xr:uid="{00000000-0005-0000-0000-0000C9800000}"/>
    <cellStyle name="Normal 438 2 2 3 3" xfId="33221" xr:uid="{00000000-0005-0000-0000-0000CA800000}"/>
    <cellStyle name="Normal 438 2 2 4" xfId="33222" xr:uid="{00000000-0005-0000-0000-0000CB800000}"/>
    <cellStyle name="Normal 438 2 3" xfId="33223" xr:uid="{00000000-0005-0000-0000-0000CC800000}"/>
    <cellStyle name="Normal 438 2 3 2" xfId="33224" xr:uid="{00000000-0005-0000-0000-0000CD800000}"/>
    <cellStyle name="Normal 438 2 3 2 2" xfId="33225" xr:uid="{00000000-0005-0000-0000-0000CE800000}"/>
    <cellStyle name="Normal 438 2 3 3" xfId="33226" xr:uid="{00000000-0005-0000-0000-0000CF800000}"/>
    <cellStyle name="Normal 438 2 4" xfId="33227" xr:uid="{00000000-0005-0000-0000-0000D0800000}"/>
    <cellStyle name="Normal 438 2 4 2" xfId="33228" xr:uid="{00000000-0005-0000-0000-0000D1800000}"/>
    <cellStyle name="Normal 438 2 4 2 2" xfId="33229" xr:uid="{00000000-0005-0000-0000-0000D2800000}"/>
    <cellStyle name="Normal 438 2 4 3" xfId="33230" xr:uid="{00000000-0005-0000-0000-0000D3800000}"/>
    <cellStyle name="Normal 438 2 5" xfId="33231" xr:uid="{00000000-0005-0000-0000-0000D4800000}"/>
    <cellStyle name="Normal 438 2 5 2" xfId="33232" xr:uid="{00000000-0005-0000-0000-0000D5800000}"/>
    <cellStyle name="Normal 438 2 5 2 2" xfId="33233" xr:uid="{00000000-0005-0000-0000-0000D6800000}"/>
    <cellStyle name="Normal 438 2 5 3" xfId="33234" xr:uid="{00000000-0005-0000-0000-0000D7800000}"/>
    <cellStyle name="Normal 438 2 6" xfId="33235" xr:uid="{00000000-0005-0000-0000-0000D8800000}"/>
    <cellStyle name="Normal 438 3" xfId="33236" xr:uid="{00000000-0005-0000-0000-0000D9800000}"/>
    <cellStyle name="Normal 438 3 2" xfId="33237" xr:uid="{00000000-0005-0000-0000-0000DA800000}"/>
    <cellStyle name="Normal 438 3 2 2" xfId="33238" xr:uid="{00000000-0005-0000-0000-0000DB800000}"/>
    <cellStyle name="Normal 438 3 3" xfId="33239" xr:uid="{00000000-0005-0000-0000-0000DC800000}"/>
    <cellStyle name="Normal 438 3 3 2" xfId="33240" xr:uid="{00000000-0005-0000-0000-0000DD800000}"/>
    <cellStyle name="Normal 438 3 3 2 2" xfId="33241" xr:uid="{00000000-0005-0000-0000-0000DE800000}"/>
    <cellStyle name="Normal 438 3 3 3" xfId="33242" xr:uid="{00000000-0005-0000-0000-0000DF800000}"/>
    <cellStyle name="Normal 438 3 4" xfId="33243" xr:uid="{00000000-0005-0000-0000-0000E0800000}"/>
    <cellStyle name="Normal 438 3 4 2" xfId="33244" xr:uid="{00000000-0005-0000-0000-0000E1800000}"/>
    <cellStyle name="Normal 438 3 4 2 2" xfId="33245" xr:uid="{00000000-0005-0000-0000-0000E2800000}"/>
    <cellStyle name="Normal 438 3 4 3" xfId="33246" xr:uid="{00000000-0005-0000-0000-0000E3800000}"/>
    <cellStyle name="Normal 438 3 5" xfId="33247" xr:uid="{00000000-0005-0000-0000-0000E4800000}"/>
    <cellStyle name="Normal 438 4" xfId="33248" xr:uid="{00000000-0005-0000-0000-0000E5800000}"/>
    <cellStyle name="Normal 438 4 2" xfId="33249" xr:uid="{00000000-0005-0000-0000-0000E6800000}"/>
    <cellStyle name="Normal 438 4 2 2" xfId="33250" xr:uid="{00000000-0005-0000-0000-0000E7800000}"/>
    <cellStyle name="Normal 438 4 2 2 2" xfId="33251" xr:uid="{00000000-0005-0000-0000-0000E8800000}"/>
    <cellStyle name="Normal 438 4 2 3" xfId="33252" xr:uid="{00000000-0005-0000-0000-0000E9800000}"/>
    <cellStyle name="Normal 438 4 2 3 2" xfId="33253" xr:uid="{00000000-0005-0000-0000-0000EA800000}"/>
    <cellStyle name="Normal 438 4 2 3 2 2" xfId="33254" xr:uid="{00000000-0005-0000-0000-0000EB800000}"/>
    <cellStyle name="Normal 438 4 2 3 3" xfId="33255" xr:uid="{00000000-0005-0000-0000-0000EC800000}"/>
    <cellStyle name="Normal 438 4 2 4" xfId="33256" xr:uid="{00000000-0005-0000-0000-0000ED800000}"/>
    <cellStyle name="Normal 438 4 3" xfId="33257" xr:uid="{00000000-0005-0000-0000-0000EE800000}"/>
    <cellStyle name="Normal 438 4 3 2" xfId="33258" xr:uid="{00000000-0005-0000-0000-0000EF800000}"/>
    <cellStyle name="Normal 438 4 3 2 2" xfId="33259" xr:uid="{00000000-0005-0000-0000-0000F0800000}"/>
    <cellStyle name="Normal 438 4 3 3" xfId="33260" xr:uid="{00000000-0005-0000-0000-0000F1800000}"/>
    <cellStyle name="Normal 438 4 4" xfId="33261" xr:uid="{00000000-0005-0000-0000-0000F2800000}"/>
    <cellStyle name="Normal 438 4 4 2" xfId="33262" xr:uid="{00000000-0005-0000-0000-0000F3800000}"/>
    <cellStyle name="Normal 438 4 4 2 2" xfId="33263" xr:uid="{00000000-0005-0000-0000-0000F4800000}"/>
    <cellStyle name="Normal 438 4 4 3" xfId="33264" xr:uid="{00000000-0005-0000-0000-0000F5800000}"/>
    <cellStyle name="Normal 438 4 5" xfId="33265" xr:uid="{00000000-0005-0000-0000-0000F6800000}"/>
    <cellStyle name="Normal 438 4 5 2" xfId="33266" xr:uid="{00000000-0005-0000-0000-0000F7800000}"/>
    <cellStyle name="Normal 438 4 5 2 2" xfId="33267" xr:uid="{00000000-0005-0000-0000-0000F8800000}"/>
    <cellStyle name="Normal 438 4 5 3" xfId="33268" xr:uid="{00000000-0005-0000-0000-0000F9800000}"/>
    <cellStyle name="Normal 438 4 6" xfId="33269" xr:uid="{00000000-0005-0000-0000-0000FA800000}"/>
    <cellStyle name="Normal 438 5" xfId="33270" xr:uid="{00000000-0005-0000-0000-0000FB800000}"/>
    <cellStyle name="Normal 438 5 2" xfId="33271" xr:uid="{00000000-0005-0000-0000-0000FC800000}"/>
    <cellStyle name="Normal 438 5 2 2" xfId="33272" xr:uid="{00000000-0005-0000-0000-0000FD800000}"/>
    <cellStyle name="Normal 438 5 3" xfId="33273" xr:uid="{00000000-0005-0000-0000-0000FE800000}"/>
    <cellStyle name="Normal 438 6" xfId="33274" xr:uid="{00000000-0005-0000-0000-0000FF800000}"/>
    <cellStyle name="Normal 438 6 2" xfId="33275" xr:uid="{00000000-0005-0000-0000-000000810000}"/>
    <cellStyle name="Normal 438 6 2 2" xfId="33276" xr:uid="{00000000-0005-0000-0000-000001810000}"/>
    <cellStyle name="Normal 438 6 3" xfId="33277" xr:uid="{00000000-0005-0000-0000-000002810000}"/>
    <cellStyle name="Normal 438 7" xfId="33278" xr:uid="{00000000-0005-0000-0000-000003810000}"/>
    <cellStyle name="Normal 438 7 2" xfId="33279" xr:uid="{00000000-0005-0000-0000-000004810000}"/>
    <cellStyle name="Normal 438 7 2 2" xfId="33280" xr:uid="{00000000-0005-0000-0000-000005810000}"/>
    <cellStyle name="Normal 438 7 3" xfId="33281" xr:uid="{00000000-0005-0000-0000-000006810000}"/>
    <cellStyle name="Normal 438 8" xfId="33282" xr:uid="{00000000-0005-0000-0000-000007810000}"/>
    <cellStyle name="Normal 438 8 2" xfId="33283" xr:uid="{00000000-0005-0000-0000-000008810000}"/>
    <cellStyle name="Normal 438 8 2 2" xfId="33284" xr:uid="{00000000-0005-0000-0000-000009810000}"/>
    <cellStyle name="Normal 438 8 3" xfId="33285" xr:uid="{00000000-0005-0000-0000-00000A810000}"/>
    <cellStyle name="Normal 438 8 3 2" xfId="33286" xr:uid="{00000000-0005-0000-0000-00000B810000}"/>
    <cellStyle name="Normal 438 8 4" xfId="33287" xr:uid="{00000000-0005-0000-0000-00000C810000}"/>
    <cellStyle name="Normal 438 9" xfId="33288" xr:uid="{00000000-0005-0000-0000-00000D810000}"/>
    <cellStyle name="Normal 439" xfId="33289" xr:uid="{00000000-0005-0000-0000-00000E810000}"/>
    <cellStyle name="Normal 439 10" xfId="33290" xr:uid="{00000000-0005-0000-0000-00000F810000}"/>
    <cellStyle name="Normal 439 2" xfId="33291" xr:uid="{00000000-0005-0000-0000-000010810000}"/>
    <cellStyle name="Normal 439 2 2" xfId="33292" xr:uid="{00000000-0005-0000-0000-000011810000}"/>
    <cellStyle name="Normal 439 2 2 2" xfId="33293" xr:uid="{00000000-0005-0000-0000-000012810000}"/>
    <cellStyle name="Normal 439 2 2 2 2" xfId="33294" xr:uid="{00000000-0005-0000-0000-000013810000}"/>
    <cellStyle name="Normal 439 2 2 3" xfId="33295" xr:uid="{00000000-0005-0000-0000-000014810000}"/>
    <cellStyle name="Normal 439 2 2 3 2" xfId="33296" xr:uid="{00000000-0005-0000-0000-000015810000}"/>
    <cellStyle name="Normal 439 2 2 3 2 2" xfId="33297" xr:uid="{00000000-0005-0000-0000-000016810000}"/>
    <cellStyle name="Normal 439 2 2 3 3" xfId="33298" xr:uid="{00000000-0005-0000-0000-000017810000}"/>
    <cellStyle name="Normal 439 2 2 4" xfId="33299" xr:uid="{00000000-0005-0000-0000-000018810000}"/>
    <cellStyle name="Normal 439 2 3" xfId="33300" xr:uid="{00000000-0005-0000-0000-000019810000}"/>
    <cellStyle name="Normal 439 2 3 2" xfId="33301" xr:uid="{00000000-0005-0000-0000-00001A810000}"/>
    <cellStyle name="Normal 439 2 3 2 2" xfId="33302" xr:uid="{00000000-0005-0000-0000-00001B810000}"/>
    <cellStyle name="Normal 439 2 3 3" xfId="33303" xr:uid="{00000000-0005-0000-0000-00001C810000}"/>
    <cellStyle name="Normal 439 2 4" xfId="33304" xr:uid="{00000000-0005-0000-0000-00001D810000}"/>
    <cellStyle name="Normal 439 2 4 2" xfId="33305" xr:uid="{00000000-0005-0000-0000-00001E810000}"/>
    <cellStyle name="Normal 439 2 4 2 2" xfId="33306" xr:uid="{00000000-0005-0000-0000-00001F810000}"/>
    <cellStyle name="Normal 439 2 4 3" xfId="33307" xr:uid="{00000000-0005-0000-0000-000020810000}"/>
    <cellStyle name="Normal 439 2 5" xfId="33308" xr:uid="{00000000-0005-0000-0000-000021810000}"/>
    <cellStyle name="Normal 439 2 5 2" xfId="33309" xr:uid="{00000000-0005-0000-0000-000022810000}"/>
    <cellStyle name="Normal 439 2 5 2 2" xfId="33310" xr:uid="{00000000-0005-0000-0000-000023810000}"/>
    <cellStyle name="Normal 439 2 5 3" xfId="33311" xr:uid="{00000000-0005-0000-0000-000024810000}"/>
    <cellStyle name="Normal 439 2 6" xfId="33312" xr:uid="{00000000-0005-0000-0000-000025810000}"/>
    <cellStyle name="Normal 439 3" xfId="33313" xr:uid="{00000000-0005-0000-0000-000026810000}"/>
    <cellStyle name="Normal 439 3 2" xfId="33314" xr:uid="{00000000-0005-0000-0000-000027810000}"/>
    <cellStyle name="Normal 439 3 2 2" xfId="33315" xr:uid="{00000000-0005-0000-0000-000028810000}"/>
    <cellStyle name="Normal 439 3 3" xfId="33316" xr:uid="{00000000-0005-0000-0000-000029810000}"/>
    <cellStyle name="Normal 439 3 3 2" xfId="33317" xr:uid="{00000000-0005-0000-0000-00002A810000}"/>
    <cellStyle name="Normal 439 3 3 2 2" xfId="33318" xr:uid="{00000000-0005-0000-0000-00002B810000}"/>
    <cellStyle name="Normal 439 3 3 3" xfId="33319" xr:uid="{00000000-0005-0000-0000-00002C810000}"/>
    <cellStyle name="Normal 439 3 4" xfId="33320" xr:uid="{00000000-0005-0000-0000-00002D810000}"/>
    <cellStyle name="Normal 439 3 4 2" xfId="33321" xr:uid="{00000000-0005-0000-0000-00002E810000}"/>
    <cellStyle name="Normal 439 3 4 2 2" xfId="33322" xr:uid="{00000000-0005-0000-0000-00002F810000}"/>
    <cellStyle name="Normal 439 3 4 3" xfId="33323" xr:uid="{00000000-0005-0000-0000-000030810000}"/>
    <cellStyle name="Normal 439 3 5" xfId="33324" xr:uid="{00000000-0005-0000-0000-000031810000}"/>
    <cellStyle name="Normal 439 4" xfId="33325" xr:uid="{00000000-0005-0000-0000-000032810000}"/>
    <cellStyle name="Normal 439 4 2" xfId="33326" xr:uid="{00000000-0005-0000-0000-000033810000}"/>
    <cellStyle name="Normal 439 4 2 2" xfId="33327" xr:uid="{00000000-0005-0000-0000-000034810000}"/>
    <cellStyle name="Normal 439 4 2 2 2" xfId="33328" xr:uid="{00000000-0005-0000-0000-000035810000}"/>
    <cellStyle name="Normal 439 4 2 3" xfId="33329" xr:uid="{00000000-0005-0000-0000-000036810000}"/>
    <cellStyle name="Normal 439 4 2 3 2" xfId="33330" xr:uid="{00000000-0005-0000-0000-000037810000}"/>
    <cellStyle name="Normal 439 4 2 3 2 2" xfId="33331" xr:uid="{00000000-0005-0000-0000-000038810000}"/>
    <cellStyle name="Normal 439 4 2 3 3" xfId="33332" xr:uid="{00000000-0005-0000-0000-000039810000}"/>
    <cellStyle name="Normal 439 4 2 4" xfId="33333" xr:uid="{00000000-0005-0000-0000-00003A810000}"/>
    <cellStyle name="Normal 439 4 3" xfId="33334" xr:uid="{00000000-0005-0000-0000-00003B810000}"/>
    <cellStyle name="Normal 439 4 3 2" xfId="33335" xr:uid="{00000000-0005-0000-0000-00003C810000}"/>
    <cellStyle name="Normal 439 4 3 2 2" xfId="33336" xr:uid="{00000000-0005-0000-0000-00003D810000}"/>
    <cellStyle name="Normal 439 4 3 3" xfId="33337" xr:uid="{00000000-0005-0000-0000-00003E810000}"/>
    <cellStyle name="Normal 439 4 4" xfId="33338" xr:uid="{00000000-0005-0000-0000-00003F810000}"/>
    <cellStyle name="Normal 439 4 4 2" xfId="33339" xr:uid="{00000000-0005-0000-0000-000040810000}"/>
    <cellStyle name="Normal 439 4 4 2 2" xfId="33340" xr:uid="{00000000-0005-0000-0000-000041810000}"/>
    <cellStyle name="Normal 439 4 4 3" xfId="33341" xr:uid="{00000000-0005-0000-0000-000042810000}"/>
    <cellStyle name="Normal 439 4 5" xfId="33342" xr:uid="{00000000-0005-0000-0000-000043810000}"/>
    <cellStyle name="Normal 439 4 5 2" xfId="33343" xr:uid="{00000000-0005-0000-0000-000044810000}"/>
    <cellStyle name="Normal 439 4 5 2 2" xfId="33344" xr:uid="{00000000-0005-0000-0000-000045810000}"/>
    <cellStyle name="Normal 439 4 5 3" xfId="33345" xr:uid="{00000000-0005-0000-0000-000046810000}"/>
    <cellStyle name="Normal 439 4 6" xfId="33346" xr:uid="{00000000-0005-0000-0000-000047810000}"/>
    <cellStyle name="Normal 439 5" xfId="33347" xr:uid="{00000000-0005-0000-0000-000048810000}"/>
    <cellStyle name="Normal 439 5 2" xfId="33348" xr:uid="{00000000-0005-0000-0000-000049810000}"/>
    <cellStyle name="Normal 439 5 2 2" xfId="33349" xr:uid="{00000000-0005-0000-0000-00004A810000}"/>
    <cellStyle name="Normal 439 5 3" xfId="33350" xr:uid="{00000000-0005-0000-0000-00004B810000}"/>
    <cellStyle name="Normal 439 6" xfId="33351" xr:uid="{00000000-0005-0000-0000-00004C810000}"/>
    <cellStyle name="Normal 439 6 2" xfId="33352" xr:uid="{00000000-0005-0000-0000-00004D810000}"/>
    <cellStyle name="Normal 439 6 2 2" xfId="33353" xr:uid="{00000000-0005-0000-0000-00004E810000}"/>
    <cellStyle name="Normal 439 6 3" xfId="33354" xr:uid="{00000000-0005-0000-0000-00004F810000}"/>
    <cellStyle name="Normal 439 7" xfId="33355" xr:uid="{00000000-0005-0000-0000-000050810000}"/>
    <cellStyle name="Normal 439 7 2" xfId="33356" xr:uid="{00000000-0005-0000-0000-000051810000}"/>
    <cellStyle name="Normal 439 7 2 2" xfId="33357" xr:uid="{00000000-0005-0000-0000-000052810000}"/>
    <cellStyle name="Normal 439 7 3" xfId="33358" xr:uid="{00000000-0005-0000-0000-000053810000}"/>
    <cellStyle name="Normal 439 8" xfId="33359" xr:uid="{00000000-0005-0000-0000-000054810000}"/>
    <cellStyle name="Normal 439 8 2" xfId="33360" xr:uid="{00000000-0005-0000-0000-000055810000}"/>
    <cellStyle name="Normal 439 8 2 2" xfId="33361" xr:uid="{00000000-0005-0000-0000-000056810000}"/>
    <cellStyle name="Normal 439 8 3" xfId="33362" xr:uid="{00000000-0005-0000-0000-000057810000}"/>
    <cellStyle name="Normal 439 8 3 2" xfId="33363" xr:uid="{00000000-0005-0000-0000-000058810000}"/>
    <cellStyle name="Normal 439 8 4" xfId="33364" xr:uid="{00000000-0005-0000-0000-000059810000}"/>
    <cellStyle name="Normal 439 9" xfId="33365" xr:uid="{00000000-0005-0000-0000-00005A810000}"/>
    <cellStyle name="Normal 44" xfId="33366" xr:uid="{00000000-0005-0000-0000-00005B810000}"/>
    <cellStyle name="Normal 44 2" xfId="33367" xr:uid="{00000000-0005-0000-0000-00005C810000}"/>
    <cellStyle name="Normal 44 2 2" xfId="33368" xr:uid="{00000000-0005-0000-0000-00005D810000}"/>
    <cellStyle name="Normal 44 2 2 2" xfId="33369" xr:uid="{00000000-0005-0000-0000-00005E810000}"/>
    <cellStyle name="Normal 44 2 2 2 2" xfId="33370" xr:uid="{00000000-0005-0000-0000-00005F810000}"/>
    <cellStyle name="Normal 44 2 2 3" xfId="33371" xr:uid="{00000000-0005-0000-0000-000060810000}"/>
    <cellStyle name="Normal 44 2 2 3 2" xfId="33372" xr:uid="{00000000-0005-0000-0000-000061810000}"/>
    <cellStyle name="Normal 44 2 2 3 2 2" xfId="33373" xr:uid="{00000000-0005-0000-0000-000062810000}"/>
    <cellStyle name="Normal 44 2 2 3 3" xfId="33374" xr:uid="{00000000-0005-0000-0000-000063810000}"/>
    <cellStyle name="Normal 44 2 2 4" xfId="33375" xr:uid="{00000000-0005-0000-0000-000064810000}"/>
    <cellStyle name="Normal 44 2 2 4 2" xfId="33376" xr:uid="{00000000-0005-0000-0000-000065810000}"/>
    <cellStyle name="Normal 44 2 2 4 2 2" xfId="33377" xr:uid="{00000000-0005-0000-0000-000066810000}"/>
    <cellStyle name="Normal 44 2 2 4 3" xfId="33378" xr:uid="{00000000-0005-0000-0000-000067810000}"/>
    <cellStyle name="Normal 44 2 2 5" xfId="33379" xr:uid="{00000000-0005-0000-0000-000068810000}"/>
    <cellStyle name="Normal 44 2 3" xfId="33380" xr:uid="{00000000-0005-0000-0000-000069810000}"/>
    <cellStyle name="Normal 44 2 3 2" xfId="33381" xr:uid="{00000000-0005-0000-0000-00006A810000}"/>
    <cellStyle name="Normal 44 2 3 2 2" xfId="33382" xr:uid="{00000000-0005-0000-0000-00006B810000}"/>
    <cellStyle name="Normal 44 2 3 3" xfId="33383" xr:uid="{00000000-0005-0000-0000-00006C810000}"/>
    <cellStyle name="Normal 44 2 4" xfId="33384" xr:uid="{00000000-0005-0000-0000-00006D810000}"/>
    <cellStyle name="Normal 44 2 4 2" xfId="33385" xr:uid="{00000000-0005-0000-0000-00006E810000}"/>
    <cellStyle name="Normal 44 2 4 2 2" xfId="33386" xr:uid="{00000000-0005-0000-0000-00006F810000}"/>
    <cellStyle name="Normal 44 2 4 3" xfId="33387" xr:uid="{00000000-0005-0000-0000-000070810000}"/>
    <cellStyle name="Normal 44 2 5" xfId="33388" xr:uid="{00000000-0005-0000-0000-000071810000}"/>
    <cellStyle name="Normal 44 2 5 2" xfId="33389" xr:uid="{00000000-0005-0000-0000-000072810000}"/>
    <cellStyle name="Normal 44 2 5 2 2" xfId="33390" xr:uid="{00000000-0005-0000-0000-000073810000}"/>
    <cellStyle name="Normal 44 2 5 3" xfId="33391" xr:uid="{00000000-0005-0000-0000-000074810000}"/>
    <cellStyle name="Normal 44 2 6" xfId="33392" xr:uid="{00000000-0005-0000-0000-000075810000}"/>
    <cellStyle name="Normal 44 3" xfId="33393" xr:uid="{00000000-0005-0000-0000-000076810000}"/>
    <cellStyle name="Normal 44 3 2" xfId="33394" xr:uid="{00000000-0005-0000-0000-000077810000}"/>
    <cellStyle name="Normal 44 3 2 2" xfId="33395" xr:uid="{00000000-0005-0000-0000-000078810000}"/>
    <cellStyle name="Normal 44 3 3" xfId="33396" xr:uid="{00000000-0005-0000-0000-000079810000}"/>
    <cellStyle name="Normal 44 3 3 2" xfId="33397" xr:uid="{00000000-0005-0000-0000-00007A810000}"/>
    <cellStyle name="Normal 44 3 3 2 2" xfId="33398" xr:uid="{00000000-0005-0000-0000-00007B810000}"/>
    <cellStyle name="Normal 44 3 3 3" xfId="33399" xr:uid="{00000000-0005-0000-0000-00007C810000}"/>
    <cellStyle name="Normal 44 3 4" xfId="33400" xr:uid="{00000000-0005-0000-0000-00007D810000}"/>
    <cellStyle name="Normal 44 3 4 2" xfId="33401" xr:uid="{00000000-0005-0000-0000-00007E810000}"/>
    <cellStyle name="Normal 44 3 4 2 2" xfId="33402" xr:uid="{00000000-0005-0000-0000-00007F810000}"/>
    <cellStyle name="Normal 44 3 4 3" xfId="33403" xr:uid="{00000000-0005-0000-0000-000080810000}"/>
    <cellStyle name="Normal 44 3 5" xfId="33404" xr:uid="{00000000-0005-0000-0000-000081810000}"/>
    <cellStyle name="Normal 44 4" xfId="33405" xr:uid="{00000000-0005-0000-0000-000082810000}"/>
    <cellStyle name="Normal 44 4 2" xfId="33406" xr:uid="{00000000-0005-0000-0000-000083810000}"/>
    <cellStyle name="Normal 44 4 2 2" xfId="33407" xr:uid="{00000000-0005-0000-0000-000084810000}"/>
    <cellStyle name="Normal 44 4 3" xfId="33408" xr:uid="{00000000-0005-0000-0000-000085810000}"/>
    <cellStyle name="Normal 44 5" xfId="33409" xr:uid="{00000000-0005-0000-0000-000086810000}"/>
    <cellStyle name="Normal 44 5 2" xfId="33410" xr:uid="{00000000-0005-0000-0000-000087810000}"/>
    <cellStyle name="Normal 44 5 2 2" xfId="33411" xr:uid="{00000000-0005-0000-0000-000088810000}"/>
    <cellStyle name="Normal 44 5 3" xfId="33412" xr:uid="{00000000-0005-0000-0000-000089810000}"/>
    <cellStyle name="Normal 44 6" xfId="33413" xr:uid="{00000000-0005-0000-0000-00008A810000}"/>
    <cellStyle name="Normal 44 6 2" xfId="33414" xr:uid="{00000000-0005-0000-0000-00008B810000}"/>
    <cellStyle name="Normal 44 6 2 2" xfId="33415" xr:uid="{00000000-0005-0000-0000-00008C810000}"/>
    <cellStyle name="Normal 44 6 3" xfId="33416" xr:uid="{00000000-0005-0000-0000-00008D810000}"/>
    <cellStyle name="Normal 44 7" xfId="33417" xr:uid="{00000000-0005-0000-0000-00008E810000}"/>
    <cellStyle name="Normal 440" xfId="33418" xr:uid="{00000000-0005-0000-0000-00008F810000}"/>
    <cellStyle name="Normal 440 10" xfId="33419" xr:uid="{00000000-0005-0000-0000-000090810000}"/>
    <cellStyle name="Normal 440 2" xfId="33420" xr:uid="{00000000-0005-0000-0000-000091810000}"/>
    <cellStyle name="Normal 440 2 2" xfId="33421" xr:uid="{00000000-0005-0000-0000-000092810000}"/>
    <cellStyle name="Normal 440 2 2 2" xfId="33422" xr:uid="{00000000-0005-0000-0000-000093810000}"/>
    <cellStyle name="Normal 440 2 2 2 2" xfId="33423" xr:uid="{00000000-0005-0000-0000-000094810000}"/>
    <cellStyle name="Normal 440 2 2 3" xfId="33424" xr:uid="{00000000-0005-0000-0000-000095810000}"/>
    <cellStyle name="Normal 440 2 2 3 2" xfId="33425" xr:uid="{00000000-0005-0000-0000-000096810000}"/>
    <cellStyle name="Normal 440 2 2 3 2 2" xfId="33426" xr:uid="{00000000-0005-0000-0000-000097810000}"/>
    <cellStyle name="Normal 440 2 2 3 3" xfId="33427" xr:uid="{00000000-0005-0000-0000-000098810000}"/>
    <cellStyle name="Normal 440 2 2 4" xfId="33428" xr:uid="{00000000-0005-0000-0000-000099810000}"/>
    <cellStyle name="Normal 440 2 3" xfId="33429" xr:uid="{00000000-0005-0000-0000-00009A810000}"/>
    <cellStyle name="Normal 440 2 3 2" xfId="33430" xr:uid="{00000000-0005-0000-0000-00009B810000}"/>
    <cellStyle name="Normal 440 2 3 2 2" xfId="33431" xr:uid="{00000000-0005-0000-0000-00009C810000}"/>
    <cellStyle name="Normal 440 2 3 3" xfId="33432" xr:uid="{00000000-0005-0000-0000-00009D810000}"/>
    <cellStyle name="Normal 440 2 4" xfId="33433" xr:uid="{00000000-0005-0000-0000-00009E810000}"/>
    <cellStyle name="Normal 440 2 4 2" xfId="33434" xr:uid="{00000000-0005-0000-0000-00009F810000}"/>
    <cellStyle name="Normal 440 2 4 2 2" xfId="33435" xr:uid="{00000000-0005-0000-0000-0000A0810000}"/>
    <cellStyle name="Normal 440 2 4 3" xfId="33436" xr:uid="{00000000-0005-0000-0000-0000A1810000}"/>
    <cellStyle name="Normal 440 2 5" xfId="33437" xr:uid="{00000000-0005-0000-0000-0000A2810000}"/>
    <cellStyle name="Normal 440 2 5 2" xfId="33438" xr:uid="{00000000-0005-0000-0000-0000A3810000}"/>
    <cellStyle name="Normal 440 2 5 2 2" xfId="33439" xr:uid="{00000000-0005-0000-0000-0000A4810000}"/>
    <cellStyle name="Normal 440 2 5 3" xfId="33440" xr:uid="{00000000-0005-0000-0000-0000A5810000}"/>
    <cellStyle name="Normal 440 2 6" xfId="33441" xr:uid="{00000000-0005-0000-0000-0000A6810000}"/>
    <cellStyle name="Normal 440 3" xfId="33442" xr:uid="{00000000-0005-0000-0000-0000A7810000}"/>
    <cellStyle name="Normal 440 3 2" xfId="33443" xr:uid="{00000000-0005-0000-0000-0000A8810000}"/>
    <cellStyle name="Normal 440 3 2 2" xfId="33444" xr:uid="{00000000-0005-0000-0000-0000A9810000}"/>
    <cellStyle name="Normal 440 3 3" xfId="33445" xr:uid="{00000000-0005-0000-0000-0000AA810000}"/>
    <cellStyle name="Normal 440 3 3 2" xfId="33446" xr:uid="{00000000-0005-0000-0000-0000AB810000}"/>
    <cellStyle name="Normal 440 3 3 2 2" xfId="33447" xr:uid="{00000000-0005-0000-0000-0000AC810000}"/>
    <cellStyle name="Normal 440 3 3 3" xfId="33448" xr:uid="{00000000-0005-0000-0000-0000AD810000}"/>
    <cellStyle name="Normal 440 3 4" xfId="33449" xr:uid="{00000000-0005-0000-0000-0000AE810000}"/>
    <cellStyle name="Normal 440 3 4 2" xfId="33450" xr:uid="{00000000-0005-0000-0000-0000AF810000}"/>
    <cellStyle name="Normal 440 3 4 2 2" xfId="33451" xr:uid="{00000000-0005-0000-0000-0000B0810000}"/>
    <cellStyle name="Normal 440 3 4 3" xfId="33452" xr:uid="{00000000-0005-0000-0000-0000B1810000}"/>
    <cellStyle name="Normal 440 3 5" xfId="33453" xr:uid="{00000000-0005-0000-0000-0000B2810000}"/>
    <cellStyle name="Normal 440 4" xfId="33454" xr:uid="{00000000-0005-0000-0000-0000B3810000}"/>
    <cellStyle name="Normal 440 4 2" xfId="33455" xr:uid="{00000000-0005-0000-0000-0000B4810000}"/>
    <cellStyle name="Normal 440 4 2 2" xfId="33456" xr:uid="{00000000-0005-0000-0000-0000B5810000}"/>
    <cellStyle name="Normal 440 4 2 2 2" xfId="33457" xr:uid="{00000000-0005-0000-0000-0000B6810000}"/>
    <cellStyle name="Normal 440 4 2 3" xfId="33458" xr:uid="{00000000-0005-0000-0000-0000B7810000}"/>
    <cellStyle name="Normal 440 4 2 3 2" xfId="33459" xr:uid="{00000000-0005-0000-0000-0000B8810000}"/>
    <cellStyle name="Normal 440 4 2 3 2 2" xfId="33460" xr:uid="{00000000-0005-0000-0000-0000B9810000}"/>
    <cellStyle name="Normal 440 4 2 3 3" xfId="33461" xr:uid="{00000000-0005-0000-0000-0000BA810000}"/>
    <cellStyle name="Normal 440 4 2 4" xfId="33462" xr:uid="{00000000-0005-0000-0000-0000BB810000}"/>
    <cellStyle name="Normal 440 4 3" xfId="33463" xr:uid="{00000000-0005-0000-0000-0000BC810000}"/>
    <cellStyle name="Normal 440 4 3 2" xfId="33464" xr:uid="{00000000-0005-0000-0000-0000BD810000}"/>
    <cellStyle name="Normal 440 4 3 2 2" xfId="33465" xr:uid="{00000000-0005-0000-0000-0000BE810000}"/>
    <cellStyle name="Normal 440 4 3 3" xfId="33466" xr:uid="{00000000-0005-0000-0000-0000BF810000}"/>
    <cellStyle name="Normal 440 4 4" xfId="33467" xr:uid="{00000000-0005-0000-0000-0000C0810000}"/>
    <cellStyle name="Normal 440 4 4 2" xfId="33468" xr:uid="{00000000-0005-0000-0000-0000C1810000}"/>
    <cellStyle name="Normal 440 4 4 2 2" xfId="33469" xr:uid="{00000000-0005-0000-0000-0000C2810000}"/>
    <cellStyle name="Normal 440 4 4 3" xfId="33470" xr:uid="{00000000-0005-0000-0000-0000C3810000}"/>
    <cellStyle name="Normal 440 4 5" xfId="33471" xr:uid="{00000000-0005-0000-0000-0000C4810000}"/>
    <cellStyle name="Normal 440 4 5 2" xfId="33472" xr:uid="{00000000-0005-0000-0000-0000C5810000}"/>
    <cellStyle name="Normal 440 4 5 2 2" xfId="33473" xr:uid="{00000000-0005-0000-0000-0000C6810000}"/>
    <cellStyle name="Normal 440 4 5 3" xfId="33474" xr:uid="{00000000-0005-0000-0000-0000C7810000}"/>
    <cellStyle name="Normal 440 4 6" xfId="33475" xr:uid="{00000000-0005-0000-0000-0000C8810000}"/>
    <cellStyle name="Normal 440 5" xfId="33476" xr:uid="{00000000-0005-0000-0000-0000C9810000}"/>
    <cellStyle name="Normal 440 5 2" xfId="33477" xr:uid="{00000000-0005-0000-0000-0000CA810000}"/>
    <cellStyle name="Normal 440 5 2 2" xfId="33478" xr:uid="{00000000-0005-0000-0000-0000CB810000}"/>
    <cellStyle name="Normal 440 5 3" xfId="33479" xr:uid="{00000000-0005-0000-0000-0000CC810000}"/>
    <cellStyle name="Normal 440 6" xfId="33480" xr:uid="{00000000-0005-0000-0000-0000CD810000}"/>
    <cellStyle name="Normal 440 6 2" xfId="33481" xr:uid="{00000000-0005-0000-0000-0000CE810000}"/>
    <cellStyle name="Normal 440 6 2 2" xfId="33482" xr:uid="{00000000-0005-0000-0000-0000CF810000}"/>
    <cellStyle name="Normal 440 6 3" xfId="33483" xr:uid="{00000000-0005-0000-0000-0000D0810000}"/>
    <cellStyle name="Normal 440 7" xfId="33484" xr:uid="{00000000-0005-0000-0000-0000D1810000}"/>
    <cellStyle name="Normal 440 7 2" xfId="33485" xr:uid="{00000000-0005-0000-0000-0000D2810000}"/>
    <cellStyle name="Normal 440 7 2 2" xfId="33486" xr:uid="{00000000-0005-0000-0000-0000D3810000}"/>
    <cellStyle name="Normal 440 7 3" xfId="33487" xr:uid="{00000000-0005-0000-0000-0000D4810000}"/>
    <cellStyle name="Normal 440 8" xfId="33488" xr:uid="{00000000-0005-0000-0000-0000D5810000}"/>
    <cellStyle name="Normal 440 8 2" xfId="33489" xr:uid="{00000000-0005-0000-0000-0000D6810000}"/>
    <cellStyle name="Normal 440 8 2 2" xfId="33490" xr:uid="{00000000-0005-0000-0000-0000D7810000}"/>
    <cellStyle name="Normal 440 8 3" xfId="33491" xr:uid="{00000000-0005-0000-0000-0000D8810000}"/>
    <cellStyle name="Normal 440 8 3 2" xfId="33492" xr:uid="{00000000-0005-0000-0000-0000D9810000}"/>
    <cellStyle name="Normal 440 8 4" xfId="33493" xr:uid="{00000000-0005-0000-0000-0000DA810000}"/>
    <cellStyle name="Normal 440 9" xfId="33494" xr:uid="{00000000-0005-0000-0000-0000DB810000}"/>
    <cellStyle name="Normal 441" xfId="33495" xr:uid="{00000000-0005-0000-0000-0000DC810000}"/>
    <cellStyle name="Normal 441 2" xfId="33496" xr:uid="{00000000-0005-0000-0000-0000DD810000}"/>
    <cellStyle name="Normal 441 2 2" xfId="33497" xr:uid="{00000000-0005-0000-0000-0000DE810000}"/>
    <cellStyle name="Normal 441 2 2 2" xfId="33498" xr:uid="{00000000-0005-0000-0000-0000DF810000}"/>
    <cellStyle name="Normal 441 2 3" xfId="33499" xr:uid="{00000000-0005-0000-0000-0000E0810000}"/>
    <cellStyle name="Normal 441 2 3 2" xfId="33500" xr:uid="{00000000-0005-0000-0000-0000E1810000}"/>
    <cellStyle name="Normal 441 2 3 2 2" xfId="33501" xr:uid="{00000000-0005-0000-0000-0000E2810000}"/>
    <cellStyle name="Normal 441 2 3 3" xfId="33502" xr:uid="{00000000-0005-0000-0000-0000E3810000}"/>
    <cellStyle name="Normal 441 2 4" xfId="33503" xr:uid="{00000000-0005-0000-0000-0000E4810000}"/>
    <cellStyle name="Normal 441 2 4 2" xfId="33504" xr:uid="{00000000-0005-0000-0000-0000E5810000}"/>
    <cellStyle name="Normal 441 2 4 2 2" xfId="33505" xr:uid="{00000000-0005-0000-0000-0000E6810000}"/>
    <cellStyle name="Normal 441 2 4 3" xfId="33506" xr:uid="{00000000-0005-0000-0000-0000E7810000}"/>
    <cellStyle name="Normal 441 2 5" xfId="33507" xr:uid="{00000000-0005-0000-0000-0000E8810000}"/>
    <cellStyle name="Normal 441 3" xfId="33508" xr:uid="{00000000-0005-0000-0000-0000E9810000}"/>
    <cellStyle name="Normal 441 3 2" xfId="33509" xr:uid="{00000000-0005-0000-0000-0000EA810000}"/>
    <cellStyle name="Normal 441 3 2 2" xfId="33510" xr:uid="{00000000-0005-0000-0000-0000EB810000}"/>
    <cellStyle name="Normal 441 3 2 2 2" xfId="33511" xr:uid="{00000000-0005-0000-0000-0000EC810000}"/>
    <cellStyle name="Normal 441 3 2 3" xfId="33512" xr:uid="{00000000-0005-0000-0000-0000ED810000}"/>
    <cellStyle name="Normal 441 3 2 3 2" xfId="33513" xr:uid="{00000000-0005-0000-0000-0000EE810000}"/>
    <cellStyle name="Normal 441 3 2 3 2 2" xfId="33514" xr:uid="{00000000-0005-0000-0000-0000EF810000}"/>
    <cellStyle name="Normal 441 3 2 3 3" xfId="33515" xr:uid="{00000000-0005-0000-0000-0000F0810000}"/>
    <cellStyle name="Normal 441 3 2 4" xfId="33516" xr:uid="{00000000-0005-0000-0000-0000F1810000}"/>
    <cellStyle name="Normal 441 3 3" xfId="33517" xr:uid="{00000000-0005-0000-0000-0000F2810000}"/>
    <cellStyle name="Normal 441 3 3 2" xfId="33518" xr:uid="{00000000-0005-0000-0000-0000F3810000}"/>
    <cellStyle name="Normal 441 3 3 2 2" xfId="33519" xr:uid="{00000000-0005-0000-0000-0000F4810000}"/>
    <cellStyle name="Normal 441 3 3 3" xfId="33520" xr:uid="{00000000-0005-0000-0000-0000F5810000}"/>
    <cellStyle name="Normal 441 3 4" xfId="33521" xr:uid="{00000000-0005-0000-0000-0000F6810000}"/>
    <cellStyle name="Normal 441 3 4 2" xfId="33522" xr:uid="{00000000-0005-0000-0000-0000F7810000}"/>
    <cellStyle name="Normal 441 3 4 2 2" xfId="33523" xr:uid="{00000000-0005-0000-0000-0000F8810000}"/>
    <cellStyle name="Normal 441 3 4 3" xfId="33524" xr:uid="{00000000-0005-0000-0000-0000F9810000}"/>
    <cellStyle name="Normal 441 3 5" xfId="33525" xr:uid="{00000000-0005-0000-0000-0000FA810000}"/>
    <cellStyle name="Normal 441 3 5 2" xfId="33526" xr:uid="{00000000-0005-0000-0000-0000FB810000}"/>
    <cellStyle name="Normal 441 3 5 2 2" xfId="33527" xr:uid="{00000000-0005-0000-0000-0000FC810000}"/>
    <cellStyle name="Normal 441 3 5 3" xfId="33528" xr:uid="{00000000-0005-0000-0000-0000FD810000}"/>
    <cellStyle name="Normal 441 3 6" xfId="33529" xr:uid="{00000000-0005-0000-0000-0000FE810000}"/>
    <cellStyle name="Normal 441 4" xfId="33530" xr:uid="{00000000-0005-0000-0000-0000FF810000}"/>
    <cellStyle name="Normal 441 4 2" xfId="33531" xr:uid="{00000000-0005-0000-0000-000000820000}"/>
    <cellStyle name="Normal 441 4 2 2" xfId="33532" xr:uid="{00000000-0005-0000-0000-000001820000}"/>
    <cellStyle name="Normal 441 4 3" xfId="33533" xr:uid="{00000000-0005-0000-0000-000002820000}"/>
    <cellStyle name="Normal 441 5" xfId="33534" xr:uid="{00000000-0005-0000-0000-000003820000}"/>
    <cellStyle name="Normal 441 5 2" xfId="33535" xr:uid="{00000000-0005-0000-0000-000004820000}"/>
    <cellStyle name="Normal 441 5 2 2" xfId="33536" xr:uid="{00000000-0005-0000-0000-000005820000}"/>
    <cellStyle name="Normal 441 5 3" xfId="33537" xr:uid="{00000000-0005-0000-0000-000006820000}"/>
    <cellStyle name="Normal 441 6" xfId="33538" xr:uid="{00000000-0005-0000-0000-000007820000}"/>
    <cellStyle name="Normal 441 6 2" xfId="33539" xr:uid="{00000000-0005-0000-0000-000008820000}"/>
    <cellStyle name="Normal 441 6 2 2" xfId="33540" xr:uid="{00000000-0005-0000-0000-000009820000}"/>
    <cellStyle name="Normal 441 6 3" xfId="33541" xr:uid="{00000000-0005-0000-0000-00000A820000}"/>
    <cellStyle name="Normal 441 7" xfId="33542" xr:uid="{00000000-0005-0000-0000-00000B820000}"/>
    <cellStyle name="Normal 442" xfId="33543" xr:uid="{00000000-0005-0000-0000-00000C820000}"/>
    <cellStyle name="Normal 442 2" xfId="33544" xr:uid="{00000000-0005-0000-0000-00000D820000}"/>
    <cellStyle name="Normal 442 2 2" xfId="33545" xr:uid="{00000000-0005-0000-0000-00000E820000}"/>
    <cellStyle name="Normal 442 2 2 2" xfId="33546" xr:uid="{00000000-0005-0000-0000-00000F820000}"/>
    <cellStyle name="Normal 442 2 3" xfId="33547" xr:uid="{00000000-0005-0000-0000-000010820000}"/>
    <cellStyle name="Normal 442 2 3 2" xfId="33548" xr:uid="{00000000-0005-0000-0000-000011820000}"/>
    <cellStyle name="Normal 442 2 3 2 2" xfId="33549" xr:uid="{00000000-0005-0000-0000-000012820000}"/>
    <cellStyle name="Normal 442 2 3 3" xfId="33550" xr:uid="{00000000-0005-0000-0000-000013820000}"/>
    <cellStyle name="Normal 442 2 4" xfId="33551" xr:uid="{00000000-0005-0000-0000-000014820000}"/>
    <cellStyle name="Normal 442 2 4 2" xfId="33552" xr:uid="{00000000-0005-0000-0000-000015820000}"/>
    <cellStyle name="Normal 442 2 4 2 2" xfId="33553" xr:uid="{00000000-0005-0000-0000-000016820000}"/>
    <cellStyle name="Normal 442 2 4 3" xfId="33554" xr:uid="{00000000-0005-0000-0000-000017820000}"/>
    <cellStyle name="Normal 442 2 5" xfId="33555" xr:uid="{00000000-0005-0000-0000-000018820000}"/>
    <cellStyle name="Normal 442 3" xfId="33556" xr:uid="{00000000-0005-0000-0000-000019820000}"/>
    <cellStyle name="Normal 442 3 2" xfId="33557" xr:uid="{00000000-0005-0000-0000-00001A820000}"/>
    <cellStyle name="Normal 442 3 2 2" xfId="33558" xr:uid="{00000000-0005-0000-0000-00001B820000}"/>
    <cellStyle name="Normal 442 3 2 2 2" xfId="33559" xr:uid="{00000000-0005-0000-0000-00001C820000}"/>
    <cellStyle name="Normal 442 3 2 3" xfId="33560" xr:uid="{00000000-0005-0000-0000-00001D820000}"/>
    <cellStyle name="Normal 442 3 2 3 2" xfId="33561" xr:uid="{00000000-0005-0000-0000-00001E820000}"/>
    <cellStyle name="Normal 442 3 2 3 2 2" xfId="33562" xr:uid="{00000000-0005-0000-0000-00001F820000}"/>
    <cellStyle name="Normal 442 3 2 3 3" xfId="33563" xr:uid="{00000000-0005-0000-0000-000020820000}"/>
    <cellStyle name="Normal 442 3 2 4" xfId="33564" xr:uid="{00000000-0005-0000-0000-000021820000}"/>
    <cellStyle name="Normal 442 3 3" xfId="33565" xr:uid="{00000000-0005-0000-0000-000022820000}"/>
    <cellStyle name="Normal 442 3 3 2" xfId="33566" xr:uid="{00000000-0005-0000-0000-000023820000}"/>
    <cellStyle name="Normal 442 3 3 2 2" xfId="33567" xr:uid="{00000000-0005-0000-0000-000024820000}"/>
    <cellStyle name="Normal 442 3 3 3" xfId="33568" xr:uid="{00000000-0005-0000-0000-000025820000}"/>
    <cellStyle name="Normal 442 3 4" xfId="33569" xr:uid="{00000000-0005-0000-0000-000026820000}"/>
    <cellStyle name="Normal 442 3 4 2" xfId="33570" xr:uid="{00000000-0005-0000-0000-000027820000}"/>
    <cellStyle name="Normal 442 3 4 2 2" xfId="33571" xr:uid="{00000000-0005-0000-0000-000028820000}"/>
    <cellStyle name="Normal 442 3 4 3" xfId="33572" xr:uid="{00000000-0005-0000-0000-000029820000}"/>
    <cellStyle name="Normal 442 3 5" xfId="33573" xr:uid="{00000000-0005-0000-0000-00002A820000}"/>
    <cellStyle name="Normal 442 3 5 2" xfId="33574" xr:uid="{00000000-0005-0000-0000-00002B820000}"/>
    <cellStyle name="Normal 442 3 5 2 2" xfId="33575" xr:uid="{00000000-0005-0000-0000-00002C820000}"/>
    <cellStyle name="Normal 442 3 5 3" xfId="33576" xr:uid="{00000000-0005-0000-0000-00002D820000}"/>
    <cellStyle name="Normal 442 3 6" xfId="33577" xr:uid="{00000000-0005-0000-0000-00002E820000}"/>
    <cellStyle name="Normal 442 4" xfId="33578" xr:uid="{00000000-0005-0000-0000-00002F820000}"/>
    <cellStyle name="Normal 442 4 2" xfId="33579" xr:uid="{00000000-0005-0000-0000-000030820000}"/>
    <cellStyle name="Normal 442 4 2 2" xfId="33580" xr:uid="{00000000-0005-0000-0000-000031820000}"/>
    <cellStyle name="Normal 442 4 3" xfId="33581" xr:uid="{00000000-0005-0000-0000-000032820000}"/>
    <cellStyle name="Normal 442 5" xfId="33582" xr:uid="{00000000-0005-0000-0000-000033820000}"/>
    <cellStyle name="Normal 442 5 2" xfId="33583" xr:uid="{00000000-0005-0000-0000-000034820000}"/>
    <cellStyle name="Normal 442 5 2 2" xfId="33584" xr:uid="{00000000-0005-0000-0000-000035820000}"/>
    <cellStyle name="Normal 442 5 3" xfId="33585" xr:uid="{00000000-0005-0000-0000-000036820000}"/>
    <cellStyle name="Normal 442 6" xfId="33586" xr:uid="{00000000-0005-0000-0000-000037820000}"/>
    <cellStyle name="Normal 442 6 2" xfId="33587" xr:uid="{00000000-0005-0000-0000-000038820000}"/>
    <cellStyle name="Normal 442 6 2 2" xfId="33588" xr:uid="{00000000-0005-0000-0000-000039820000}"/>
    <cellStyle name="Normal 442 6 3" xfId="33589" xr:uid="{00000000-0005-0000-0000-00003A820000}"/>
    <cellStyle name="Normal 442 7" xfId="33590" xr:uid="{00000000-0005-0000-0000-00003B820000}"/>
    <cellStyle name="Normal 443" xfId="33591" xr:uid="{00000000-0005-0000-0000-00003C820000}"/>
    <cellStyle name="Normal 443 2" xfId="33592" xr:uid="{00000000-0005-0000-0000-00003D820000}"/>
    <cellStyle name="Normal 443 2 2" xfId="33593" xr:uid="{00000000-0005-0000-0000-00003E820000}"/>
    <cellStyle name="Normal 443 2 2 2" xfId="33594" xr:uid="{00000000-0005-0000-0000-00003F820000}"/>
    <cellStyle name="Normal 443 2 3" xfId="33595" xr:uid="{00000000-0005-0000-0000-000040820000}"/>
    <cellStyle name="Normal 443 2 3 2" xfId="33596" xr:uid="{00000000-0005-0000-0000-000041820000}"/>
    <cellStyle name="Normal 443 2 3 2 2" xfId="33597" xr:uid="{00000000-0005-0000-0000-000042820000}"/>
    <cellStyle name="Normal 443 2 3 3" xfId="33598" xr:uid="{00000000-0005-0000-0000-000043820000}"/>
    <cellStyle name="Normal 443 2 4" xfId="33599" xr:uid="{00000000-0005-0000-0000-000044820000}"/>
    <cellStyle name="Normal 443 2 4 2" xfId="33600" xr:uid="{00000000-0005-0000-0000-000045820000}"/>
    <cellStyle name="Normal 443 2 4 2 2" xfId="33601" xr:uid="{00000000-0005-0000-0000-000046820000}"/>
    <cellStyle name="Normal 443 2 4 3" xfId="33602" xr:uid="{00000000-0005-0000-0000-000047820000}"/>
    <cellStyle name="Normal 443 2 5" xfId="33603" xr:uid="{00000000-0005-0000-0000-000048820000}"/>
    <cellStyle name="Normal 443 3" xfId="33604" xr:uid="{00000000-0005-0000-0000-000049820000}"/>
    <cellStyle name="Normal 443 3 2" xfId="33605" xr:uid="{00000000-0005-0000-0000-00004A820000}"/>
    <cellStyle name="Normal 443 3 2 2" xfId="33606" xr:uid="{00000000-0005-0000-0000-00004B820000}"/>
    <cellStyle name="Normal 443 3 2 2 2" xfId="33607" xr:uid="{00000000-0005-0000-0000-00004C820000}"/>
    <cellStyle name="Normal 443 3 2 3" xfId="33608" xr:uid="{00000000-0005-0000-0000-00004D820000}"/>
    <cellStyle name="Normal 443 3 2 3 2" xfId="33609" xr:uid="{00000000-0005-0000-0000-00004E820000}"/>
    <cellStyle name="Normal 443 3 2 3 2 2" xfId="33610" xr:uid="{00000000-0005-0000-0000-00004F820000}"/>
    <cellStyle name="Normal 443 3 2 3 3" xfId="33611" xr:uid="{00000000-0005-0000-0000-000050820000}"/>
    <cellStyle name="Normal 443 3 2 4" xfId="33612" xr:uid="{00000000-0005-0000-0000-000051820000}"/>
    <cellStyle name="Normal 443 3 3" xfId="33613" xr:uid="{00000000-0005-0000-0000-000052820000}"/>
    <cellStyle name="Normal 443 3 3 2" xfId="33614" xr:uid="{00000000-0005-0000-0000-000053820000}"/>
    <cellStyle name="Normal 443 3 3 2 2" xfId="33615" xr:uid="{00000000-0005-0000-0000-000054820000}"/>
    <cellStyle name="Normal 443 3 3 3" xfId="33616" xr:uid="{00000000-0005-0000-0000-000055820000}"/>
    <cellStyle name="Normal 443 3 4" xfId="33617" xr:uid="{00000000-0005-0000-0000-000056820000}"/>
    <cellStyle name="Normal 443 3 4 2" xfId="33618" xr:uid="{00000000-0005-0000-0000-000057820000}"/>
    <cellStyle name="Normal 443 3 4 2 2" xfId="33619" xr:uid="{00000000-0005-0000-0000-000058820000}"/>
    <cellStyle name="Normal 443 3 4 3" xfId="33620" xr:uid="{00000000-0005-0000-0000-000059820000}"/>
    <cellStyle name="Normal 443 3 5" xfId="33621" xr:uid="{00000000-0005-0000-0000-00005A820000}"/>
    <cellStyle name="Normal 443 3 5 2" xfId="33622" xr:uid="{00000000-0005-0000-0000-00005B820000}"/>
    <cellStyle name="Normal 443 3 5 2 2" xfId="33623" xr:uid="{00000000-0005-0000-0000-00005C820000}"/>
    <cellStyle name="Normal 443 3 5 3" xfId="33624" xr:uid="{00000000-0005-0000-0000-00005D820000}"/>
    <cellStyle name="Normal 443 3 6" xfId="33625" xr:uid="{00000000-0005-0000-0000-00005E820000}"/>
    <cellStyle name="Normal 443 4" xfId="33626" xr:uid="{00000000-0005-0000-0000-00005F820000}"/>
    <cellStyle name="Normal 443 4 2" xfId="33627" xr:uid="{00000000-0005-0000-0000-000060820000}"/>
    <cellStyle name="Normal 443 4 2 2" xfId="33628" xr:uid="{00000000-0005-0000-0000-000061820000}"/>
    <cellStyle name="Normal 443 4 3" xfId="33629" xr:uid="{00000000-0005-0000-0000-000062820000}"/>
    <cellStyle name="Normal 443 5" xfId="33630" xr:uid="{00000000-0005-0000-0000-000063820000}"/>
    <cellStyle name="Normal 443 5 2" xfId="33631" xr:uid="{00000000-0005-0000-0000-000064820000}"/>
    <cellStyle name="Normal 443 5 2 2" xfId="33632" xr:uid="{00000000-0005-0000-0000-000065820000}"/>
    <cellStyle name="Normal 443 5 3" xfId="33633" xr:uid="{00000000-0005-0000-0000-000066820000}"/>
    <cellStyle name="Normal 443 6" xfId="33634" xr:uid="{00000000-0005-0000-0000-000067820000}"/>
    <cellStyle name="Normal 443 6 2" xfId="33635" xr:uid="{00000000-0005-0000-0000-000068820000}"/>
    <cellStyle name="Normal 443 6 2 2" xfId="33636" xr:uid="{00000000-0005-0000-0000-000069820000}"/>
    <cellStyle name="Normal 443 6 3" xfId="33637" xr:uid="{00000000-0005-0000-0000-00006A820000}"/>
    <cellStyle name="Normal 443 7" xfId="33638" xr:uid="{00000000-0005-0000-0000-00006B820000}"/>
    <cellStyle name="Normal 444" xfId="33639" xr:uid="{00000000-0005-0000-0000-00006C820000}"/>
    <cellStyle name="Normal 444 2" xfId="33640" xr:uid="{00000000-0005-0000-0000-00006D820000}"/>
    <cellStyle name="Normal 444 2 2" xfId="33641" xr:uid="{00000000-0005-0000-0000-00006E820000}"/>
    <cellStyle name="Normal 444 2 2 2" xfId="33642" xr:uid="{00000000-0005-0000-0000-00006F820000}"/>
    <cellStyle name="Normal 444 2 3" xfId="33643" xr:uid="{00000000-0005-0000-0000-000070820000}"/>
    <cellStyle name="Normal 444 2 3 2" xfId="33644" xr:uid="{00000000-0005-0000-0000-000071820000}"/>
    <cellStyle name="Normal 444 2 3 2 2" xfId="33645" xr:uid="{00000000-0005-0000-0000-000072820000}"/>
    <cellStyle name="Normal 444 2 3 3" xfId="33646" xr:uid="{00000000-0005-0000-0000-000073820000}"/>
    <cellStyle name="Normal 444 2 4" xfId="33647" xr:uid="{00000000-0005-0000-0000-000074820000}"/>
    <cellStyle name="Normal 444 2 4 2" xfId="33648" xr:uid="{00000000-0005-0000-0000-000075820000}"/>
    <cellStyle name="Normal 444 2 4 2 2" xfId="33649" xr:uid="{00000000-0005-0000-0000-000076820000}"/>
    <cellStyle name="Normal 444 2 4 3" xfId="33650" xr:uid="{00000000-0005-0000-0000-000077820000}"/>
    <cellStyle name="Normal 444 2 5" xfId="33651" xr:uid="{00000000-0005-0000-0000-000078820000}"/>
    <cellStyle name="Normal 444 3" xfId="33652" xr:uid="{00000000-0005-0000-0000-000079820000}"/>
    <cellStyle name="Normal 444 3 2" xfId="33653" xr:uid="{00000000-0005-0000-0000-00007A820000}"/>
    <cellStyle name="Normal 444 3 2 2" xfId="33654" xr:uid="{00000000-0005-0000-0000-00007B820000}"/>
    <cellStyle name="Normal 444 3 2 2 2" xfId="33655" xr:uid="{00000000-0005-0000-0000-00007C820000}"/>
    <cellStyle name="Normal 444 3 2 3" xfId="33656" xr:uid="{00000000-0005-0000-0000-00007D820000}"/>
    <cellStyle name="Normal 444 3 2 3 2" xfId="33657" xr:uid="{00000000-0005-0000-0000-00007E820000}"/>
    <cellStyle name="Normal 444 3 2 3 2 2" xfId="33658" xr:uid="{00000000-0005-0000-0000-00007F820000}"/>
    <cellStyle name="Normal 444 3 2 3 3" xfId="33659" xr:uid="{00000000-0005-0000-0000-000080820000}"/>
    <cellStyle name="Normal 444 3 2 4" xfId="33660" xr:uid="{00000000-0005-0000-0000-000081820000}"/>
    <cellStyle name="Normal 444 3 3" xfId="33661" xr:uid="{00000000-0005-0000-0000-000082820000}"/>
    <cellStyle name="Normal 444 3 3 2" xfId="33662" xr:uid="{00000000-0005-0000-0000-000083820000}"/>
    <cellStyle name="Normal 444 3 3 2 2" xfId="33663" xr:uid="{00000000-0005-0000-0000-000084820000}"/>
    <cellStyle name="Normal 444 3 3 3" xfId="33664" xr:uid="{00000000-0005-0000-0000-000085820000}"/>
    <cellStyle name="Normal 444 3 4" xfId="33665" xr:uid="{00000000-0005-0000-0000-000086820000}"/>
    <cellStyle name="Normal 444 3 4 2" xfId="33666" xr:uid="{00000000-0005-0000-0000-000087820000}"/>
    <cellStyle name="Normal 444 3 4 2 2" xfId="33667" xr:uid="{00000000-0005-0000-0000-000088820000}"/>
    <cellStyle name="Normal 444 3 4 3" xfId="33668" xr:uid="{00000000-0005-0000-0000-000089820000}"/>
    <cellStyle name="Normal 444 3 5" xfId="33669" xr:uid="{00000000-0005-0000-0000-00008A820000}"/>
    <cellStyle name="Normal 444 3 5 2" xfId="33670" xr:uid="{00000000-0005-0000-0000-00008B820000}"/>
    <cellStyle name="Normal 444 3 5 2 2" xfId="33671" xr:uid="{00000000-0005-0000-0000-00008C820000}"/>
    <cellStyle name="Normal 444 3 5 3" xfId="33672" xr:uid="{00000000-0005-0000-0000-00008D820000}"/>
    <cellStyle name="Normal 444 3 6" xfId="33673" xr:uid="{00000000-0005-0000-0000-00008E820000}"/>
    <cellStyle name="Normal 444 4" xfId="33674" xr:uid="{00000000-0005-0000-0000-00008F820000}"/>
    <cellStyle name="Normal 444 4 2" xfId="33675" xr:uid="{00000000-0005-0000-0000-000090820000}"/>
    <cellStyle name="Normal 444 4 2 2" xfId="33676" xr:uid="{00000000-0005-0000-0000-000091820000}"/>
    <cellStyle name="Normal 444 4 3" xfId="33677" xr:uid="{00000000-0005-0000-0000-000092820000}"/>
    <cellStyle name="Normal 444 5" xfId="33678" xr:uid="{00000000-0005-0000-0000-000093820000}"/>
    <cellStyle name="Normal 444 5 2" xfId="33679" xr:uid="{00000000-0005-0000-0000-000094820000}"/>
    <cellStyle name="Normal 444 5 2 2" xfId="33680" xr:uid="{00000000-0005-0000-0000-000095820000}"/>
    <cellStyle name="Normal 444 5 3" xfId="33681" xr:uid="{00000000-0005-0000-0000-000096820000}"/>
    <cellStyle name="Normal 444 6" xfId="33682" xr:uid="{00000000-0005-0000-0000-000097820000}"/>
    <cellStyle name="Normal 444 6 2" xfId="33683" xr:uid="{00000000-0005-0000-0000-000098820000}"/>
    <cellStyle name="Normal 444 6 2 2" xfId="33684" xr:uid="{00000000-0005-0000-0000-000099820000}"/>
    <cellStyle name="Normal 444 6 3" xfId="33685" xr:uid="{00000000-0005-0000-0000-00009A820000}"/>
    <cellStyle name="Normal 444 7" xfId="33686" xr:uid="{00000000-0005-0000-0000-00009B820000}"/>
    <cellStyle name="Normal 445" xfId="33687" xr:uid="{00000000-0005-0000-0000-00009C820000}"/>
    <cellStyle name="Normal 445 2" xfId="33688" xr:uid="{00000000-0005-0000-0000-00009D820000}"/>
    <cellStyle name="Normal 445 2 2" xfId="33689" xr:uid="{00000000-0005-0000-0000-00009E820000}"/>
    <cellStyle name="Normal 445 2 2 2" xfId="33690" xr:uid="{00000000-0005-0000-0000-00009F820000}"/>
    <cellStyle name="Normal 445 2 3" xfId="33691" xr:uid="{00000000-0005-0000-0000-0000A0820000}"/>
    <cellStyle name="Normal 445 2 3 2" xfId="33692" xr:uid="{00000000-0005-0000-0000-0000A1820000}"/>
    <cellStyle name="Normal 445 2 3 2 2" xfId="33693" xr:uid="{00000000-0005-0000-0000-0000A2820000}"/>
    <cellStyle name="Normal 445 2 3 3" xfId="33694" xr:uid="{00000000-0005-0000-0000-0000A3820000}"/>
    <cellStyle name="Normal 445 2 4" xfId="33695" xr:uid="{00000000-0005-0000-0000-0000A4820000}"/>
    <cellStyle name="Normal 445 2 4 2" xfId="33696" xr:uid="{00000000-0005-0000-0000-0000A5820000}"/>
    <cellStyle name="Normal 445 2 4 2 2" xfId="33697" xr:uid="{00000000-0005-0000-0000-0000A6820000}"/>
    <cellStyle name="Normal 445 2 4 3" xfId="33698" xr:uid="{00000000-0005-0000-0000-0000A7820000}"/>
    <cellStyle name="Normal 445 2 5" xfId="33699" xr:uid="{00000000-0005-0000-0000-0000A8820000}"/>
    <cellStyle name="Normal 445 3" xfId="33700" xr:uid="{00000000-0005-0000-0000-0000A9820000}"/>
    <cellStyle name="Normal 445 3 2" xfId="33701" xr:uid="{00000000-0005-0000-0000-0000AA820000}"/>
    <cellStyle name="Normal 445 3 2 2" xfId="33702" xr:uid="{00000000-0005-0000-0000-0000AB820000}"/>
    <cellStyle name="Normal 445 3 2 2 2" xfId="33703" xr:uid="{00000000-0005-0000-0000-0000AC820000}"/>
    <cellStyle name="Normal 445 3 2 3" xfId="33704" xr:uid="{00000000-0005-0000-0000-0000AD820000}"/>
    <cellStyle name="Normal 445 3 2 3 2" xfId="33705" xr:uid="{00000000-0005-0000-0000-0000AE820000}"/>
    <cellStyle name="Normal 445 3 2 3 2 2" xfId="33706" xr:uid="{00000000-0005-0000-0000-0000AF820000}"/>
    <cellStyle name="Normal 445 3 2 3 3" xfId="33707" xr:uid="{00000000-0005-0000-0000-0000B0820000}"/>
    <cellStyle name="Normal 445 3 2 4" xfId="33708" xr:uid="{00000000-0005-0000-0000-0000B1820000}"/>
    <cellStyle name="Normal 445 3 3" xfId="33709" xr:uid="{00000000-0005-0000-0000-0000B2820000}"/>
    <cellStyle name="Normal 445 3 3 2" xfId="33710" xr:uid="{00000000-0005-0000-0000-0000B3820000}"/>
    <cellStyle name="Normal 445 3 3 2 2" xfId="33711" xr:uid="{00000000-0005-0000-0000-0000B4820000}"/>
    <cellStyle name="Normal 445 3 3 3" xfId="33712" xr:uid="{00000000-0005-0000-0000-0000B5820000}"/>
    <cellStyle name="Normal 445 3 4" xfId="33713" xr:uid="{00000000-0005-0000-0000-0000B6820000}"/>
    <cellStyle name="Normal 445 3 4 2" xfId="33714" xr:uid="{00000000-0005-0000-0000-0000B7820000}"/>
    <cellStyle name="Normal 445 3 4 2 2" xfId="33715" xr:uid="{00000000-0005-0000-0000-0000B8820000}"/>
    <cellStyle name="Normal 445 3 4 3" xfId="33716" xr:uid="{00000000-0005-0000-0000-0000B9820000}"/>
    <cellStyle name="Normal 445 3 5" xfId="33717" xr:uid="{00000000-0005-0000-0000-0000BA820000}"/>
    <cellStyle name="Normal 445 3 5 2" xfId="33718" xr:uid="{00000000-0005-0000-0000-0000BB820000}"/>
    <cellStyle name="Normal 445 3 5 2 2" xfId="33719" xr:uid="{00000000-0005-0000-0000-0000BC820000}"/>
    <cellStyle name="Normal 445 3 5 3" xfId="33720" xr:uid="{00000000-0005-0000-0000-0000BD820000}"/>
    <cellStyle name="Normal 445 3 6" xfId="33721" xr:uid="{00000000-0005-0000-0000-0000BE820000}"/>
    <cellStyle name="Normal 445 4" xfId="33722" xr:uid="{00000000-0005-0000-0000-0000BF820000}"/>
    <cellStyle name="Normal 445 4 2" xfId="33723" xr:uid="{00000000-0005-0000-0000-0000C0820000}"/>
    <cellStyle name="Normal 445 4 2 2" xfId="33724" xr:uid="{00000000-0005-0000-0000-0000C1820000}"/>
    <cellStyle name="Normal 445 4 3" xfId="33725" xr:uid="{00000000-0005-0000-0000-0000C2820000}"/>
    <cellStyle name="Normal 445 5" xfId="33726" xr:uid="{00000000-0005-0000-0000-0000C3820000}"/>
    <cellStyle name="Normal 445 5 2" xfId="33727" xr:uid="{00000000-0005-0000-0000-0000C4820000}"/>
    <cellStyle name="Normal 445 5 2 2" xfId="33728" xr:uid="{00000000-0005-0000-0000-0000C5820000}"/>
    <cellStyle name="Normal 445 5 3" xfId="33729" xr:uid="{00000000-0005-0000-0000-0000C6820000}"/>
    <cellStyle name="Normal 445 6" xfId="33730" xr:uid="{00000000-0005-0000-0000-0000C7820000}"/>
    <cellStyle name="Normal 445 6 2" xfId="33731" xr:uid="{00000000-0005-0000-0000-0000C8820000}"/>
    <cellStyle name="Normal 445 6 2 2" xfId="33732" xr:uid="{00000000-0005-0000-0000-0000C9820000}"/>
    <cellStyle name="Normal 445 6 3" xfId="33733" xr:uid="{00000000-0005-0000-0000-0000CA820000}"/>
    <cellStyle name="Normal 445 7" xfId="33734" xr:uid="{00000000-0005-0000-0000-0000CB820000}"/>
    <cellStyle name="Normal 446" xfId="33735" xr:uid="{00000000-0005-0000-0000-0000CC820000}"/>
    <cellStyle name="Normal 446 2" xfId="33736" xr:uid="{00000000-0005-0000-0000-0000CD820000}"/>
    <cellStyle name="Normal 446 2 2" xfId="33737" xr:uid="{00000000-0005-0000-0000-0000CE820000}"/>
    <cellStyle name="Normal 446 2 2 2" xfId="33738" xr:uid="{00000000-0005-0000-0000-0000CF820000}"/>
    <cellStyle name="Normal 446 2 3" xfId="33739" xr:uid="{00000000-0005-0000-0000-0000D0820000}"/>
    <cellStyle name="Normal 446 2 3 2" xfId="33740" xr:uid="{00000000-0005-0000-0000-0000D1820000}"/>
    <cellStyle name="Normal 446 2 3 2 2" xfId="33741" xr:uid="{00000000-0005-0000-0000-0000D2820000}"/>
    <cellStyle name="Normal 446 2 3 3" xfId="33742" xr:uid="{00000000-0005-0000-0000-0000D3820000}"/>
    <cellStyle name="Normal 446 2 4" xfId="33743" xr:uid="{00000000-0005-0000-0000-0000D4820000}"/>
    <cellStyle name="Normal 446 2 4 2" xfId="33744" xr:uid="{00000000-0005-0000-0000-0000D5820000}"/>
    <cellStyle name="Normal 446 2 4 2 2" xfId="33745" xr:uid="{00000000-0005-0000-0000-0000D6820000}"/>
    <cellStyle name="Normal 446 2 4 3" xfId="33746" xr:uid="{00000000-0005-0000-0000-0000D7820000}"/>
    <cellStyle name="Normal 446 2 5" xfId="33747" xr:uid="{00000000-0005-0000-0000-0000D8820000}"/>
    <cellStyle name="Normal 446 3" xfId="33748" xr:uid="{00000000-0005-0000-0000-0000D9820000}"/>
    <cellStyle name="Normal 446 3 2" xfId="33749" xr:uid="{00000000-0005-0000-0000-0000DA820000}"/>
    <cellStyle name="Normal 446 3 2 2" xfId="33750" xr:uid="{00000000-0005-0000-0000-0000DB820000}"/>
    <cellStyle name="Normal 446 3 2 2 2" xfId="33751" xr:uid="{00000000-0005-0000-0000-0000DC820000}"/>
    <cellStyle name="Normal 446 3 2 3" xfId="33752" xr:uid="{00000000-0005-0000-0000-0000DD820000}"/>
    <cellStyle name="Normal 446 3 2 3 2" xfId="33753" xr:uid="{00000000-0005-0000-0000-0000DE820000}"/>
    <cellStyle name="Normal 446 3 2 3 2 2" xfId="33754" xr:uid="{00000000-0005-0000-0000-0000DF820000}"/>
    <cellStyle name="Normal 446 3 2 3 3" xfId="33755" xr:uid="{00000000-0005-0000-0000-0000E0820000}"/>
    <cellStyle name="Normal 446 3 2 4" xfId="33756" xr:uid="{00000000-0005-0000-0000-0000E1820000}"/>
    <cellStyle name="Normal 446 3 3" xfId="33757" xr:uid="{00000000-0005-0000-0000-0000E2820000}"/>
    <cellStyle name="Normal 446 3 3 2" xfId="33758" xr:uid="{00000000-0005-0000-0000-0000E3820000}"/>
    <cellStyle name="Normal 446 3 3 2 2" xfId="33759" xr:uid="{00000000-0005-0000-0000-0000E4820000}"/>
    <cellStyle name="Normal 446 3 3 3" xfId="33760" xr:uid="{00000000-0005-0000-0000-0000E5820000}"/>
    <cellStyle name="Normal 446 3 4" xfId="33761" xr:uid="{00000000-0005-0000-0000-0000E6820000}"/>
    <cellStyle name="Normal 446 3 4 2" xfId="33762" xr:uid="{00000000-0005-0000-0000-0000E7820000}"/>
    <cellStyle name="Normal 446 3 4 2 2" xfId="33763" xr:uid="{00000000-0005-0000-0000-0000E8820000}"/>
    <cellStyle name="Normal 446 3 4 3" xfId="33764" xr:uid="{00000000-0005-0000-0000-0000E9820000}"/>
    <cellStyle name="Normal 446 3 5" xfId="33765" xr:uid="{00000000-0005-0000-0000-0000EA820000}"/>
    <cellStyle name="Normal 446 3 5 2" xfId="33766" xr:uid="{00000000-0005-0000-0000-0000EB820000}"/>
    <cellStyle name="Normal 446 3 5 2 2" xfId="33767" xr:uid="{00000000-0005-0000-0000-0000EC820000}"/>
    <cellStyle name="Normal 446 3 5 3" xfId="33768" xr:uid="{00000000-0005-0000-0000-0000ED820000}"/>
    <cellStyle name="Normal 446 3 6" xfId="33769" xr:uid="{00000000-0005-0000-0000-0000EE820000}"/>
    <cellStyle name="Normal 446 4" xfId="33770" xr:uid="{00000000-0005-0000-0000-0000EF820000}"/>
    <cellStyle name="Normal 446 4 2" xfId="33771" xr:uid="{00000000-0005-0000-0000-0000F0820000}"/>
    <cellStyle name="Normal 446 4 2 2" xfId="33772" xr:uid="{00000000-0005-0000-0000-0000F1820000}"/>
    <cellStyle name="Normal 446 4 3" xfId="33773" xr:uid="{00000000-0005-0000-0000-0000F2820000}"/>
    <cellStyle name="Normal 446 5" xfId="33774" xr:uid="{00000000-0005-0000-0000-0000F3820000}"/>
    <cellStyle name="Normal 446 5 2" xfId="33775" xr:uid="{00000000-0005-0000-0000-0000F4820000}"/>
    <cellStyle name="Normal 446 5 2 2" xfId="33776" xr:uid="{00000000-0005-0000-0000-0000F5820000}"/>
    <cellStyle name="Normal 446 5 3" xfId="33777" xr:uid="{00000000-0005-0000-0000-0000F6820000}"/>
    <cellStyle name="Normal 446 6" xfId="33778" xr:uid="{00000000-0005-0000-0000-0000F7820000}"/>
    <cellStyle name="Normal 446 6 2" xfId="33779" xr:uid="{00000000-0005-0000-0000-0000F8820000}"/>
    <cellStyle name="Normal 446 6 2 2" xfId="33780" xr:uid="{00000000-0005-0000-0000-0000F9820000}"/>
    <cellStyle name="Normal 446 6 3" xfId="33781" xr:uid="{00000000-0005-0000-0000-0000FA820000}"/>
    <cellStyle name="Normal 446 7" xfId="33782" xr:uid="{00000000-0005-0000-0000-0000FB820000}"/>
    <cellStyle name="Normal 447" xfId="33783" xr:uid="{00000000-0005-0000-0000-0000FC820000}"/>
    <cellStyle name="Normal 447 2" xfId="33784" xr:uid="{00000000-0005-0000-0000-0000FD820000}"/>
    <cellStyle name="Normal 447 2 2" xfId="33785" xr:uid="{00000000-0005-0000-0000-0000FE820000}"/>
    <cellStyle name="Normal 447 2 2 2" xfId="33786" xr:uid="{00000000-0005-0000-0000-0000FF820000}"/>
    <cellStyle name="Normal 447 2 3" xfId="33787" xr:uid="{00000000-0005-0000-0000-000000830000}"/>
    <cellStyle name="Normal 447 2 3 2" xfId="33788" xr:uid="{00000000-0005-0000-0000-000001830000}"/>
    <cellStyle name="Normal 447 2 3 2 2" xfId="33789" xr:uid="{00000000-0005-0000-0000-000002830000}"/>
    <cellStyle name="Normal 447 2 3 3" xfId="33790" xr:uid="{00000000-0005-0000-0000-000003830000}"/>
    <cellStyle name="Normal 447 2 4" xfId="33791" xr:uid="{00000000-0005-0000-0000-000004830000}"/>
    <cellStyle name="Normal 447 2 4 2" xfId="33792" xr:uid="{00000000-0005-0000-0000-000005830000}"/>
    <cellStyle name="Normal 447 2 4 2 2" xfId="33793" xr:uid="{00000000-0005-0000-0000-000006830000}"/>
    <cellStyle name="Normal 447 2 4 3" xfId="33794" xr:uid="{00000000-0005-0000-0000-000007830000}"/>
    <cellStyle name="Normal 447 2 5" xfId="33795" xr:uid="{00000000-0005-0000-0000-000008830000}"/>
    <cellStyle name="Normal 447 3" xfId="33796" xr:uid="{00000000-0005-0000-0000-000009830000}"/>
    <cellStyle name="Normal 447 3 2" xfId="33797" xr:uid="{00000000-0005-0000-0000-00000A830000}"/>
    <cellStyle name="Normal 447 3 2 2" xfId="33798" xr:uid="{00000000-0005-0000-0000-00000B830000}"/>
    <cellStyle name="Normal 447 3 2 2 2" xfId="33799" xr:uid="{00000000-0005-0000-0000-00000C830000}"/>
    <cellStyle name="Normal 447 3 2 3" xfId="33800" xr:uid="{00000000-0005-0000-0000-00000D830000}"/>
    <cellStyle name="Normal 447 3 2 3 2" xfId="33801" xr:uid="{00000000-0005-0000-0000-00000E830000}"/>
    <cellStyle name="Normal 447 3 2 3 2 2" xfId="33802" xr:uid="{00000000-0005-0000-0000-00000F830000}"/>
    <cellStyle name="Normal 447 3 2 3 3" xfId="33803" xr:uid="{00000000-0005-0000-0000-000010830000}"/>
    <cellStyle name="Normal 447 3 2 4" xfId="33804" xr:uid="{00000000-0005-0000-0000-000011830000}"/>
    <cellStyle name="Normal 447 3 3" xfId="33805" xr:uid="{00000000-0005-0000-0000-000012830000}"/>
    <cellStyle name="Normal 447 3 3 2" xfId="33806" xr:uid="{00000000-0005-0000-0000-000013830000}"/>
    <cellStyle name="Normal 447 3 3 2 2" xfId="33807" xr:uid="{00000000-0005-0000-0000-000014830000}"/>
    <cellStyle name="Normal 447 3 3 3" xfId="33808" xr:uid="{00000000-0005-0000-0000-000015830000}"/>
    <cellStyle name="Normal 447 3 4" xfId="33809" xr:uid="{00000000-0005-0000-0000-000016830000}"/>
    <cellStyle name="Normal 447 3 4 2" xfId="33810" xr:uid="{00000000-0005-0000-0000-000017830000}"/>
    <cellStyle name="Normal 447 3 4 2 2" xfId="33811" xr:uid="{00000000-0005-0000-0000-000018830000}"/>
    <cellStyle name="Normal 447 3 4 3" xfId="33812" xr:uid="{00000000-0005-0000-0000-000019830000}"/>
    <cellStyle name="Normal 447 3 5" xfId="33813" xr:uid="{00000000-0005-0000-0000-00001A830000}"/>
    <cellStyle name="Normal 447 3 5 2" xfId="33814" xr:uid="{00000000-0005-0000-0000-00001B830000}"/>
    <cellStyle name="Normal 447 3 5 2 2" xfId="33815" xr:uid="{00000000-0005-0000-0000-00001C830000}"/>
    <cellStyle name="Normal 447 3 5 3" xfId="33816" xr:uid="{00000000-0005-0000-0000-00001D830000}"/>
    <cellStyle name="Normal 447 3 6" xfId="33817" xr:uid="{00000000-0005-0000-0000-00001E830000}"/>
    <cellStyle name="Normal 447 4" xfId="33818" xr:uid="{00000000-0005-0000-0000-00001F830000}"/>
    <cellStyle name="Normal 447 4 2" xfId="33819" xr:uid="{00000000-0005-0000-0000-000020830000}"/>
    <cellStyle name="Normal 447 4 2 2" xfId="33820" xr:uid="{00000000-0005-0000-0000-000021830000}"/>
    <cellStyle name="Normal 447 4 3" xfId="33821" xr:uid="{00000000-0005-0000-0000-000022830000}"/>
    <cellStyle name="Normal 447 5" xfId="33822" xr:uid="{00000000-0005-0000-0000-000023830000}"/>
    <cellStyle name="Normal 447 5 2" xfId="33823" xr:uid="{00000000-0005-0000-0000-000024830000}"/>
    <cellStyle name="Normal 447 5 2 2" xfId="33824" xr:uid="{00000000-0005-0000-0000-000025830000}"/>
    <cellStyle name="Normal 447 5 3" xfId="33825" xr:uid="{00000000-0005-0000-0000-000026830000}"/>
    <cellStyle name="Normal 447 6" xfId="33826" xr:uid="{00000000-0005-0000-0000-000027830000}"/>
    <cellStyle name="Normal 447 6 2" xfId="33827" xr:uid="{00000000-0005-0000-0000-000028830000}"/>
    <cellStyle name="Normal 447 6 2 2" xfId="33828" xr:uid="{00000000-0005-0000-0000-000029830000}"/>
    <cellStyle name="Normal 447 6 3" xfId="33829" xr:uid="{00000000-0005-0000-0000-00002A830000}"/>
    <cellStyle name="Normal 447 7" xfId="33830" xr:uid="{00000000-0005-0000-0000-00002B830000}"/>
    <cellStyle name="Normal 448" xfId="33831" xr:uid="{00000000-0005-0000-0000-00002C830000}"/>
    <cellStyle name="Normal 448 2" xfId="33832" xr:uid="{00000000-0005-0000-0000-00002D830000}"/>
    <cellStyle name="Normal 448 2 2" xfId="33833" xr:uid="{00000000-0005-0000-0000-00002E830000}"/>
    <cellStyle name="Normal 448 2 2 2" xfId="33834" xr:uid="{00000000-0005-0000-0000-00002F830000}"/>
    <cellStyle name="Normal 448 2 3" xfId="33835" xr:uid="{00000000-0005-0000-0000-000030830000}"/>
    <cellStyle name="Normal 448 2 3 2" xfId="33836" xr:uid="{00000000-0005-0000-0000-000031830000}"/>
    <cellStyle name="Normal 448 2 3 2 2" xfId="33837" xr:uid="{00000000-0005-0000-0000-000032830000}"/>
    <cellStyle name="Normal 448 2 3 3" xfId="33838" xr:uid="{00000000-0005-0000-0000-000033830000}"/>
    <cellStyle name="Normal 448 2 4" xfId="33839" xr:uid="{00000000-0005-0000-0000-000034830000}"/>
    <cellStyle name="Normal 448 2 4 2" xfId="33840" xr:uid="{00000000-0005-0000-0000-000035830000}"/>
    <cellStyle name="Normal 448 2 4 2 2" xfId="33841" xr:uid="{00000000-0005-0000-0000-000036830000}"/>
    <cellStyle name="Normal 448 2 4 3" xfId="33842" xr:uid="{00000000-0005-0000-0000-000037830000}"/>
    <cellStyle name="Normal 448 2 5" xfId="33843" xr:uid="{00000000-0005-0000-0000-000038830000}"/>
    <cellStyle name="Normal 448 3" xfId="33844" xr:uid="{00000000-0005-0000-0000-000039830000}"/>
    <cellStyle name="Normal 448 3 2" xfId="33845" xr:uid="{00000000-0005-0000-0000-00003A830000}"/>
    <cellStyle name="Normal 448 3 2 2" xfId="33846" xr:uid="{00000000-0005-0000-0000-00003B830000}"/>
    <cellStyle name="Normal 448 3 2 2 2" xfId="33847" xr:uid="{00000000-0005-0000-0000-00003C830000}"/>
    <cellStyle name="Normal 448 3 2 3" xfId="33848" xr:uid="{00000000-0005-0000-0000-00003D830000}"/>
    <cellStyle name="Normal 448 3 2 3 2" xfId="33849" xr:uid="{00000000-0005-0000-0000-00003E830000}"/>
    <cellStyle name="Normal 448 3 2 3 2 2" xfId="33850" xr:uid="{00000000-0005-0000-0000-00003F830000}"/>
    <cellStyle name="Normal 448 3 2 3 3" xfId="33851" xr:uid="{00000000-0005-0000-0000-000040830000}"/>
    <cellStyle name="Normal 448 3 2 4" xfId="33852" xr:uid="{00000000-0005-0000-0000-000041830000}"/>
    <cellStyle name="Normal 448 3 3" xfId="33853" xr:uid="{00000000-0005-0000-0000-000042830000}"/>
    <cellStyle name="Normal 448 3 3 2" xfId="33854" xr:uid="{00000000-0005-0000-0000-000043830000}"/>
    <cellStyle name="Normal 448 3 3 2 2" xfId="33855" xr:uid="{00000000-0005-0000-0000-000044830000}"/>
    <cellStyle name="Normal 448 3 3 3" xfId="33856" xr:uid="{00000000-0005-0000-0000-000045830000}"/>
    <cellStyle name="Normal 448 3 4" xfId="33857" xr:uid="{00000000-0005-0000-0000-000046830000}"/>
    <cellStyle name="Normal 448 3 4 2" xfId="33858" xr:uid="{00000000-0005-0000-0000-000047830000}"/>
    <cellStyle name="Normal 448 3 4 2 2" xfId="33859" xr:uid="{00000000-0005-0000-0000-000048830000}"/>
    <cellStyle name="Normal 448 3 4 3" xfId="33860" xr:uid="{00000000-0005-0000-0000-000049830000}"/>
    <cellStyle name="Normal 448 3 5" xfId="33861" xr:uid="{00000000-0005-0000-0000-00004A830000}"/>
    <cellStyle name="Normal 448 3 5 2" xfId="33862" xr:uid="{00000000-0005-0000-0000-00004B830000}"/>
    <cellStyle name="Normal 448 3 5 2 2" xfId="33863" xr:uid="{00000000-0005-0000-0000-00004C830000}"/>
    <cellStyle name="Normal 448 3 5 3" xfId="33864" xr:uid="{00000000-0005-0000-0000-00004D830000}"/>
    <cellStyle name="Normal 448 3 6" xfId="33865" xr:uid="{00000000-0005-0000-0000-00004E830000}"/>
    <cellStyle name="Normal 448 4" xfId="33866" xr:uid="{00000000-0005-0000-0000-00004F830000}"/>
    <cellStyle name="Normal 448 4 2" xfId="33867" xr:uid="{00000000-0005-0000-0000-000050830000}"/>
    <cellStyle name="Normal 448 4 2 2" xfId="33868" xr:uid="{00000000-0005-0000-0000-000051830000}"/>
    <cellStyle name="Normal 448 4 3" xfId="33869" xr:uid="{00000000-0005-0000-0000-000052830000}"/>
    <cellStyle name="Normal 448 5" xfId="33870" xr:uid="{00000000-0005-0000-0000-000053830000}"/>
    <cellStyle name="Normal 448 5 2" xfId="33871" xr:uid="{00000000-0005-0000-0000-000054830000}"/>
    <cellStyle name="Normal 448 5 2 2" xfId="33872" xr:uid="{00000000-0005-0000-0000-000055830000}"/>
    <cellStyle name="Normal 448 5 3" xfId="33873" xr:uid="{00000000-0005-0000-0000-000056830000}"/>
    <cellStyle name="Normal 448 6" xfId="33874" xr:uid="{00000000-0005-0000-0000-000057830000}"/>
    <cellStyle name="Normal 448 6 2" xfId="33875" xr:uid="{00000000-0005-0000-0000-000058830000}"/>
    <cellStyle name="Normal 448 6 2 2" xfId="33876" xr:uid="{00000000-0005-0000-0000-000059830000}"/>
    <cellStyle name="Normal 448 6 3" xfId="33877" xr:uid="{00000000-0005-0000-0000-00005A830000}"/>
    <cellStyle name="Normal 448 7" xfId="33878" xr:uid="{00000000-0005-0000-0000-00005B830000}"/>
    <cellStyle name="Normal 449" xfId="33879" xr:uid="{00000000-0005-0000-0000-00005C830000}"/>
    <cellStyle name="Normal 449 2" xfId="33880" xr:uid="{00000000-0005-0000-0000-00005D830000}"/>
    <cellStyle name="Normal 449 2 2" xfId="33881" xr:uid="{00000000-0005-0000-0000-00005E830000}"/>
    <cellStyle name="Normal 449 2 2 2" xfId="33882" xr:uid="{00000000-0005-0000-0000-00005F830000}"/>
    <cellStyle name="Normal 449 2 3" xfId="33883" xr:uid="{00000000-0005-0000-0000-000060830000}"/>
    <cellStyle name="Normal 449 2 3 2" xfId="33884" xr:uid="{00000000-0005-0000-0000-000061830000}"/>
    <cellStyle name="Normal 449 2 3 2 2" xfId="33885" xr:uid="{00000000-0005-0000-0000-000062830000}"/>
    <cellStyle name="Normal 449 2 3 3" xfId="33886" xr:uid="{00000000-0005-0000-0000-000063830000}"/>
    <cellStyle name="Normal 449 2 4" xfId="33887" xr:uid="{00000000-0005-0000-0000-000064830000}"/>
    <cellStyle name="Normal 449 2 4 2" xfId="33888" xr:uid="{00000000-0005-0000-0000-000065830000}"/>
    <cellStyle name="Normal 449 2 4 2 2" xfId="33889" xr:uid="{00000000-0005-0000-0000-000066830000}"/>
    <cellStyle name="Normal 449 2 4 3" xfId="33890" xr:uid="{00000000-0005-0000-0000-000067830000}"/>
    <cellStyle name="Normal 449 2 5" xfId="33891" xr:uid="{00000000-0005-0000-0000-000068830000}"/>
    <cellStyle name="Normal 449 3" xfId="33892" xr:uid="{00000000-0005-0000-0000-000069830000}"/>
    <cellStyle name="Normal 449 3 2" xfId="33893" xr:uid="{00000000-0005-0000-0000-00006A830000}"/>
    <cellStyle name="Normal 449 3 2 2" xfId="33894" xr:uid="{00000000-0005-0000-0000-00006B830000}"/>
    <cellStyle name="Normal 449 3 2 2 2" xfId="33895" xr:uid="{00000000-0005-0000-0000-00006C830000}"/>
    <cellStyle name="Normal 449 3 2 3" xfId="33896" xr:uid="{00000000-0005-0000-0000-00006D830000}"/>
    <cellStyle name="Normal 449 3 2 3 2" xfId="33897" xr:uid="{00000000-0005-0000-0000-00006E830000}"/>
    <cellStyle name="Normal 449 3 2 3 2 2" xfId="33898" xr:uid="{00000000-0005-0000-0000-00006F830000}"/>
    <cellStyle name="Normal 449 3 2 3 3" xfId="33899" xr:uid="{00000000-0005-0000-0000-000070830000}"/>
    <cellStyle name="Normal 449 3 2 4" xfId="33900" xr:uid="{00000000-0005-0000-0000-000071830000}"/>
    <cellStyle name="Normal 449 3 3" xfId="33901" xr:uid="{00000000-0005-0000-0000-000072830000}"/>
    <cellStyle name="Normal 449 3 3 2" xfId="33902" xr:uid="{00000000-0005-0000-0000-000073830000}"/>
    <cellStyle name="Normal 449 3 3 2 2" xfId="33903" xr:uid="{00000000-0005-0000-0000-000074830000}"/>
    <cellStyle name="Normal 449 3 3 3" xfId="33904" xr:uid="{00000000-0005-0000-0000-000075830000}"/>
    <cellStyle name="Normal 449 3 4" xfId="33905" xr:uid="{00000000-0005-0000-0000-000076830000}"/>
    <cellStyle name="Normal 449 3 4 2" xfId="33906" xr:uid="{00000000-0005-0000-0000-000077830000}"/>
    <cellStyle name="Normal 449 3 4 2 2" xfId="33907" xr:uid="{00000000-0005-0000-0000-000078830000}"/>
    <cellStyle name="Normal 449 3 4 3" xfId="33908" xr:uid="{00000000-0005-0000-0000-000079830000}"/>
    <cellStyle name="Normal 449 3 5" xfId="33909" xr:uid="{00000000-0005-0000-0000-00007A830000}"/>
    <cellStyle name="Normal 449 3 5 2" xfId="33910" xr:uid="{00000000-0005-0000-0000-00007B830000}"/>
    <cellStyle name="Normal 449 3 5 2 2" xfId="33911" xr:uid="{00000000-0005-0000-0000-00007C830000}"/>
    <cellStyle name="Normal 449 3 5 3" xfId="33912" xr:uid="{00000000-0005-0000-0000-00007D830000}"/>
    <cellStyle name="Normal 449 3 6" xfId="33913" xr:uid="{00000000-0005-0000-0000-00007E830000}"/>
    <cellStyle name="Normal 449 4" xfId="33914" xr:uid="{00000000-0005-0000-0000-00007F830000}"/>
    <cellStyle name="Normal 449 4 2" xfId="33915" xr:uid="{00000000-0005-0000-0000-000080830000}"/>
    <cellStyle name="Normal 449 4 2 2" xfId="33916" xr:uid="{00000000-0005-0000-0000-000081830000}"/>
    <cellStyle name="Normal 449 4 3" xfId="33917" xr:uid="{00000000-0005-0000-0000-000082830000}"/>
    <cellStyle name="Normal 449 5" xfId="33918" xr:uid="{00000000-0005-0000-0000-000083830000}"/>
    <cellStyle name="Normal 449 5 2" xfId="33919" xr:uid="{00000000-0005-0000-0000-000084830000}"/>
    <cellStyle name="Normal 449 5 2 2" xfId="33920" xr:uid="{00000000-0005-0000-0000-000085830000}"/>
    <cellStyle name="Normal 449 5 3" xfId="33921" xr:uid="{00000000-0005-0000-0000-000086830000}"/>
    <cellStyle name="Normal 449 6" xfId="33922" xr:uid="{00000000-0005-0000-0000-000087830000}"/>
    <cellStyle name="Normal 449 6 2" xfId="33923" xr:uid="{00000000-0005-0000-0000-000088830000}"/>
    <cellStyle name="Normal 449 6 2 2" xfId="33924" xr:uid="{00000000-0005-0000-0000-000089830000}"/>
    <cellStyle name="Normal 449 6 3" xfId="33925" xr:uid="{00000000-0005-0000-0000-00008A830000}"/>
    <cellStyle name="Normal 449 7" xfId="33926" xr:uid="{00000000-0005-0000-0000-00008B830000}"/>
    <cellStyle name="Normal 45" xfId="33927" xr:uid="{00000000-0005-0000-0000-00008C830000}"/>
    <cellStyle name="Normal 45 2" xfId="33928" xr:uid="{00000000-0005-0000-0000-00008D830000}"/>
    <cellStyle name="Normal 45 2 2" xfId="33929" xr:uid="{00000000-0005-0000-0000-00008E830000}"/>
    <cellStyle name="Normal 45 2 2 2" xfId="33930" xr:uid="{00000000-0005-0000-0000-00008F830000}"/>
    <cellStyle name="Normal 45 2 2 2 2" xfId="33931" xr:uid="{00000000-0005-0000-0000-000090830000}"/>
    <cellStyle name="Normal 45 2 2 3" xfId="33932" xr:uid="{00000000-0005-0000-0000-000091830000}"/>
    <cellStyle name="Normal 45 2 2 3 2" xfId="33933" xr:uid="{00000000-0005-0000-0000-000092830000}"/>
    <cellStyle name="Normal 45 2 2 3 2 2" xfId="33934" xr:uid="{00000000-0005-0000-0000-000093830000}"/>
    <cellStyle name="Normal 45 2 2 3 3" xfId="33935" xr:uid="{00000000-0005-0000-0000-000094830000}"/>
    <cellStyle name="Normal 45 2 2 4" xfId="33936" xr:uid="{00000000-0005-0000-0000-000095830000}"/>
    <cellStyle name="Normal 45 2 2 4 2" xfId="33937" xr:uid="{00000000-0005-0000-0000-000096830000}"/>
    <cellStyle name="Normal 45 2 2 4 2 2" xfId="33938" xr:uid="{00000000-0005-0000-0000-000097830000}"/>
    <cellStyle name="Normal 45 2 2 4 3" xfId="33939" xr:uid="{00000000-0005-0000-0000-000098830000}"/>
    <cellStyle name="Normal 45 2 2 5" xfId="33940" xr:uid="{00000000-0005-0000-0000-000099830000}"/>
    <cellStyle name="Normal 45 2 3" xfId="33941" xr:uid="{00000000-0005-0000-0000-00009A830000}"/>
    <cellStyle name="Normal 45 2 3 2" xfId="33942" xr:uid="{00000000-0005-0000-0000-00009B830000}"/>
    <cellStyle name="Normal 45 2 3 2 2" xfId="33943" xr:uid="{00000000-0005-0000-0000-00009C830000}"/>
    <cellStyle name="Normal 45 2 3 3" xfId="33944" xr:uid="{00000000-0005-0000-0000-00009D830000}"/>
    <cellStyle name="Normal 45 2 4" xfId="33945" xr:uid="{00000000-0005-0000-0000-00009E830000}"/>
    <cellStyle name="Normal 45 2 4 2" xfId="33946" xr:uid="{00000000-0005-0000-0000-00009F830000}"/>
    <cellStyle name="Normal 45 2 4 2 2" xfId="33947" xr:uid="{00000000-0005-0000-0000-0000A0830000}"/>
    <cellStyle name="Normal 45 2 4 3" xfId="33948" xr:uid="{00000000-0005-0000-0000-0000A1830000}"/>
    <cellStyle name="Normal 45 2 5" xfId="33949" xr:uid="{00000000-0005-0000-0000-0000A2830000}"/>
    <cellStyle name="Normal 45 2 5 2" xfId="33950" xr:uid="{00000000-0005-0000-0000-0000A3830000}"/>
    <cellStyle name="Normal 45 2 5 2 2" xfId="33951" xr:uid="{00000000-0005-0000-0000-0000A4830000}"/>
    <cellStyle name="Normal 45 2 5 3" xfId="33952" xr:uid="{00000000-0005-0000-0000-0000A5830000}"/>
    <cellStyle name="Normal 45 2 6" xfId="33953" xr:uid="{00000000-0005-0000-0000-0000A6830000}"/>
    <cellStyle name="Normal 45 3" xfId="33954" xr:uid="{00000000-0005-0000-0000-0000A7830000}"/>
    <cellStyle name="Normal 45 3 2" xfId="33955" xr:uid="{00000000-0005-0000-0000-0000A8830000}"/>
    <cellStyle name="Normal 45 3 2 2" xfId="33956" xr:uid="{00000000-0005-0000-0000-0000A9830000}"/>
    <cellStyle name="Normal 45 3 3" xfId="33957" xr:uid="{00000000-0005-0000-0000-0000AA830000}"/>
    <cellStyle name="Normal 45 3 3 2" xfId="33958" xr:uid="{00000000-0005-0000-0000-0000AB830000}"/>
    <cellStyle name="Normal 45 3 3 2 2" xfId="33959" xr:uid="{00000000-0005-0000-0000-0000AC830000}"/>
    <cellStyle name="Normal 45 3 3 3" xfId="33960" xr:uid="{00000000-0005-0000-0000-0000AD830000}"/>
    <cellStyle name="Normal 45 3 4" xfId="33961" xr:uid="{00000000-0005-0000-0000-0000AE830000}"/>
    <cellStyle name="Normal 45 3 4 2" xfId="33962" xr:uid="{00000000-0005-0000-0000-0000AF830000}"/>
    <cellStyle name="Normal 45 3 4 2 2" xfId="33963" xr:uid="{00000000-0005-0000-0000-0000B0830000}"/>
    <cellStyle name="Normal 45 3 4 3" xfId="33964" xr:uid="{00000000-0005-0000-0000-0000B1830000}"/>
    <cellStyle name="Normal 45 3 5" xfId="33965" xr:uid="{00000000-0005-0000-0000-0000B2830000}"/>
    <cellStyle name="Normal 45 4" xfId="33966" xr:uid="{00000000-0005-0000-0000-0000B3830000}"/>
    <cellStyle name="Normal 45 4 2" xfId="33967" xr:uid="{00000000-0005-0000-0000-0000B4830000}"/>
    <cellStyle name="Normal 45 4 2 2" xfId="33968" xr:uid="{00000000-0005-0000-0000-0000B5830000}"/>
    <cellStyle name="Normal 45 4 3" xfId="33969" xr:uid="{00000000-0005-0000-0000-0000B6830000}"/>
    <cellStyle name="Normal 45 5" xfId="33970" xr:uid="{00000000-0005-0000-0000-0000B7830000}"/>
    <cellStyle name="Normal 45 5 2" xfId="33971" xr:uid="{00000000-0005-0000-0000-0000B8830000}"/>
    <cellStyle name="Normal 45 5 2 2" xfId="33972" xr:uid="{00000000-0005-0000-0000-0000B9830000}"/>
    <cellStyle name="Normal 45 5 3" xfId="33973" xr:uid="{00000000-0005-0000-0000-0000BA830000}"/>
    <cellStyle name="Normal 45 6" xfId="33974" xr:uid="{00000000-0005-0000-0000-0000BB830000}"/>
    <cellStyle name="Normal 45 6 2" xfId="33975" xr:uid="{00000000-0005-0000-0000-0000BC830000}"/>
    <cellStyle name="Normal 45 6 2 2" xfId="33976" xr:uid="{00000000-0005-0000-0000-0000BD830000}"/>
    <cellStyle name="Normal 45 6 3" xfId="33977" xr:uid="{00000000-0005-0000-0000-0000BE830000}"/>
    <cellStyle name="Normal 45 7" xfId="33978" xr:uid="{00000000-0005-0000-0000-0000BF830000}"/>
    <cellStyle name="Normal 450" xfId="33979" xr:uid="{00000000-0005-0000-0000-0000C0830000}"/>
    <cellStyle name="Normal 450 2" xfId="33980" xr:uid="{00000000-0005-0000-0000-0000C1830000}"/>
    <cellStyle name="Normal 450 2 2" xfId="33981" xr:uid="{00000000-0005-0000-0000-0000C2830000}"/>
    <cellStyle name="Normal 450 2 2 2" xfId="33982" xr:uid="{00000000-0005-0000-0000-0000C3830000}"/>
    <cellStyle name="Normal 450 2 3" xfId="33983" xr:uid="{00000000-0005-0000-0000-0000C4830000}"/>
    <cellStyle name="Normal 450 2 3 2" xfId="33984" xr:uid="{00000000-0005-0000-0000-0000C5830000}"/>
    <cellStyle name="Normal 450 2 3 2 2" xfId="33985" xr:uid="{00000000-0005-0000-0000-0000C6830000}"/>
    <cellStyle name="Normal 450 2 3 3" xfId="33986" xr:uid="{00000000-0005-0000-0000-0000C7830000}"/>
    <cellStyle name="Normal 450 2 4" xfId="33987" xr:uid="{00000000-0005-0000-0000-0000C8830000}"/>
    <cellStyle name="Normal 450 2 4 2" xfId="33988" xr:uid="{00000000-0005-0000-0000-0000C9830000}"/>
    <cellStyle name="Normal 450 2 4 2 2" xfId="33989" xr:uid="{00000000-0005-0000-0000-0000CA830000}"/>
    <cellStyle name="Normal 450 2 4 3" xfId="33990" xr:uid="{00000000-0005-0000-0000-0000CB830000}"/>
    <cellStyle name="Normal 450 2 5" xfId="33991" xr:uid="{00000000-0005-0000-0000-0000CC830000}"/>
    <cellStyle name="Normal 450 3" xfId="33992" xr:uid="{00000000-0005-0000-0000-0000CD830000}"/>
    <cellStyle name="Normal 450 3 2" xfId="33993" xr:uid="{00000000-0005-0000-0000-0000CE830000}"/>
    <cellStyle name="Normal 450 3 2 2" xfId="33994" xr:uid="{00000000-0005-0000-0000-0000CF830000}"/>
    <cellStyle name="Normal 450 3 2 2 2" xfId="33995" xr:uid="{00000000-0005-0000-0000-0000D0830000}"/>
    <cellStyle name="Normal 450 3 2 3" xfId="33996" xr:uid="{00000000-0005-0000-0000-0000D1830000}"/>
    <cellStyle name="Normal 450 3 2 3 2" xfId="33997" xr:uid="{00000000-0005-0000-0000-0000D2830000}"/>
    <cellStyle name="Normal 450 3 2 3 2 2" xfId="33998" xr:uid="{00000000-0005-0000-0000-0000D3830000}"/>
    <cellStyle name="Normal 450 3 2 3 3" xfId="33999" xr:uid="{00000000-0005-0000-0000-0000D4830000}"/>
    <cellStyle name="Normal 450 3 2 4" xfId="34000" xr:uid="{00000000-0005-0000-0000-0000D5830000}"/>
    <cellStyle name="Normal 450 3 3" xfId="34001" xr:uid="{00000000-0005-0000-0000-0000D6830000}"/>
    <cellStyle name="Normal 450 3 3 2" xfId="34002" xr:uid="{00000000-0005-0000-0000-0000D7830000}"/>
    <cellStyle name="Normal 450 3 3 2 2" xfId="34003" xr:uid="{00000000-0005-0000-0000-0000D8830000}"/>
    <cellStyle name="Normal 450 3 3 3" xfId="34004" xr:uid="{00000000-0005-0000-0000-0000D9830000}"/>
    <cellStyle name="Normal 450 3 4" xfId="34005" xr:uid="{00000000-0005-0000-0000-0000DA830000}"/>
    <cellStyle name="Normal 450 3 4 2" xfId="34006" xr:uid="{00000000-0005-0000-0000-0000DB830000}"/>
    <cellStyle name="Normal 450 3 4 2 2" xfId="34007" xr:uid="{00000000-0005-0000-0000-0000DC830000}"/>
    <cellStyle name="Normal 450 3 4 3" xfId="34008" xr:uid="{00000000-0005-0000-0000-0000DD830000}"/>
    <cellStyle name="Normal 450 3 5" xfId="34009" xr:uid="{00000000-0005-0000-0000-0000DE830000}"/>
    <cellStyle name="Normal 450 3 5 2" xfId="34010" xr:uid="{00000000-0005-0000-0000-0000DF830000}"/>
    <cellStyle name="Normal 450 3 5 2 2" xfId="34011" xr:uid="{00000000-0005-0000-0000-0000E0830000}"/>
    <cellStyle name="Normal 450 3 5 3" xfId="34012" xr:uid="{00000000-0005-0000-0000-0000E1830000}"/>
    <cellStyle name="Normal 450 3 6" xfId="34013" xr:uid="{00000000-0005-0000-0000-0000E2830000}"/>
    <cellStyle name="Normal 450 4" xfId="34014" xr:uid="{00000000-0005-0000-0000-0000E3830000}"/>
    <cellStyle name="Normal 450 4 2" xfId="34015" xr:uid="{00000000-0005-0000-0000-0000E4830000}"/>
    <cellStyle name="Normal 450 4 2 2" xfId="34016" xr:uid="{00000000-0005-0000-0000-0000E5830000}"/>
    <cellStyle name="Normal 450 4 3" xfId="34017" xr:uid="{00000000-0005-0000-0000-0000E6830000}"/>
    <cellStyle name="Normal 450 5" xfId="34018" xr:uid="{00000000-0005-0000-0000-0000E7830000}"/>
    <cellStyle name="Normal 450 5 2" xfId="34019" xr:uid="{00000000-0005-0000-0000-0000E8830000}"/>
    <cellStyle name="Normal 450 5 2 2" xfId="34020" xr:uid="{00000000-0005-0000-0000-0000E9830000}"/>
    <cellStyle name="Normal 450 5 3" xfId="34021" xr:uid="{00000000-0005-0000-0000-0000EA830000}"/>
    <cellStyle name="Normal 450 6" xfId="34022" xr:uid="{00000000-0005-0000-0000-0000EB830000}"/>
    <cellStyle name="Normal 450 6 2" xfId="34023" xr:uid="{00000000-0005-0000-0000-0000EC830000}"/>
    <cellStyle name="Normal 450 6 2 2" xfId="34024" xr:uid="{00000000-0005-0000-0000-0000ED830000}"/>
    <cellStyle name="Normal 450 6 3" xfId="34025" xr:uid="{00000000-0005-0000-0000-0000EE830000}"/>
    <cellStyle name="Normal 450 7" xfId="34026" xr:uid="{00000000-0005-0000-0000-0000EF830000}"/>
    <cellStyle name="Normal 451" xfId="34027" xr:uid="{00000000-0005-0000-0000-0000F0830000}"/>
    <cellStyle name="Normal 451 2" xfId="34028" xr:uid="{00000000-0005-0000-0000-0000F1830000}"/>
    <cellStyle name="Normal 451 2 2" xfId="34029" xr:uid="{00000000-0005-0000-0000-0000F2830000}"/>
    <cellStyle name="Normal 451 2 2 2" xfId="34030" xr:uid="{00000000-0005-0000-0000-0000F3830000}"/>
    <cellStyle name="Normal 451 2 3" xfId="34031" xr:uid="{00000000-0005-0000-0000-0000F4830000}"/>
    <cellStyle name="Normal 451 2 3 2" xfId="34032" xr:uid="{00000000-0005-0000-0000-0000F5830000}"/>
    <cellStyle name="Normal 451 2 3 2 2" xfId="34033" xr:uid="{00000000-0005-0000-0000-0000F6830000}"/>
    <cellStyle name="Normal 451 2 3 3" xfId="34034" xr:uid="{00000000-0005-0000-0000-0000F7830000}"/>
    <cellStyle name="Normal 451 2 4" xfId="34035" xr:uid="{00000000-0005-0000-0000-0000F8830000}"/>
    <cellStyle name="Normal 451 3" xfId="34036" xr:uid="{00000000-0005-0000-0000-0000F9830000}"/>
    <cellStyle name="Normal 451 3 2" xfId="34037" xr:uid="{00000000-0005-0000-0000-0000FA830000}"/>
    <cellStyle name="Normal 451 3 2 2" xfId="34038" xr:uid="{00000000-0005-0000-0000-0000FB830000}"/>
    <cellStyle name="Normal 451 3 3" xfId="34039" xr:uid="{00000000-0005-0000-0000-0000FC830000}"/>
    <cellStyle name="Normal 451 4" xfId="34040" xr:uid="{00000000-0005-0000-0000-0000FD830000}"/>
    <cellStyle name="Normal 451 4 2" xfId="34041" xr:uid="{00000000-0005-0000-0000-0000FE830000}"/>
    <cellStyle name="Normal 451 4 2 2" xfId="34042" xr:uid="{00000000-0005-0000-0000-0000FF830000}"/>
    <cellStyle name="Normal 451 4 3" xfId="34043" xr:uid="{00000000-0005-0000-0000-000000840000}"/>
    <cellStyle name="Normal 451 5" xfId="34044" xr:uid="{00000000-0005-0000-0000-000001840000}"/>
    <cellStyle name="Normal 451 5 2" xfId="34045" xr:uid="{00000000-0005-0000-0000-000002840000}"/>
    <cellStyle name="Normal 451 5 2 2" xfId="34046" xr:uid="{00000000-0005-0000-0000-000003840000}"/>
    <cellStyle name="Normal 451 5 3" xfId="34047" xr:uid="{00000000-0005-0000-0000-000004840000}"/>
    <cellStyle name="Normal 451 6" xfId="34048" xr:uid="{00000000-0005-0000-0000-000005840000}"/>
    <cellStyle name="Normal 452" xfId="34049" xr:uid="{00000000-0005-0000-0000-000006840000}"/>
    <cellStyle name="Normal 452 2" xfId="34050" xr:uid="{00000000-0005-0000-0000-000007840000}"/>
    <cellStyle name="Normal 452 2 2" xfId="34051" xr:uid="{00000000-0005-0000-0000-000008840000}"/>
    <cellStyle name="Normal 452 2 2 2" xfId="34052" xr:uid="{00000000-0005-0000-0000-000009840000}"/>
    <cellStyle name="Normal 452 2 3" xfId="34053" xr:uid="{00000000-0005-0000-0000-00000A840000}"/>
    <cellStyle name="Normal 452 2 3 2" xfId="34054" xr:uid="{00000000-0005-0000-0000-00000B840000}"/>
    <cellStyle name="Normal 452 2 3 2 2" xfId="34055" xr:uid="{00000000-0005-0000-0000-00000C840000}"/>
    <cellStyle name="Normal 452 2 3 3" xfId="34056" xr:uid="{00000000-0005-0000-0000-00000D840000}"/>
    <cellStyle name="Normal 452 2 4" xfId="34057" xr:uid="{00000000-0005-0000-0000-00000E840000}"/>
    <cellStyle name="Normal 452 3" xfId="34058" xr:uid="{00000000-0005-0000-0000-00000F840000}"/>
    <cellStyle name="Normal 452 3 2" xfId="34059" xr:uid="{00000000-0005-0000-0000-000010840000}"/>
    <cellStyle name="Normal 452 3 2 2" xfId="34060" xr:uid="{00000000-0005-0000-0000-000011840000}"/>
    <cellStyle name="Normal 452 3 3" xfId="34061" xr:uid="{00000000-0005-0000-0000-000012840000}"/>
    <cellStyle name="Normal 452 4" xfId="34062" xr:uid="{00000000-0005-0000-0000-000013840000}"/>
    <cellStyle name="Normal 452 4 2" xfId="34063" xr:uid="{00000000-0005-0000-0000-000014840000}"/>
    <cellStyle name="Normal 452 4 2 2" xfId="34064" xr:uid="{00000000-0005-0000-0000-000015840000}"/>
    <cellStyle name="Normal 452 4 3" xfId="34065" xr:uid="{00000000-0005-0000-0000-000016840000}"/>
    <cellStyle name="Normal 452 5" xfId="34066" xr:uid="{00000000-0005-0000-0000-000017840000}"/>
    <cellStyle name="Normal 452 5 2" xfId="34067" xr:uid="{00000000-0005-0000-0000-000018840000}"/>
    <cellStyle name="Normal 452 5 2 2" xfId="34068" xr:uid="{00000000-0005-0000-0000-000019840000}"/>
    <cellStyle name="Normal 452 5 3" xfId="34069" xr:uid="{00000000-0005-0000-0000-00001A840000}"/>
    <cellStyle name="Normal 452 6" xfId="34070" xr:uid="{00000000-0005-0000-0000-00001B840000}"/>
    <cellStyle name="Normal 453" xfId="34071" xr:uid="{00000000-0005-0000-0000-00001C840000}"/>
    <cellStyle name="Normal 453 2" xfId="34072" xr:uid="{00000000-0005-0000-0000-00001D840000}"/>
    <cellStyle name="Normal 453 2 2" xfId="34073" xr:uid="{00000000-0005-0000-0000-00001E840000}"/>
    <cellStyle name="Normal 453 2 2 2" xfId="34074" xr:uid="{00000000-0005-0000-0000-00001F840000}"/>
    <cellStyle name="Normal 453 2 3" xfId="34075" xr:uid="{00000000-0005-0000-0000-000020840000}"/>
    <cellStyle name="Normal 453 2 3 2" xfId="34076" xr:uid="{00000000-0005-0000-0000-000021840000}"/>
    <cellStyle name="Normal 453 2 3 2 2" xfId="34077" xr:uid="{00000000-0005-0000-0000-000022840000}"/>
    <cellStyle name="Normal 453 2 3 3" xfId="34078" xr:uid="{00000000-0005-0000-0000-000023840000}"/>
    <cellStyle name="Normal 453 2 4" xfId="34079" xr:uid="{00000000-0005-0000-0000-000024840000}"/>
    <cellStyle name="Normal 453 3" xfId="34080" xr:uid="{00000000-0005-0000-0000-000025840000}"/>
    <cellStyle name="Normal 453 3 2" xfId="34081" xr:uid="{00000000-0005-0000-0000-000026840000}"/>
    <cellStyle name="Normal 453 3 2 2" xfId="34082" xr:uid="{00000000-0005-0000-0000-000027840000}"/>
    <cellStyle name="Normal 453 3 3" xfId="34083" xr:uid="{00000000-0005-0000-0000-000028840000}"/>
    <cellStyle name="Normal 453 4" xfId="34084" xr:uid="{00000000-0005-0000-0000-000029840000}"/>
    <cellStyle name="Normal 453 4 2" xfId="34085" xr:uid="{00000000-0005-0000-0000-00002A840000}"/>
    <cellStyle name="Normal 453 4 2 2" xfId="34086" xr:uid="{00000000-0005-0000-0000-00002B840000}"/>
    <cellStyle name="Normal 453 4 3" xfId="34087" xr:uid="{00000000-0005-0000-0000-00002C840000}"/>
    <cellStyle name="Normal 453 5" xfId="34088" xr:uid="{00000000-0005-0000-0000-00002D840000}"/>
    <cellStyle name="Normal 453 5 2" xfId="34089" xr:uid="{00000000-0005-0000-0000-00002E840000}"/>
    <cellStyle name="Normal 453 5 2 2" xfId="34090" xr:uid="{00000000-0005-0000-0000-00002F840000}"/>
    <cellStyle name="Normal 453 5 3" xfId="34091" xr:uid="{00000000-0005-0000-0000-000030840000}"/>
    <cellStyle name="Normal 453 6" xfId="34092" xr:uid="{00000000-0005-0000-0000-000031840000}"/>
    <cellStyle name="Normal 454" xfId="34093" xr:uid="{00000000-0005-0000-0000-000032840000}"/>
    <cellStyle name="Normal 454 2" xfId="34094" xr:uid="{00000000-0005-0000-0000-000033840000}"/>
    <cellStyle name="Normal 454 2 2" xfId="34095" xr:uid="{00000000-0005-0000-0000-000034840000}"/>
    <cellStyle name="Normal 454 2 2 2" xfId="34096" xr:uid="{00000000-0005-0000-0000-000035840000}"/>
    <cellStyle name="Normal 454 2 3" xfId="34097" xr:uid="{00000000-0005-0000-0000-000036840000}"/>
    <cellStyle name="Normal 454 2 3 2" xfId="34098" xr:uid="{00000000-0005-0000-0000-000037840000}"/>
    <cellStyle name="Normal 454 2 3 2 2" xfId="34099" xr:uid="{00000000-0005-0000-0000-000038840000}"/>
    <cellStyle name="Normal 454 2 3 3" xfId="34100" xr:uid="{00000000-0005-0000-0000-000039840000}"/>
    <cellStyle name="Normal 454 2 4" xfId="34101" xr:uid="{00000000-0005-0000-0000-00003A840000}"/>
    <cellStyle name="Normal 454 3" xfId="34102" xr:uid="{00000000-0005-0000-0000-00003B840000}"/>
    <cellStyle name="Normal 454 3 2" xfId="34103" xr:uid="{00000000-0005-0000-0000-00003C840000}"/>
    <cellStyle name="Normal 454 3 2 2" xfId="34104" xr:uid="{00000000-0005-0000-0000-00003D840000}"/>
    <cellStyle name="Normal 454 3 3" xfId="34105" xr:uid="{00000000-0005-0000-0000-00003E840000}"/>
    <cellStyle name="Normal 454 4" xfId="34106" xr:uid="{00000000-0005-0000-0000-00003F840000}"/>
    <cellStyle name="Normal 454 4 2" xfId="34107" xr:uid="{00000000-0005-0000-0000-000040840000}"/>
    <cellStyle name="Normal 454 4 2 2" xfId="34108" xr:uid="{00000000-0005-0000-0000-000041840000}"/>
    <cellStyle name="Normal 454 4 3" xfId="34109" xr:uid="{00000000-0005-0000-0000-000042840000}"/>
    <cellStyle name="Normal 454 5" xfId="34110" xr:uid="{00000000-0005-0000-0000-000043840000}"/>
    <cellStyle name="Normal 454 5 2" xfId="34111" xr:uid="{00000000-0005-0000-0000-000044840000}"/>
    <cellStyle name="Normal 454 5 2 2" xfId="34112" xr:uid="{00000000-0005-0000-0000-000045840000}"/>
    <cellStyle name="Normal 454 5 3" xfId="34113" xr:uid="{00000000-0005-0000-0000-000046840000}"/>
    <cellStyle name="Normal 454 6" xfId="34114" xr:uid="{00000000-0005-0000-0000-000047840000}"/>
    <cellStyle name="Normal 455" xfId="34115" xr:uid="{00000000-0005-0000-0000-000048840000}"/>
    <cellStyle name="Normal 455 2" xfId="34116" xr:uid="{00000000-0005-0000-0000-000049840000}"/>
    <cellStyle name="Normal 455 2 2" xfId="34117" xr:uid="{00000000-0005-0000-0000-00004A840000}"/>
    <cellStyle name="Normal 455 2 2 2" xfId="34118" xr:uid="{00000000-0005-0000-0000-00004B840000}"/>
    <cellStyle name="Normal 455 2 3" xfId="34119" xr:uid="{00000000-0005-0000-0000-00004C840000}"/>
    <cellStyle name="Normal 455 2 3 2" xfId="34120" xr:uid="{00000000-0005-0000-0000-00004D840000}"/>
    <cellStyle name="Normal 455 2 3 2 2" xfId="34121" xr:uid="{00000000-0005-0000-0000-00004E840000}"/>
    <cellStyle name="Normal 455 2 3 3" xfId="34122" xr:uid="{00000000-0005-0000-0000-00004F840000}"/>
    <cellStyle name="Normal 455 2 4" xfId="34123" xr:uid="{00000000-0005-0000-0000-000050840000}"/>
    <cellStyle name="Normal 455 3" xfId="34124" xr:uid="{00000000-0005-0000-0000-000051840000}"/>
    <cellStyle name="Normal 455 3 2" xfId="34125" xr:uid="{00000000-0005-0000-0000-000052840000}"/>
    <cellStyle name="Normal 455 3 2 2" xfId="34126" xr:uid="{00000000-0005-0000-0000-000053840000}"/>
    <cellStyle name="Normal 455 3 3" xfId="34127" xr:uid="{00000000-0005-0000-0000-000054840000}"/>
    <cellStyle name="Normal 455 4" xfId="34128" xr:uid="{00000000-0005-0000-0000-000055840000}"/>
    <cellStyle name="Normal 455 4 2" xfId="34129" xr:uid="{00000000-0005-0000-0000-000056840000}"/>
    <cellStyle name="Normal 455 4 2 2" xfId="34130" xr:uid="{00000000-0005-0000-0000-000057840000}"/>
    <cellStyle name="Normal 455 4 3" xfId="34131" xr:uid="{00000000-0005-0000-0000-000058840000}"/>
    <cellStyle name="Normal 455 5" xfId="34132" xr:uid="{00000000-0005-0000-0000-000059840000}"/>
    <cellStyle name="Normal 455 5 2" xfId="34133" xr:uid="{00000000-0005-0000-0000-00005A840000}"/>
    <cellStyle name="Normal 455 5 2 2" xfId="34134" xr:uid="{00000000-0005-0000-0000-00005B840000}"/>
    <cellStyle name="Normal 455 5 3" xfId="34135" xr:uid="{00000000-0005-0000-0000-00005C840000}"/>
    <cellStyle name="Normal 455 6" xfId="34136" xr:uid="{00000000-0005-0000-0000-00005D840000}"/>
    <cellStyle name="Normal 456" xfId="34137" xr:uid="{00000000-0005-0000-0000-00005E840000}"/>
    <cellStyle name="Normal 456 2" xfId="34138" xr:uid="{00000000-0005-0000-0000-00005F840000}"/>
    <cellStyle name="Normal 456 2 2" xfId="34139" xr:uid="{00000000-0005-0000-0000-000060840000}"/>
    <cellStyle name="Normal 456 2 2 2" xfId="34140" xr:uid="{00000000-0005-0000-0000-000061840000}"/>
    <cellStyle name="Normal 456 2 3" xfId="34141" xr:uid="{00000000-0005-0000-0000-000062840000}"/>
    <cellStyle name="Normal 456 2 3 2" xfId="34142" xr:uid="{00000000-0005-0000-0000-000063840000}"/>
    <cellStyle name="Normal 456 2 3 2 2" xfId="34143" xr:uid="{00000000-0005-0000-0000-000064840000}"/>
    <cellStyle name="Normal 456 2 3 3" xfId="34144" xr:uid="{00000000-0005-0000-0000-000065840000}"/>
    <cellStyle name="Normal 456 2 4" xfId="34145" xr:uid="{00000000-0005-0000-0000-000066840000}"/>
    <cellStyle name="Normal 456 3" xfId="34146" xr:uid="{00000000-0005-0000-0000-000067840000}"/>
    <cellStyle name="Normal 456 3 2" xfId="34147" xr:uid="{00000000-0005-0000-0000-000068840000}"/>
    <cellStyle name="Normal 456 3 2 2" xfId="34148" xr:uid="{00000000-0005-0000-0000-000069840000}"/>
    <cellStyle name="Normal 456 3 3" xfId="34149" xr:uid="{00000000-0005-0000-0000-00006A840000}"/>
    <cellStyle name="Normal 456 4" xfId="34150" xr:uid="{00000000-0005-0000-0000-00006B840000}"/>
    <cellStyle name="Normal 456 4 2" xfId="34151" xr:uid="{00000000-0005-0000-0000-00006C840000}"/>
    <cellStyle name="Normal 456 4 2 2" xfId="34152" xr:uid="{00000000-0005-0000-0000-00006D840000}"/>
    <cellStyle name="Normal 456 4 3" xfId="34153" xr:uid="{00000000-0005-0000-0000-00006E840000}"/>
    <cellStyle name="Normal 456 5" xfId="34154" xr:uid="{00000000-0005-0000-0000-00006F840000}"/>
    <cellStyle name="Normal 456 5 2" xfId="34155" xr:uid="{00000000-0005-0000-0000-000070840000}"/>
    <cellStyle name="Normal 456 5 2 2" xfId="34156" xr:uid="{00000000-0005-0000-0000-000071840000}"/>
    <cellStyle name="Normal 456 5 3" xfId="34157" xr:uid="{00000000-0005-0000-0000-000072840000}"/>
    <cellStyle name="Normal 456 6" xfId="34158" xr:uid="{00000000-0005-0000-0000-000073840000}"/>
    <cellStyle name="Normal 457" xfId="34159" xr:uid="{00000000-0005-0000-0000-000074840000}"/>
    <cellStyle name="Normal 457 2" xfId="34160" xr:uid="{00000000-0005-0000-0000-000075840000}"/>
    <cellStyle name="Normal 457 2 2" xfId="34161" xr:uid="{00000000-0005-0000-0000-000076840000}"/>
    <cellStyle name="Normal 457 2 2 2" xfId="34162" xr:uid="{00000000-0005-0000-0000-000077840000}"/>
    <cellStyle name="Normal 457 2 3" xfId="34163" xr:uid="{00000000-0005-0000-0000-000078840000}"/>
    <cellStyle name="Normal 457 2 3 2" xfId="34164" xr:uid="{00000000-0005-0000-0000-000079840000}"/>
    <cellStyle name="Normal 457 2 3 2 2" xfId="34165" xr:uid="{00000000-0005-0000-0000-00007A840000}"/>
    <cellStyle name="Normal 457 2 3 3" xfId="34166" xr:uid="{00000000-0005-0000-0000-00007B840000}"/>
    <cellStyle name="Normal 457 2 4" xfId="34167" xr:uid="{00000000-0005-0000-0000-00007C840000}"/>
    <cellStyle name="Normal 457 3" xfId="34168" xr:uid="{00000000-0005-0000-0000-00007D840000}"/>
    <cellStyle name="Normal 457 3 2" xfId="34169" xr:uid="{00000000-0005-0000-0000-00007E840000}"/>
    <cellStyle name="Normal 457 3 2 2" xfId="34170" xr:uid="{00000000-0005-0000-0000-00007F840000}"/>
    <cellStyle name="Normal 457 3 3" xfId="34171" xr:uid="{00000000-0005-0000-0000-000080840000}"/>
    <cellStyle name="Normal 457 4" xfId="34172" xr:uid="{00000000-0005-0000-0000-000081840000}"/>
    <cellStyle name="Normal 457 4 2" xfId="34173" xr:uid="{00000000-0005-0000-0000-000082840000}"/>
    <cellStyle name="Normal 457 4 2 2" xfId="34174" xr:uid="{00000000-0005-0000-0000-000083840000}"/>
    <cellStyle name="Normal 457 4 3" xfId="34175" xr:uid="{00000000-0005-0000-0000-000084840000}"/>
    <cellStyle name="Normal 457 5" xfId="34176" xr:uid="{00000000-0005-0000-0000-000085840000}"/>
    <cellStyle name="Normal 457 5 2" xfId="34177" xr:uid="{00000000-0005-0000-0000-000086840000}"/>
    <cellStyle name="Normal 457 5 2 2" xfId="34178" xr:uid="{00000000-0005-0000-0000-000087840000}"/>
    <cellStyle name="Normal 457 5 3" xfId="34179" xr:uid="{00000000-0005-0000-0000-000088840000}"/>
    <cellStyle name="Normal 457 6" xfId="34180" xr:uid="{00000000-0005-0000-0000-000089840000}"/>
    <cellStyle name="Normal 458" xfId="34181" xr:uid="{00000000-0005-0000-0000-00008A840000}"/>
    <cellStyle name="Normal 458 2" xfId="34182" xr:uid="{00000000-0005-0000-0000-00008B840000}"/>
    <cellStyle name="Normal 458 2 2" xfId="34183" xr:uid="{00000000-0005-0000-0000-00008C840000}"/>
    <cellStyle name="Normal 458 2 2 2" xfId="34184" xr:uid="{00000000-0005-0000-0000-00008D840000}"/>
    <cellStyle name="Normal 458 2 3" xfId="34185" xr:uid="{00000000-0005-0000-0000-00008E840000}"/>
    <cellStyle name="Normal 458 2 3 2" xfId="34186" xr:uid="{00000000-0005-0000-0000-00008F840000}"/>
    <cellStyle name="Normal 458 2 3 2 2" xfId="34187" xr:uid="{00000000-0005-0000-0000-000090840000}"/>
    <cellStyle name="Normal 458 2 3 3" xfId="34188" xr:uid="{00000000-0005-0000-0000-000091840000}"/>
    <cellStyle name="Normal 458 2 4" xfId="34189" xr:uid="{00000000-0005-0000-0000-000092840000}"/>
    <cellStyle name="Normal 458 3" xfId="34190" xr:uid="{00000000-0005-0000-0000-000093840000}"/>
    <cellStyle name="Normal 458 3 2" xfId="34191" xr:uid="{00000000-0005-0000-0000-000094840000}"/>
    <cellStyle name="Normal 458 3 2 2" xfId="34192" xr:uid="{00000000-0005-0000-0000-000095840000}"/>
    <cellStyle name="Normal 458 3 3" xfId="34193" xr:uid="{00000000-0005-0000-0000-000096840000}"/>
    <cellStyle name="Normal 458 4" xfId="34194" xr:uid="{00000000-0005-0000-0000-000097840000}"/>
    <cellStyle name="Normal 458 4 2" xfId="34195" xr:uid="{00000000-0005-0000-0000-000098840000}"/>
    <cellStyle name="Normal 458 4 2 2" xfId="34196" xr:uid="{00000000-0005-0000-0000-000099840000}"/>
    <cellStyle name="Normal 458 4 3" xfId="34197" xr:uid="{00000000-0005-0000-0000-00009A840000}"/>
    <cellStyle name="Normal 458 5" xfId="34198" xr:uid="{00000000-0005-0000-0000-00009B840000}"/>
    <cellStyle name="Normal 458 5 2" xfId="34199" xr:uid="{00000000-0005-0000-0000-00009C840000}"/>
    <cellStyle name="Normal 458 5 2 2" xfId="34200" xr:uid="{00000000-0005-0000-0000-00009D840000}"/>
    <cellStyle name="Normal 458 5 3" xfId="34201" xr:uid="{00000000-0005-0000-0000-00009E840000}"/>
    <cellStyle name="Normal 458 6" xfId="34202" xr:uid="{00000000-0005-0000-0000-00009F840000}"/>
    <cellStyle name="Normal 459" xfId="34203" xr:uid="{00000000-0005-0000-0000-0000A0840000}"/>
    <cellStyle name="Normal 459 2" xfId="34204" xr:uid="{00000000-0005-0000-0000-0000A1840000}"/>
    <cellStyle name="Normal 459 2 2" xfId="34205" xr:uid="{00000000-0005-0000-0000-0000A2840000}"/>
    <cellStyle name="Normal 459 2 2 2" xfId="34206" xr:uid="{00000000-0005-0000-0000-0000A3840000}"/>
    <cellStyle name="Normal 459 2 3" xfId="34207" xr:uid="{00000000-0005-0000-0000-0000A4840000}"/>
    <cellStyle name="Normal 459 2 3 2" xfId="34208" xr:uid="{00000000-0005-0000-0000-0000A5840000}"/>
    <cellStyle name="Normal 459 2 3 2 2" xfId="34209" xr:uid="{00000000-0005-0000-0000-0000A6840000}"/>
    <cellStyle name="Normal 459 2 3 3" xfId="34210" xr:uid="{00000000-0005-0000-0000-0000A7840000}"/>
    <cellStyle name="Normal 459 2 4" xfId="34211" xr:uid="{00000000-0005-0000-0000-0000A8840000}"/>
    <cellStyle name="Normal 459 3" xfId="34212" xr:uid="{00000000-0005-0000-0000-0000A9840000}"/>
    <cellStyle name="Normal 459 3 2" xfId="34213" xr:uid="{00000000-0005-0000-0000-0000AA840000}"/>
    <cellStyle name="Normal 459 3 2 2" xfId="34214" xr:uid="{00000000-0005-0000-0000-0000AB840000}"/>
    <cellStyle name="Normal 459 3 3" xfId="34215" xr:uid="{00000000-0005-0000-0000-0000AC840000}"/>
    <cellStyle name="Normal 459 4" xfId="34216" xr:uid="{00000000-0005-0000-0000-0000AD840000}"/>
    <cellStyle name="Normal 459 4 2" xfId="34217" xr:uid="{00000000-0005-0000-0000-0000AE840000}"/>
    <cellStyle name="Normal 459 4 2 2" xfId="34218" xr:uid="{00000000-0005-0000-0000-0000AF840000}"/>
    <cellStyle name="Normal 459 4 3" xfId="34219" xr:uid="{00000000-0005-0000-0000-0000B0840000}"/>
    <cellStyle name="Normal 459 5" xfId="34220" xr:uid="{00000000-0005-0000-0000-0000B1840000}"/>
    <cellStyle name="Normal 459 5 2" xfId="34221" xr:uid="{00000000-0005-0000-0000-0000B2840000}"/>
    <cellStyle name="Normal 459 5 2 2" xfId="34222" xr:uid="{00000000-0005-0000-0000-0000B3840000}"/>
    <cellStyle name="Normal 459 5 3" xfId="34223" xr:uid="{00000000-0005-0000-0000-0000B4840000}"/>
    <cellStyle name="Normal 459 6" xfId="34224" xr:uid="{00000000-0005-0000-0000-0000B5840000}"/>
    <cellStyle name="Normal 46" xfId="34225" xr:uid="{00000000-0005-0000-0000-0000B6840000}"/>
    <cellStyle name="Normal 46 2" xfId="34226" xr:uid="{00000000-0005-0000-0000-0000B7840000}"/>
    <cellStyle name="Normal 46 2 2" xfId="34227" xr:uid="{00000000-0005-0000-0000-0000B8840000}"/>
    <cellStyle name="Normal 46 2 2 2" xfId="34228" xr:uid="{00000000-0005-0000-0000-0000B9840000}"/>
    <cellStyle name="Normal 46 2 2 2 2" xfId="34229" xr:uid="{00000000-0005-0000-0000-0000BA840000}"/>
    <cellStyle name="Normal 46 2 2 3" xfId="34230" xr:uid="{00000000-0005-0000-0000-0000BB840000}"/>
    <cellStyle name="Normal 46 2 2 3 2" xfId="34231" xr:uid="{00000000-0005-0000-0000-0000BC840000}"/>
    <cellStyle name="Normal 46 2 2 3 2 2" xfId="34232" xr:uid="{00000000-0005-0000-0000-0000BD840000}"/>
    <cellStyle name="Normal 46 2 2 3 3" xfId="34233" xr:uid="{00000000-0005-0000-0000-0000BE840000}"/>
    <cellStyle name="Normal 46 2 2 4" xfId="34234" xr:uid="{00000000-0005-0000-0000-0000BF840000}"/>
    <cellStyle name="Normal 46 2 2 4 2" xfId="34235" xr:uid="{00000000-0005-0000-0000-0000C0840000}"/>
    <cellStyle name="Normal 46 2 2 4 2 2" xfId="34236" xr:uid="{00000000-0005-0000-0000-0000C1840000}"/>
    <cellStyle name="Normal 46 2 2 4 3" xfId="34237" xr:uid="{00000000-0005-0000-0000-0000C2840000}"/>
    <cellStyle name="Normal 46 2 2 5" xfId="34238" xr:uid="{00000000-0005-0000-0000-0000C3840000}"/>
    <cellStyle name="Normal 46 2 3" xfId="34239" xr:uid="{00000000-0005-0000-0000-0000C4840000}"/>
    <cellStyle name="Normal 46 2 3 2" xfId="34240" xr:uid="{00000000-0005-0000-0000-0000C5840000}"/>
    <cellStyle name="Normal 46 2 3 2 2" xfId="34241" xr:uid="{00000000-0005-0000-0000-0000C6840000}"/>
    <cellStyle name="Normal 46 2 3 3" xfId="34242" xr:uid="{00000000-0005-0000-0000-0000C7840000}"/>
    <cellStyle name="Normal 46 2 4" xfId="34243" xr:uid="{00000000-0005-0000-0000-0000C8840000}"/>
    <cellStyle name="Normal 46 2 4 2" xfId="34244" xr:uid="{00000000-0005-0000-0000-0000C9840000}"/>
    <cellStyle name="Normal 46 2 4 2 2" xfId="34245" xr:uid="{00000000-0005-0000-0000-0000CA840000}"/>
    <cellStyle name="Normal 46 2 4 3" xfId="34246" xr:uid="{00000000-0005-0000-0000-0000CB840000}"/>
    <cellStyle name="Normal 46 2 5" xfId="34247" xr:uid="{00000000-0005-0000-0000-0000CC840000}"/>
    <cellStyle name="Normal 46 2 5 2" xfId="34248" xr:uid="{00000000-0005-0000-0000-0000CD840000}"/>
    <cellStyle name="Normal 46 2 5 2 2" xfId="34249" xr:uid="{00000000-0005-0000-0000-0000CE840000}"/>
    <cellStyle name="Normal 46 2 5 3" xfId="34250" xr:uid="{00000000-0005-0000-0000-0000CF840000}"/>
    <cellStyle name="Normal 46 2 6" xfId="34251" xr:uid="{00000000-0005-0000-0000-0000D0840000}"/>
    <cellStyle name="Normal 46 3" xfId="34252" xr:uid="{00000000-0005-0000-0000-0000D1840000}"/>
    <cellStyle name="Normal 46 3 2" xfId="34253" xr:uid="{00000000-0005-0000-0000-0000D2840000}"/>
    <cellStyle name="Normal 46 3 2 2" xfId="34254" xr:uid="{00000000-0005-0000-0000-0000D3840000}"/>
    <cellStyle name="Normal 46 3 3" xfId="34255" xr:uid="{00000000-0005-0000-0000-0000D4840000}"/>
    <cellStyle name="Normal 46 3 3 2" xfId="34256" xr:uid="{00000000-0005-0000-0000-0000D5840000}"/>
    <cellStyle name="Normal 46 3 3 2 2" xfId="34257" xr:uid="{00000000-0005-0000-0000-0000D6840000}"/>
    <cellStyle name="Normal 46 3 3 3" xfId="34258" xr:uid="{00000000-0005-0000-0000-0000D7840000}"/>
    <cellStyle name="Normal 46 3 4" xfId="34259" xr:uid="{00000000-0005-0000-0000-0000D8840000}"/>
    <cellStyle name="Normal 46 3 4 2" xfId="34260" xr:uid="{00000000-0005-0000-0000-0000D9840000}"/>
    <cellStyle name="Normal 46 3 4 2 2" xfId="34261" xr:uid="{00000000-0005-0000-0000-0000DA840000}"/>
    <cellStyle name="Normal 46 3 4 3" xfId="34262" xr:uid="{00000000-0005-0000-0000-0000DB840000}"/>
    <cellStyle name="Normal 46 3 5" xfId="34263" xr:uid="{00000000-0005-0000-0000-0000DC840000}"/>
    <cellStyle name="Normal 46 4" xfId="34264" xr:uid="{00000000-0005-0000-0000-0000DD840000}"/>
    <cellStyle name="Normal 46 4 2" xfId="34265" xr:uid="{00000000-0005-0000-0000-0000DE840000}"/>
    <cellStyle name="Normal 46 4 2 2" xfId="34266" xr:uid="{00000000-0005-0000-0000-0000DF840000}"/>
    <cellStyle name="Normal 46 4 3" xfId="34267" xr:uid="{00000000-0005-0000-0000-0000E0840000}"/>
    <cellStyle name="Normal 46 5" xfId="34268" xr:uid="{00000000-0005-0000-0000-0000E1840000}"/>
    <cellStyle name="Normal 46 5 2" xfId="34269" xr:uid="{00000000-0005-0000-0000-0000E2840000}"/>
    <cellStyle name="Normal 46 5 2 2" xfId="34270" xr:uid="{00000000-0005-0000-0000-0000E3840000}"/>
    <cellStyle name="Normal 46 5 3" xfId="34271" xr:uid="{00000000-0005-0000-0000-0000E4840000}"/>
    <cellStyle name="Normal 46 6" xfId="34272" xr:uid="{00000000-0005-0000-0000-0000E5840000}"/>
    <cellStyle name="Normal 46 6 2" xfId="34273" xr:uid="{00000000-0005-0000-0000-0000E6840000}"/>
    <cellStyle name="Normal 46 6 2 2" xfId="34274" xr:uid="{00000000-0005-0000-0000-0000E7840000}"/>
    <cellStyle name="Normal 46 6 3" xfId="34275" xr:uid="{00000000-0005-0000-0000-0000E8840000}"/>
    <cellStyle name="Normal 46 7" xfId="34276" xr:uid="{00000000-0005-0000-0000-0000E9840000}"/>
    <cellStyle name="Normal 460" xfId="34277" xr:uid="{00000000-0005-0000-0000-0000EA840000}"/>
    <cellStyle name="Normal 460 2" xfId="34278" xr:uid="{00000000-0005-0000-0000-0000EB840000}"/>
    <cellStyle name="Normal 460 2 2" xfId="34279" xr:uid="{00000000-0005-0000-0000-0000EC840000}"/>
    <cellStyle name="Normal 460 2 2 2" xfId="34280" xr:uid="{00000000-0005-0000-0000-0000ED840000}"/>
    <cellStyle name="Normal 460 2 3" xfId="34281" xr:uid="{00000000-0005-0000-0000-0000EE840000}"/>
    <cellStyle name="Normal 460 2 3 2" xfId="34282" xr:uid="{00000000-0005-0000-0000-0000EF840000}"/>
    <cellStyle name="Normal 460 2 3 2 2" xfId="34283" xr:uid="{00000000-0005-0000-0000-0000F0840000}"/>
    <cellStyle name="Normal 460 2 3 3" xfId="34284" xr:uid="{00000000-0005-0000-0000-0000F1840000}"/>
    <cellStyle name="Normal 460 2 4" xfId="34285" xr:uid="{00000000-0005-0000-0000-0000F2840000}"/>
    <cellStyle name="Normal 460 3" xfId="34286" xr:uid="{00000000-0005-0000-0000-0000F3840000}"/>
    <cellStyle name="Normal 460 3 2" xfId="34287" xr:uid="{00000000-0005-0000-0000-0000F4840000}"/>
    <cellStyle name="Normal 460 3 2 2" xfId="34288" xr:uid="{00000000-0005-0000-0000-0000F5840000}"/>
    <cellStyle name="Normal 460 3 3" xfId="34289" xr:uid="{00000000-0005-0000-0000-0000F6840000}"/>
    <cellStyle name="Normal 460 4" xfId="34290" xr:uid="{00000000-0005-0000-0000-0000F7840000}"/>
    <cellStyle name="Normal 460 4 2" xfId="34291" xr:uid="{00000000-0005-0000-0000-0000F8840000}"/>
    <cellStyle name="Normal 460 4 2 2" xfId="34292" xr:uid="{00000000-0005-0000-0000-0000F9840000}"/>
    <cellStyle name="Normal 460 4 3" xfId="34293" xr:uid="{00000000-0005-0000-0000-0000FA840000}"/>
    <cellStyle name="Normal 460 5" xfId="34294" xr:uid="{00000000-0005-0000-0000-0000FB840000}"/>
    <cellStyle name="Normal 460 5 2" xfId="34295" xr:uid="{00000000-0005-0000-0000-0000FC840000}"/>
    <cellStyle name="Normal 460 5 2 2" xfId="34296" xr:uid="{00000000-0005-0000-0000-0000FD840000}"/>
    <cellStyle name="Normal 460 5 3" xfId="34297" xr:uid="{00000000-0005-0000-0000-0000FE840000}"/>
    <cellStyle name="Normal 460 6" xfId="34298" xr:uid="{00000000-0005-0000-0000-0000FF840000}"/>
    <cellStyle name="Normal 461" xfId="34299" xr:uid="{00000000-0005-0000-0000-000000850000}"/>
    <cellStyle name="Normal 461 2" xfId="34300" xr:uid="{00000000-0005-0000-0000-000001850000}"/>
    <cellStyle name="Normal 461 2 2" xfId="34301" xr:uid="{00000000-0005-0000-0000-000002850000}"/>
    <cellStyle name="Normal 461 2 2 2" xfId="34302" xr:uid="{00000000-0005-0000-0000-000003850000}"/>
    <cellStyle name="Normal 461 2 3" xfId="34303" xr:uid="{00000000-0005-0000-0000-000004850000}"/>
    <cellStyle name="Normal 461 2 3 2" xfId="34304" xr:uid="{00000000-0005-0000-0000-000005850000}"/>
    <cellStyle name="Normal 461 2 3 2 2" xfId="34305" xr:uid="{00000000-0005-0000-0000-000006850000}"/>
    <cellStyle name="Normal 461 2 3 3" xfId="34306" xr:uid="{00000000-0005-0000-0000-000007850000}"/>
    <cellStyle name="Normal 461 2 4" xfId="34307" xr:uid="{00000000-0005-0000-0000-000008850000}"/>
    <cellStyle name="Normal 461 3" xfId="34308" xr:uid="{00000000-0005-0000-0000-000009850000}"/>
    <cellStyle name="Normal 461 3 2" xfId="34309" xr:uid="{00000000-0005-0000-0000-00000A850000}"/>
    <cellStyle name="Normal 461 3 2 2" xfId="34310" xr:uid="{00000000-0005-0000-0000-00000B850000}"/>
    <cellStyle name="Normal 461 3 3" xfId="34311" xr:uid="{00000000-0005-0000-0000-00000C850000}"/>
    <cellStyle name="Normal 461 4" xfId="34312" xr:uid="{00000000-0005-0000-0000-00000D850000}"/>
    <cellStyle name="Normal 461 4 2" xfId="34313" xr:uid="{00000000-0005-0000-0000-00000E850000}"/>
    <cellStyle name="Normal 461 4 2 2" xfId="34314" xr:uid="{00000000-0005-0000-0000-00000F850000}"/>
    <cellStyle name="Normal 461 4 3" xfId="34315" xr:uid="{00000000-0005-0000-0000-000010850000}"/>
    <cellStyle name="Normal 461 5" xfId="34316" xr:uid="{00000000-0005-0000-0000-000011850000}"/>
    <cellStyle name="Normal 461 5 2" xfId="34317" xr:uid="{00000000-0005-0000-0000-000012850000}"/>
    <cellStyle name="Normal 461 5 2 2" xfId="34318" xr:uid="{00000000-0005-0000-0000-000013850000}"/>
    <cellStyle name="Normal 461 5 3" xfId="34319" xr:uid="{00000000-0005-0000-0000-000014850000}"/>
    <cellStyle name="Normal 461 6" xfId="34320" xr:uid="{00000000-0005-0000-0000-000015850000}"/>
    <cellStyle name="Normal 462" xfId="34321" xr:uid="{00000000-0005-0000-0000-000016850000}"/>
    <cellStyle name="Normal 462 2" xfId="34322" xr:uid="{00000000-0005-0000-0000-000017850000}"/>
    <cellStyle name="Normal 462 2 2" xfId="34323" xr:uid="{00000000-0005-0000-0000-000018850000}"/>
    <cellStyle name="Normal 462 2 2 2" xfId="34324" xr:uid="{00000000-0005-0000-0000-000019850000}"/>
    <cellStyle name="Normal 462 2 3" xfId="34325" xr:uid="{00000000-0005-0000-0000-00001A850000}"/>
    <cellStyle name="Normal 462 2 3 2" xfId="34326" xr:uid="{00000000-0005-0000-0000-00001B850000}"/>
    <cellStyle name="Normal 462 2 3 2 2" xfId="34327" xr:uid="{00000000-0005-0000-0000-00001C850000}"/>
    <cellStyle name="Normal 462 2 3 3" xfId="34328" xr:uid="{00000000-0005-0000-0000-00001D850000}"/>
    <cellStyle name="Normal 462 2 4" xfId="34329" xr:uid="{00000000-0005-0000-0000-00001E850000}"/>
    <cellStyle name="Normal 462 3" xfId="34330" xr:uid="{00000000-0005-0000-0000-00001F850000}"/>
    <cellStyle name="Normal 462 3 2" xfId="34331" xr:uid="{00000000-0005-0000-0000-000020850000}"/>
    <cellStyle name="Normal 462 3 2 2" xfId="34332" xr:uid="{00000000-0005-0000-0000-000021850000}"/>
    <cellStyle name="Normal 462 3 3" xfId="34333" xr:uid="{00000000-0005-0000-0000-000022850000}"/>
    <cellStyle name="Normal 462 4" xfId="34334" xr:uid="{00000000-0005-0000-0000-000023850000}"/>
    <cellStyle name="Normal 462 4 2" xfId="34335" xr:uid="{00000000-0005-0000-0000-000024850000}"/>
    <cellStyle name="Normal 462 4 2 2" xfId="34336" xr:uid="{00000000-0005-0000-0000-000025850000}"/>
    <cellStyle name="Normal 462 4 3" xfId="34337" xr:uid="{00000000-0005-0000-0000-000026850000}"/>
    <cellStyle name="Normal 462 5" xfId="34338" xr:uid="{00000000-0005-0000-0000-000027850000}"/>
    <cellStyle name="Normal 462 5 2" xfId="34339" xr:uid="{00000000-0005-0000-0000-000028850000}"/>
    <cellStyle name="Normal 462 5 2 2" xfId="34340" xr:uid="{00000000-0005-0000-0000-000029850000}"/>
    <cellStyle name="Normal 462 5 3" xfId="34341" xr:uid="{00000000-0005-0000-0000-00002A850000}"/>
    <cellStyle name="Normal 462 6" xfId="34342" xr:uid="{00000000-0005-0000-0000-00002B850000}"/>
    <cellStyle name="Normal 463" xfId="34343" xr:uid="{00000000-0005-0000-0000-00002C850000}"/>
    <cellStyle name="Normal 463 2" xfId="34344" xr:uid="{00000000-0005-0000-0000-00002D850000}"/>
    <cellStyle name="Normal 463 2 2" xfId="34345" xr:uid="{00000000-0005-0000-0000-00002E850000}"/>
    <cellStyle name="Normal 463 2 2 2" xfId="34346" xr:uid="{00000000-0005-0000-0000-00002F850000}"/>
    <cellStyle name="Normal 463 2 3" xfId="34347" xr:uid="{00000000-0005-0000-0000-000030850000}"/>
    <cellStyle name="Normal 463 2 3 2" xfId="34348" xr:uid="{00000000-0005-0000-0000-000031850000}"/>
    <cellStyle name="Normal 463 2 3 2 2" xfId="34349" xr:uid="{00000000-0005-0000-0000-000032850000}"/>
    <cellStyle name="Normal 463 2 3 3" xfId="34350" xr:uid="{00000000-0005-0000-0000-000033850000}"/>
    <cellStyle name="Normal 463 2 4" xfId="34351" xr:uid="{00000000-0005-0000-0000-000034850000}"/>
    <cellStyle name="Normal 463 3" xfId="34352" xr:uid="{00000000-0005-0000-0000-000035850000}"/>
    <cellStyle name="Normal 463 3 2" xfId="34353" xr:uid="{00000000-0005-0000-0000-000036850000}"/>
    <cellStyle name="Normal 463 3 2 2" xfId="34354" xr:uid="{00000000-0005-0000-0000-000037850000}"/>
    <cellStyle name="Normal 463 3 3" xfId="34355" xr:uid="{00000000-0005-0000-0000-000038850000}"/>
    <cellStyle name="Normal 463 4" xfId="34356" xr:uid="{00000000-0005-0000-0000-000039850000}"/>
    <cellStyle name="Normal 463 4 2" xfId="34357" xr:uid="{00000000-0005-0000-0000-00003A850000}"/>
    <cellStyle name="Normal 463 4 2 2" xfId="34358" xr:uid="{00000000-0005-0000-0000-00003B850000}"/>
    <cellStyle name="Normal 463 4 3" xfId="34359" xr:uid="{00000000-0005-0000-0000-00003C850000}"/>
    <cellStyle name="Normal 463 5" xfId="34360" xr:uid="{00000000-0005-0000-0000-00003D850000}"/>
    <cellStyle name="Normal 463 5 2" xfId="34361" xr:uid="{00000000-0005-0000-0000-00003E850000}"/>
    <cellStyle name="Normal 463 5 2 2" xfId="34362" xr:uid="{00000000-0005-0000-0000-00003F850000}"/>
    <cellStyle name="Normal 463 5 3" xfId="34363" xr:uid="{00000000-0005-0000-0000-000040850000}"/>
    <cellStyle name="Normal 463 6" xfId="34364" xr:uid="{00000000-0005-0000-0000-000041850000}"/>
    <cellStyle name="Normal 464" xfId="34365" xr:uid="{00000000-0005-0000-0000-000042850000}"/>
    <cellStyle name="Normal 464 2" xfId="34366" xr:uid="{00000000-0005-0000-0000-000043850000}"/>
    <cellStyle name="Normal 464 2 2" xfId="34367" xr:uid="{00000000-0005-0000-0000-000044850000}"/>
    <cellStyle name="Normal 464 2 2 2" xfId="34368" xr:uid="{00000000-0005-0000-0000-000045850000}"/>
    <cellStyle name="Normal 464 2 3" xfId="34369" xr:uid="{00000000-0005-0000-0000-000046850000}"/>
    <cellStyle name="Normal 464 2 3 2" xfId="34370" xr:uid="{00000000-0005-0000-0000-000047850000}"/>
    <cellStyle name="Normal 464 2 3 2 2" xfId="34371" xr:uid="{00000000-0005-0000-0000-000048850000}"/>
    <cellStyle name="Normal 464 2 3 3" xfId="34372" xr:uid="{00000000-0005-0000-0000-000049850000}"/>
    <cellStyle name="Normal 464 2 4" xfId="34373" xr:uid="{00000000-0005-0000-0000-00004A850000}"/>
    <cellStyle name="Normal 464 3" xfId="34374" xr:uid="{00000000-0005-0000-0000-00004B850000}"/>
    <cellStyle name="Normal 464 3 2" xfId="34375" xr:uid="{00000000-0005-0000-0000-00004C850000}"/>
    <cellStyle name="Normal 464 3 2 2" xfId="34376" xr:uid="{00000000-0005-0000-0000-00004D850000}"/>
    <cellStyle name="Normal 464 3 3" xfId="34377" xr:uid="{00000000-0005-0000-0000-00004E850000}"/>
    <cellStyle name="Normal 464 4" xfId="34378" xr:uid="{00000000-0005-0000-0000-00004F850000}"/>
    <cellStyle name="Normal 464 4 2" xfId="34379" xr:uid="{00000000-0005-0000-0000-000050850000}"/>
    <cellStyle name="Normal 464 4 2 2" xfId="34380" xr:uid="{00000000-0005-0000-0000-000051850000}"/>
    <cellStyle name="Normal 464 4 3" xfId="34381" xr:uid="{00000000-0005-0000-0000-000052850000}"/>
    <cellStyle name="Normal 464 5" xfId="34382" xr:uid="{00000000-0005-0000-0000-000053850000}"/>
    <cellStyle name="Normal 464 5 2" xfId="34383" xr:uid="{00000000-0005-0000-0000-000054850000}"/>
    <cellStyle name="Normal 464 5 2 2" xfId="34384" xr:uid="{00000000-0005-0000-0000-000055850000}"/>
    <cellStyle name="Normal 464 5 3" xfId="34385" xr:uid="{00000000-0005-0000-0000-000056850000}"/>
    <cellStyle name="Normal 464 6" xfId="34386" xr:uid="{00000000-0005-0000-0000-000057850000}"/>
    <cellStyle name="Normal 465" xfId="34387" xr:uid="{00000000-0005-0000-0000-000058850000}"/>
    <cellStyle name="Normal 465 2" xfId="34388" xr:uid="{00000000-0005-0000-0000-000059850000}"/>
    <cellStyle name="Normal 465 2 2" xfId="34389" xr:uid="{00000000-0005-0000-0000-00005A850000}"/>
    <cellStyle name="Normal 465 2 2 2" xfId="34390" xr:uid="{00000000-0005-0000-0000-00005B850000}"/>
    <cellStyle name="Normal 465 2 3" xfId="34391" xr:uid="{00000000-0005-0000-0000-00005C850000}"/>
    <cellStyle name="Normal 465 2 3 2" xfId="34392" xr:uid="{00000000-0005-0000-0000-00005D850000}"/>
    <cellStyle name="Normal 465 2 3 2 2" xfId="34393" xr:uid="{00000000-0005-0000-0000-00005E850000}"/>
    <cellStyle name="Normal 465 2 3 3" xfId="34394" xr:uid="{00000000-0005-0000-0000-00005F850000}"/>
    <cellStyle name="Normal 465 2 4" xfId="34395" xr:uid="{00000000-0005-0000-0000-000060850000}"/>
    <cellStyle name="Normal 465 3" xfId="34396" xr:uid="{00000000-0005-0000-0000-000061850000}"/>
    <cellStyle name="Normal 465 3 2" xfId="34397" xr:uid="{00000000-0005-0000-0000-000062850000}"/>
    <cellStyle name="Normal 465 3 2 2" xfId="34398" xr:uid="{00000000-0005-0000-0000-000063850000}"/>
    <cellStyle name="Normal 465 3 3" xfId="34399" xr:uid="{00000000-0005-0000-0000-000064850000}"/>
    <cellStyle name="Normal 465 4" xfId="34400" xr:uid="{00000000-0005-0000-0000-000065850000}"/>
    <cellStyle name="Normal 465 4 2" xfId="34401" xr:uid="{00000000-0005-0000-0000-000066850000}"/>
    <cellStyle name="Normal 465 4 2 2" xfId="34402" xr:uid="{00000000-0005-0000-0000-000067850000}"/>
    <cellStyle name="Normal 465 4 3" xfId="34403" xr:uid="{00000000-0005-0000-0000-000068850000}"/>
    <cellStyle name="Normal 465 5" xfId="34404" xr:uid="{00000000-0005-0000-0000-000069850000}"/>
    <cellStyle name="Normal 465 5 2" xfId="34405" xr:uid="{00000000-0005-0000-0000-00006A850000}"/>
    <cellStyle name="Normal 465 5 2 2" xfId="34406" xr:uid="{00000000-0005-0000-0000-00006B850000}"/>
    <cellStyle name="Normal 465 5 3" xfId="34407" xr:uid="{00000000-0005-0000-0000-00006C850000}"/>
    <cellStyle name="Normal 465 6" xfId="34408" xr:uid="{00000000-0005-0000-0000-00006D850000}"/>
    <cellStyle name="Normal 466" xfId="34409" xr:uid="{00000000-0005-0000-0000-00006E850000}"/>
    <cellStyle name="Normal 466 2" xfId="34410" xr:uid="{00000000-0005-0000-0000-00006F850000}"/>
    <cellStyle name="Normal 466 2 2" xfId="34411" xr:uid="{00000000-0005-0000-0000-000070850000}"/>
    <cellStyle name="Normal 466 2 2 2" xfId="34412" xr:uid="{00000000-0005-0000-0000-000071850000}"/>
    <cellStyle name="Normal 466 2 3" xfId="34413" xr:uid="{00000000-0005-0000-0000-000072850000}"/>
    <cellStyle name="Normal 466 2 3 2" xfId="34414" xr:uid="{00000000-0005-0000-0000-000073850000}"/>
    <cellStyle name="Normal 466 2 3 2 2" xfId="34415" xr:uid="{00000000-0005-0000-0000-000074850000}"/>
    <cellStyle name="Normal 466 2 3 3" xfId="34416" xr:uid="{00000000-0005-0000-0000-000075850000}"/>
    <cellStyle name="Normal 466 2 4" xfId="34417" xr:uid="{00000000-0005-0000-0000-000076850000}"/>
    <cellStyle name="Normal 466 3" xfId="34418" xr:uid="{00000000-0005-0000-0000-000077850000}"/>
    <cellStyle name="Normal 466 3 2" xfId="34419" xr:uid="{00000000-0005-0000-0000-000078850000}"/>
    <cellStyle name="Normal 466 3 2 2" xfId="34420" xr:uid="{00000000-0005-0000-0000-000079850000}"/>
    <cellStyle name="Normal 466 3 3" xfId="34421" xr:uid="{00000000-0005-0000-0000-00007A850000}"/>
    <cellStyle name="Normal 466 4" xfId="34422" xr:uid="{00000000-0005-0000-0000-00007B850000}"/>
    <cellStyle name="Normal 466 4 2" xfId="34423" xr:uid="{00000000-0005-0000-0000-00007C850000}"/>
    <cellStyle name="Normal 466 4 2 2" xfId="34424" xr:uid="{00000000-0005-0000-0000-00007D850000}"/>
    <cellStyle name="Normal 466 4 3" xfId="34425" xr:uid="{00000000-0005-0000-0000-00007E850000}"/>
    <cellStyle name="Normal 466 5" xfId="34426" xr:uid="{00000000-0005-0000-0000-00007F850000}"/>
    <cellStyle name="Normal 466 5 2" xfId="34427" xr:uid="{00000000-0005-0000-0000-000080850000}"/>
    <cellStyle name="Normal 466 5 2 2" xfId="34428" xr:uid="{00000000-0005-0000-0000-000081850000}"/>
    <cellStyle name="Normal 466 5 3" xfId="34429" xr:uid="{00000000-0005-0000-0000-000082850000}"/>
    <cellStyle name="Normal 466 6" xfId="34430" xr:uid="{00000000-0005-0000-0000-000083850000}"/>
    <cellStyle name="Normal 467" xfId="34431" xr:uid="{00000000-0005-0000-0000-000084850000}"/>
    <cellStyle name="Normal 467 2" xfId="34432" xr:uid="{00000000-0005-0000-0000-000085850000}"/>
    <cellStyle name="Normal 467 2 2" xfId="34433" xr:uid="{00000000-0005-0000-0000-000086850000}"/>
    <cellStyle name="Normal 467 2 2 2" xfId="34434" xr:uid="{00000000-0005-0000-0000-000087850000}"/>
    <cellStyle name="Normal 467 2 3" xfId="34435" xr:uid="{00000000-0005-0000-0000-000088850000}"/>
    <cellStyle name="Normal 467 2 3 2" xfId="34436" xr:uid="{00000000-0005-0000-0000-000089850000}"/>
    <cellStyle name="Normal 467 2 3 2 2" xfId="34437" xr:uid="{00000000-0005-0000-0000-00008A850000}"/>
    <cellStyle name="Normal 467 2 3 3" xfId="34438" xr:uid="{00000000-0005-0000-0000-00008B850000}"/>
    <cellStyle name="Normal 467 2 4" xfId="34439" xr:uid="{00000000-0005-0000-0000-00008C850000}"/>
    <cellStyle name="Normal 467 3" xfId="34440" xr:uid="{00000000-0005-0000-0000-00008D850000}"/>
    <cellStyle name="Normal 467 3 2" xfId="34441" xr:uid="{00000000-0005-0000-0000-00008E850000}"/>
    <cellStyle name="Normal 467 3 2 2" xfId="34442" xr:uid="{00000000-0005-0000-0000-00008F850000}"/>
    <cellStyle name="Normal 467 3 3" xfId="34443" xr:uid="{00000000-0005-0000-0000-000090850000}"/>
    <cellStyle name="Normal 467 4" xfId="34444" xr:uid="{00000000-0005-0000-0000-000091850000}"/>
    <cellStyle name="Normal 467 4 2" xfId="34445" xr:uid="{00000000-0005-0000-0000-000092850000}"/>
    <cellStyle name="Normal 467 4 2 2" xfId="34446" xr:uid="{00000000-0005-0000-0000-000093850000}"/>
    <cellStyle name="Normal 467 4 3" xfId="34447" xr:uid="{00000000-0005-0000-0000-000094850000}"/>
    <cellStyle name="Normal 467 5" xfId="34448" xr:uid="{00000000-0005-0000-0000-000095850000}"/>
    <cellStyle name="Normal 467 5 2" xfId="34449" xr:uid="{00000000-0005-0000-0000-000096850000}"/>
    <cellStyle name="Normal 467 5 2 2" xfId="34450" xr:uid="{00000000-0005-0000-0000-000097850000}"/>
    <cellStyle name="Normal 467 5 3" xfId="34451" xr:uid="{00000000-0005-0000-0000-000098850000}"/>
    <cellStyle name="Normal 467 6" xfId="34452" xr:uid="{00000000-0005-0000-0000-000099850000}"/>
    <cellStyle name="Normal 468" xfId="34453" xr:uid="{00000000-0005-0000-0000-00009A850000}"/>
    <cellStyle name="Normal 468 2" xfId="34454" xr:uid="{00000000-0005-0000-0000-00009B850000}"/>
    <cellStyle name="Normal 468 2 2" xfId="34455" xr:uid="{00000000-0005-0000-0000-00009C850000}"/>
    <cellStyle name="Normal 468 2 2 2" xfId="34456" xr:uid="{00000000-0005-0000-0000-00009D850000}"/>
    <cellStyle name="Normal 468 2 3" xfId="34457" xr:uid="{00000000-0005-0000-0000-00009E850000}"/>
    <cellStyle name="Normal 468 2 3 2" xfId="34458" xr:uid="{00000000-0005-0000-0000-00009F850000}"/>
    <cellStyle name="Normal 468 2 3 2 2" xfId="34459" xr:uid="{00000000-0005-0000-0000-0000A0850000}"/>
    <cellStyle name="Normal 468 2 3 3" xfId="34460" xr:uid="{00000000-0005-0000-0000-0000A1850000}"/>
    <cellStyle name="Normal 468 2 4" xfId="34461" xr:uid="{00000000-0005-0000-0000-0000A2850000}"/>
    <cellStyle name="Normal 468 3" xfId="34462" xr:uid="{00000000-0005-0000-0000-0000A3850000}"/>
    <cellStyle name="Normal 468 3 2" xfId="34463" xr:uid="{00000000-0005-0000-0000-0000A4850000}"/>
    <cellStyle name="Normal 468 3 2 2" xfId="34464" xr:uid="{00000000-0005-0000-0000-0000A5850000}"/>
    <cellStyle name="Normal 468 3 3" xfId="34465" xr:uid="{00000000-0005-0000-0000-0000A6850000}"/>
    <cellStyle name="Normal 468 4" xfId="34466" xr:uid="{00000000-0005-0000-0000-0000A7850000}"/>
    <cellStyle name="Normal 468 4 2" xfId="34467" xr:uid="{00000000-0005-0000-0000-0000A8850000}"/>
    <cellStyle name="Normal 468 4 2 2" xfId="34468" xr:uid="{00000000-0005-0000-0000-0000A9850000}"/>
    <cellStyle name="Normal 468 4 3" xfId="34469" xr:uid="{00000000-0005-0000-0000-0000AA850000}"/>
    <cellStyle name="Normal 468 5" xfId="34470" xr:uid="{00000000-0005-0000-0000-0000AB850000}"/>
    <cellStyle name="Normal 468 5 2" xfId="34471" xr:uid="{00000000-0005-0000-0000-0000AC850000}"/>
    <cellStyle name="Normal 468 5 2 2" xfId="34472" xr:uid="{00000000-0005-0000-0000-0000AD850000}"/>
    <cellStyle name="Normal 468 5 3" xfId="34473" xr:uid="{00000000-0005-0000-0000-0000AE850000}"/>
    <cellStyle name="Normal 468 6" xfId="34474" xr:uid="{00000000-0005-0000-0000-0000AF850000}"/>
    <cellStyle name="Normal 469" xfId="34475" xr:uid="{00000000-0005-0000-0000-0000B0850000}"/>
    <cellStyle name="Normal 469 2" xfId="34476" xr:uid="{00000000-0005-0000-0000-0000B1850000}"/>
    <cellStyle name="Normal 469 2 2" xfId="34477" xr:uid="{00000000-0005-0000-0000-0000B2850000}"/>
    <cellStyle name="Normal 469 2 2 2" xfId="34478" xr:uid="{00000000-0005-0000-0000-0000B3850000}"/>
    <cellStyle name="Normal 469 2 3" xfId="34479" xr:uid="{00000000-0005-0000-0000-0000B4850000}"/>
    <cellStyle name="Normal 469 2 3 2" xfId="34480" xr:uid="{00000000-0005-0000-0000-0000B5850000}"/>
    <cellStyle name="Normal 469 2 3 2 2" xfId="34481" xr:uid="{00000000-0005-0000-0000-0000B6850000}"/>
    <cellStyle name="Normal 469 2 3 3" xfId="34482" xr:uid="{00000000-0005-0000-0000-0000B7850000}"/>
    <cellStyle name="Normal 469 2 4" xfId="34483" xr:uid="{00000000-0005-0000-0000-0000B8850000}"/>
    <cellStyle name="Normal 469 3" xfId="34484" xr:uid="{00000000-0005-0000-0000-0000B9850000}"/>
    <cellStyle name="Normal 469 3 2" xfId="34485" xr:uid="{00000000-0005-0000-0000-0000BA850000}"/>
    <cellStyle name="Normal 469 3 2 2" xfId="34486" xr:uid="{00000000-0005-0000-0000-0000BB850000}"/>
    <cellStyle name="Normal 469 3 3" xfId="34487" xr:uid="{00000000-0005-0000-0000-0000BC850000}"/>
    <cellStyle name="Normal 469 4" xfId="34488" xr:uid="{00000000-0005-0000-0000-0000BD850000}"/>
    <cellStyle name="Normal 469 4 2" xfId="34489" xr:uid="{00000000-0005-0000-0000-0000BE850000}"/>
    <cellStyle name="Normal 469 4 2 2" xfId="34490" xr:uid="{00000000-0005-0000-0000-0000BF850000}"/>
    <cellStyle name="Normal 469 4 3" xfId="34491" xr:uid="{00000000-0005-0000-0000-0000C0850000}"/>
    <cellStyle name="Normal 469 5" xfId="34492" xr:uid="{00000000-0005-0000-0000-0000C1850000}"/>
    <cellStyle name="Normal 469 5 2" xfId="34493" xr:uid="{00000000-0005-0000-0000-0000C2850000}"/>
    <cellStyle name="Normal 469 5 2 2" xfId="34494" xr:uid="{00000000-0005-0000-0000-0000C3850000}"/>
    <cellStyle name="Normal 469 5 3" xfId="34495" xr:uid="{00000000-0005-0000-0000-0000C4850000}"/>
    <cellStyle name="Normal 469 6" xfId="34496" xr:uid="{00000000-0005-0000-0000-0000C5850000}"/>
    <cellStyle name="Normal 47" xfId="34497" xr:uid="{00000000-0005-0000-0000-0000C6850000}"/>
    <cellStyle name="Normal 47 2" xfId="34498" xr:uid="{00000000-0005-0000-0000-0000C7850000}"/>
    <cellStyle name="Normal 47 2 2" xfId="34499" xr:uid="{00000000-0005-0000-0000-0000C8850000}"/>
    <cellStyle name="Normal 47 2 2 2" xfId="34500" xr:uid="{00000000-0005-0000-0000-0000C9850000}"/>
    <cellStyle name="Normal 47 2 2 2 2" xfId="34501" xr:uid="{00000000-0005-0000-0000-0000CA850000}"/>
    <cellStyle name="Normal 47 2 2 3" xfId="34502" xr:uid="{00000000-0005-0000-0000-0000CB850000}"/>
    <cellStyle name="Normal 47 2 2 3 2" xfId="34503" xr:uid="{00000000-0005-0000-0000-0000CC850000}"/>
    <cellStyle name="Normal 47 2 2 3 2 2" xfId="34504" xr:uid="{00000000-0005-0000-0000-0000CD850000}"/>
    <cellStyle name="Normal 47 2 2 3 3" xfId="34505" xr:uid="{00000000-0005-0000-0000-0000CE850000}"/>
    <cellStyle name="Normal 47 2 2 4" xfId="34506" xr:uid="{00000000-0005-0000-0000-0000CF850000}"/>
    <cellStyle name="Normal 47 2 2 4 2" xfId="34507" xr:uid="{00000000-0005-0000-0000-0000D0850000}"/>
    <cellStyle name="Normal 47 2 2 4 2 2" xfId="34508" xr:uid="{00000000-0005-0000-0000-0000D1850000}"/>
    <cellStyle name="Normal 47 2 2 4 3" xfId="34509" xr:uid="{00000000-0005-0000-0000-0000D2850000}"/>
    <cellStyle name="Normal 47 2 2 5" xfId="34510" xr:uid="{00000000-0005-0000-0000-0000D3850000}"/>
    <cellStyle name="Normal 47 2 3" xfId="34511" xr:uid="{00000000-0005-0000-0000-0000D4850000}"/>
    <cellStyle name="Normal 47 2 3 2" xfId="34512" xr:uid="{00000000-0005-0000-0000-0000D5850000}"/>
    <cellStyle name="Normal 47 2 3 2 2" xfId="34513" xr:uid="{00000000-0005-0000-0000-0000D6850000}"/>
    <cellStyle name="Normal 47 2 3 3" xfId="34514" xr:uid="{00000000-0005-0000-0000-0000D7850000}"/>
    <cellStyle name="Normal 47 2 4" xfId="34515" xr:uid="{00000000-0005-0000-0000-0000D8850000}"/>
    <cellStyle name="Normal 47 2 4 2" xfId="34516" xr:uid="{00000000-0005-0000-0000-0000D9850000}"/>
    <cellStyle name="Normal 47 2 4 2 2" xfId="34517" xr:uid="{00000000-0005-0000-0000-0000DA850000}"/>
    <cellStyle name="Normal 47 2 4 3" xfId="34518" xr:uid="{00000000-0005-0000-0000-0000DB850000}"/>
    <cellStyle name="Normal 47 2 5" xfId="34519" xr:uid="{00000000-0005-0000-0000-0000DC850000}"/>
    <cellStyle name="Normal 47 2 5 2" xfId="34520" xr:uid="{00000000-0005-0000-0000-0000DD850000}"/>
    <cellStyle name="Normal 47 2 5 2 2" xfId="34521" xr:uid="{00000000-0005-0000-0000-0000DE850000}"/>
    <cellStyle name="Normal 47 2 5 3" xfId="34522" xr:uid="{00000000-0005-0000-0000-0000DF850000}"/>
    <cellStyle name="Normal 47 2 6" xfId="34523" xr:uid="{00000000-0005-0000-0000-0000E0850000}"/>
    <cellStyle name="Normal 47 3" xfId="34524" xr:uid="{00000000-0005-0000-0000-0000E1850000}"/>
    <cellStyle name="Normal 47 3 2" xfId="34525" xr:uid="{00000000-0005-0000-0000-0000E2850000}"/>
    <cellStyle name="Normal 47 3 2 2" xfId="34526" xr:uid="{00000000-0005-0000-0000-0000E3850000}"/>
    <cellStyle name="Normal 47 3 3" xfId="34527" xr:uid="{00000000-0005-0000-0000-0000E4850000}"/>
    <cellStyle name="Normal 47 3 3 2" xfId="34528" xr:uid="{00000000-0005-0000-0000-0000E5850000}"/>
    <cellStyle name="Normal 47 3 3 2 2" xfId="34529" xr:uid="{00000000-0005-0000-0000-0000E6850000}"/>
    <cellStyle name="Normal 47 3 3 3" xfId="34530" xr:uid="{00000000-0005-0000-0000-0000E7850000}"/>
    <cellStyle name="Normal 47 3 4" xfId="34531" xr:uid="{00000000-0005-0000-0000-0000E8850000}"/>
    <cellStyle name="Normal 47 3 4 2" xfId="34532" xr:uid="{00000000-0005-0000-0000-0000E9850000}"/>
    <cellStyle name="Normal 47 3 4 2 2" xfId="34533" xr:uid="{00000000-0005-0000-0000-0000EA850000}"/>
    <cellStyle name="Normal 47 3 4 3" xfId="34534" xr:uid="{00000000-0005-0000-0000-0000EB850000}"/>
    <cellStyle name="Normal 47 3 5" xfId="34535" xr:uid="{00000000-0005-0000-0000-0000EC850000}"/>
    <cellStyle name="Normal 47 4" xfId="34536" xr:uid="{00000000-0005-0000-0000-0000ED850000}"/>
    <cellStyle name="Normal 47 4 2" xfId="34537" xr:uid="{00000000-0005-0000-0000-0000EE850000}"/>
    <cellStyle name="Normal 47 4 2 2" xfId="34538" xr:uid="{00000000-0005-0000-0000-0000EF850000}"/>
    <cellStyle name="Normal 47 4 3" xfId="34539" xr:uid="{00000000-0005-0000-0000-0000F0850000}"/>
    <cellStyle name="Normal 47 5" xfId="34540" xr:uid="{00000000-0005-0000-0000-0000F1850000}"/>
    <cellStyle name="Normal 47 5 2" xfId="34541" xr:uid="{00000000-0005-0000-0000-0000F2850000}"/>
    <cellStyle name="Normal 47 5 2 2" xfId="34542" xr:uid="{00000000-0005-0000-0000-0000F3850000}"/>
    <cellStyle name="Normal 47 5 3" xfId="34543" xr:uid="{00000000-0005-0000-0000-0000F4850000}"/>
    <cellStyle name="Normal 47 6" xfId="34544" xr:uid="{00000000-0005-0000-0000-0000F5850000}"/>
    <cellStyle name="Normal 47 6 2" xfId="34545" xr:uid="{00000000-0005-0000-0000-0000F6850000}"/>
    <cellStyle name="Normal 47 6 2 2" xfId="34546" xr:uid="{00000000-0005-0000-0000-0000F7850000}"/>
    <cellStyle name="Normal 47 6 3" xfId="34547" xr:uid="{00000000-0005-0000-0000-0000F8850000}"/>
    <cellStyle name="Normal 47 7" xfId="34548" xr:uid="{00000000-0005-0000-0000-0000F9850000}"/>
    <cellStyle name="Normal 470" xfId="34549" xr:uid="{00000000-0005-0000-0000-0000FA850000}"/>
    <cellStyle name="Normal 470 2" xfId="34550" xr:uid="{00000000-0005-0000-0000-0000FB850000}"/>
    <cellStyle name="Normal 470 2 2" xfId="34551" xr:uid="{00000000-0005-0000-0000-0000FC850000}"/>
    <cellStyle name="Normal 470 2 2 2" xfId="34552" xr:uid="{00000000-0005-0000-0000-0000FD850000}"/>
    <cellStyle name="Normal 470 2 3" xfId="34553" xr:uid="{00000000-0005-0000-0000-0000FE850000}"/>
    <cellStyle name="Normal 470 2 3 2" xfId="34554" xr:uid="{00000000-0005-0000-0000-0000FF850000}"/>
    <cellStyle name="Normal 470 2 3 2 2" xfId="34555" xr:uid="{00000000-0005-0000-0000-000000860000}"/>
    <cellStyle name="Normal 470 2 3 3" xfId="34556" xr:uid="{00000000-0005-0000-0000-000001860000}"/>
    <cellStyle name="Normal 470 2 4" xfId="34557" xr:uid="{00000000-0005-0000-0000-000002860000}"/>
    <cellStyle name="Normal 470 3" xfId="34558" xr:uid="{00000000-0005-0000-0000-000003860000}"/>
    <cellStyle name="Normal 470 3 2" xfId="34559" xr:uid="{00000000-0005-0000-0000-000004860000}"/>
    <cellStyle name="Normal 470 3 2 2" xfId="34560" xr:uid="{00000000-0005-0000-0000-000005860000}"/>
    <cellStyle name="Normal 470 3 3" xfId="34561" xr:uid="{00000000-0005-0000-0000-000006860000}"/>
    <cellStyle name="Normal 470 4" xfId="34562" xr:uid="{00000000-0005-0000-0000-000007860000}"/>
    <cellStyle name="Normal 470 4 2" xfId="34563" xr:uid="{00000000-0005-0000-0000-000008860000}"/>
    <cellStyle name="Normal 470 4 2 2" xfId="34564" xr:uid="{00000000-0005-0000-0000-000009860000}"/>
    <cellStyle name="Normal 470 4 3" xfId="34565" xr:uid="{00000000-0005-0000-0000-00000A860000}"/>
    <cellStyle name="Normal 470 5" xfId="34566" xr:uid="{00000000-0005-0000-0000-00000B860000}"/>
    <cellStyle name="Normal 470 5 2" xfId="34567" xr:uid="{00000000-0005-0000-0000-00000C860000}"/>
    <cellStyle name="Normal 470 5 2 2" xfId="34568" xr:uid="{00000000-0005-0000-0000-00000D860000}"/>
    <cellStyle name="Normal 470 5 3" xfId="34569" xr:uid="{00000000-0005-0000-0000-00000E860000}"/>
    <cellStyle name="Normal 470 6" xfId="34570" xr:uid="{00000000-0005-0000-0000-00000F860000}"/>
    <cellStyle name="Normal 471" xfId="34571" xr:uid="{00000000-0005-0000-0000-000010860000}"/>
    <cellStyle name="Normal 471 2" xfId="34572" xr:uid="{00000000-0005-0000-0000-000011860000}"/>
    <cellStyle name="Normal 471 2 2" xfId="34573" xr:uid="{00000000-0005-0000-0000-000012860000}"/>
    <cellStyle name="Normal 471 2 2 2" xfId="34574" xr:uid="{00000000-0005-0000-0000-000013860000}"/>
    <cellStyle name="Normal 471 2 3" xfId="34575" xr:uid="{00000000-0005-0000-0000-000014860000}"/>
    <cellStyle name="Normal 471 2 3 2" xfId="34576" xr:uid="{00000000-0005-0000-0000-000015860000}"/>
    <cellStyle name="Normal 471 2 3 2 2" xfId="34577" xr:uid="{00000000-0005-0000-0000-000016860000}"/>
    <cellStyle name="Normal 471 2 3 3" xfId="34578" xr:uid="{00000000-0005-0000-0000-000017860000}"/>
    <cellStyle name="Normal 471 2 4" xfId="34579" xr:uid="{00000000-0005-0000-0000-000018860000}"/>
    <cellStyle name="Normal 471 3" xfId="34580" xr:uid="{00000000-0005-0000-0000-000019860000}"/>
    <cellStyle name="Normal 471 3 2" xfId="34581" xr:uid="{00000000-0005-0000-0000-00001A860000}"/>
    <cellStyle name="Normal 471 3 2 2" xfId="34582" xr:uid="{00000000-0005-0000-0000-00001B860000}"/>
    <cellStyle name="Normal 471 3 3" xfId="34583" xr:uid="{00000000-0005-0000-0000-00001C860000}"/>
    <cellStyle name="Normal 471 4" xfId="34584" xr:uid="{00000000-0005-0000-0000-00001D860000}"/>
    <cellStyle name="Normal 471 4 2" xfId="34585" xr:uid="{00000000-0005-0000-0000-00001E860000}"/>
    <cellStyle name="Normal 471 4 2 2" xfId="34586" xr:uid="{00000000-0005-0000-0000-00001F860000}"/>
    <cellStyle name="Normal 471 4 3" xfId="34587" xr:uid="{00000000-0005-0000-0000-000020860000}"/>
    <cellStyle name="Normal 471 5" xfId="34588" xr:uid="{00000000-0005-0000-0000-000021860000}"/>
    <cellStyle name="Normal 471 5 2" xfId="34589" xr:uid="{00000000-0005-0000-0000-000022860000}"/>
    <cellStyle name="Normal 471 5 2 2" xfId="34590" xr:uid="{00000000-0005-0000-0000-000023860000}"/>
    <cellStyle name="Normal 471 5 3" xfId="34591" xr:uid="{00000000-0005-0000-0000-000024860000}"/>
    <cellStyle name="Normal 471 6" xfId="34592" xr:uid="{00000000-0005-0000-0000-000025860000}"/>
    <cellStyle name="Normal 472" xfId="34593" xr:uid="{00000000-0005-0000-0000-000026860000}"/>
    <cellStyle name="Normal 472 2" xfId="34594" xr:uid="{00000000-0005-0000-0000-000027860000}"/>
    <cellStyle name="Normal 472 2 2" xfId="34595" xr:uid="{00000000-0005-0000-0000-000028860000}"/>
    <cellStyle name="Normal 472 2 2 2" xfId="34596" xr:uid="{00000000-0005-0000-0000-000029860000}"/>
    <cellStyle name="Normal 472 2 3" xfId="34597" xr:uid="{00000000-0005-0000-0000-00002A860000}"/>
    <cellStyle name="Normal 472 2 3 2" xfId="34598" xr:uid="{00000000-0005-0000-0000-00002B860000}"/>
    <cellStyle name="Normal 472 2 3 2 2" xfId="34599" xr:uid="{00000000-0005-0000-0000-00002C860000}"/>
    <cellStyle name="Normal 472 2 3 3" xfId="34600" xr:uid="{00000000-0005-0000-0000-00002D860000}"/>
    <cellStyle name="Normal 472 2 4" xfId="34601" xr:uid="{00000000-0005-0000-0000-00002E860000}"/>
    <cellStyle name="Normal 472 3" xfId="34602" xr:uid="{00000000-0005-0000-0000-00002F860000}"/>
    <cellStyle name="Normal 472 3 2" xfId="34603" xr:uid="{00000000-0005-0000-0000-000030860000}"/>
    <cellStyle name="Normal 472 3 2 2" xfId="34604" xr:uid="{00000000-0005-0000-0000-000031860000}"/>
    <cellStyle name="Normal 472 3 3" xfId="34605" xr:uid="{00000000-0005-0000-0000-000032860000}"/>
    <cellStyle name="Normal 472 4" xfId="34606" xr:uid="{00000000-0005-0000-0000-000033860000}"/>
    <cellStyle name="Normal 472 4 2" xfId="34607" xr:uid="{00000000-0005-0000-0000-000034860000}"/>
    <cellStyle name="Normal 472 4 2 2" xfId="34608" xr:uid="{00000000-0005-0000-0000-000035860000}"/>
    <cellStyle name="Normal 472 4 3" xfId="34609" xr:uid="{00000000-0005-0000-0000-000036860000}"/>
    <cellStyle name="Normal 472 5" xfId="34610" xr:uid="{00000000-0005-0000-0000-000037860000}"/>
    <cellStyle name="Normal 472 5 2" xfId="34611" xr:uid="{00000000-0005-0000-0000-000038860000}"/>
    <cellStyle name="Normal 472 5 2 2" xfId="34612" xr:uid="{00000000-0005-0000-0000-000039860000}"/>
    <cellStyle name="Normal 472 5 3" xfId="34613" xr:uid="{00000000-0005-0000-0000-00003A860000}"/>
    <cellStyle name="Normal 472 6" xfId="34614" xr:uid="{00000000-0005-0000-0000-00003B860000}"/>
    <cellStyle name="Normal 473" xfId="34615" xr:uid="{00000000-0005-0000-0000-00003C860000}"/>
    <cellStyle name="Normal 473 2" xfId="34616" xr:uid="{00000000-0005-0000-0000-00003D860000}"/>
    <cellStyle name="Normal 473 2 2" xfId="34617" xr:uid="{00000000-0005-0000-0000-00003E860000}"/>
    <cellStyle name="Normal 473 2 2 2" xfId="34618" xr:uid="{00000000-0005-0000-0000-00003F860000}"/>
    <cellStyle name="Normal 473 2 3" xfId="34619" xr:uid="{00000000-0005-0000-0000-000040860000}"/>
    <cellStyle name="Normal 473 2 3 2" xfId="34620" xr:uid="{00000000-0005-0000-0000-000041860000}"/>
    <cellStyle name="Normal 473 2 3 2 2" xfId="34621" xr:uid="{00000000-0005-0000-0000-000042860000}"/>
    <cellStyle name="Normal 473 2 3 3" xfId="34622" xr:uid="{00000000-0005-0000-0000-000043860000}"/>
    <cellStyle name="Normal 473 2 4" xfId="34623" xr:uid="{00000000-0005-0000-0000-000044860000}"/>
    <cellStyle name="Normal 473 3" xfId="34624" xr:uid="{00000000-0005-0000-0000-000045860000}"/>
    <cellStyle name="Normal 473 3 2" xfId="34625" xr:uid="{00000000-0005-0000-0000-000046860000}"/>
    <cellStyle name="Normal 473 3 2 2" xfId="34626" xr:uid="{00000000-0005-0000-0000-000047860000}"/>
    <cellStyle name="Normal 473 3 3" xfId="34627" xr:uid="{00000000-0005-0000-0000-000048860000}"/>
    <cellStyle name="Normal 473 4" xfId="34628" xr:uid="{00000000-0005-0000-0000-000049860000}"/>
    <cellStyle name="Normal 473 4 2" xfId="34629" xr:uid="{00000000-0005-0000-0000-00004A860000}"/>
    <cellStyle name="Normal 473 4 2 2" xfId="34630" xr:uid="{00000000-0005-0000-0000-00004B860000}"/>
    <cellStyle name="Normal 473 4 3" xfId="34631" xr:uid="{00000000-0005-0000-0000-00004C860000}"/>
    <cellStyle name="Normal 473 5" xfId="34632" xr:uid="{00000000-0005-0000-0000-00004D860000}"/>
    <cellStyle name="Normal 473 5 2" xfId="34633" xr:uid="{00000000-0005-0000-0000-00004E860000}"/>
    <cellStyle name="Normal 473 5 2 2" xfId="34634" xr:uid="{00000000-0005-0000-0000-00004F860000}"/>
    <cellStyle name="Normal 473 5 3" xfId="34635" xr:uid="{00000000-0005-0000-0000-000050860000}"/>
    <cellStyle name="Normal 473 6" xfId="34636" xr:uid="{00000000-0005-0000-0000-000051860000}"/>
    <cellStyle name="Normal 474" xfId="34637" xr:uid="{00000000-0005-0000-0000-000052860000}"/>
    <cellStyle name="Normal 474 2" xfId="34638" xr:uid="{00000000-0005-0000-0000-000053860000}"/>
    <cellStyle name="Normal 474 2 2" xfId="34639" xr:uid="{00000000-0005-0000-0000-000054860000}"/>
    <cellStyle name="Normal 474 2 2 2" xfId="34640" xr:uid="{00000000-0005-0000-0000-000055860000}"/>
    <cellStyle name="Normal 474 2 3" xfId="34641" xr:uid="{00000000-0005-0000-0000-000056860000}"/>
    <cellStyle name="Normal 474 2 3 2" xfId="34642" xr:uid="{00000000-0005-0000-0000-000057860000}"/>
    <cellStyle name="Normal 474 2 3 2 2" xfId="34643" xr:uid="{00000000-0005-0000-0000-000058860000}"/>
    <cellStyle name="Normal 474 2 3 3" xfId="34644" xr:uid="{00000000-0005-0000-0000-000059860000}"/>
    <cellStyle name="Normal 474 2 4" xfId="34645" xr:uid="{00000000-0005-0000-0000-00005A860000}"/>
    <cellStyle name="Normal 474 3" xfId="34646" xr:uid="{00000000-0005-0000-0000-00005B860000}"/>
    <cellStyle name="Normal 474 3 2" xfId="34647" xr:uid="{00000000-0005-0000-0000-00005C860000}"/>
    <cellStyle name="Normal 474 3 2 2" xfId="34648" xr:uid="{00000000-0005-0000-0000-00005D860000}"/>
    <cellStyle name="Normal 474 3 3" xfId="34649" xr:uid="{00000000-0005-0000-0000-00005E860000}"/>
    <cellStyle name="Normal 474 4" xfId="34650" xr:uid="{00000000-0005-0000-0000-00005F860000}"/>
    <cellStyle name="Normal 474 4 2" xfId="34651" xr:uid="{00000000-0005-0000-0000-000060860000}"/>
    <cellStyle name="Normal 474 4 2 2" xfId="34652" xr:uid="{00000000-0005-0000-0000-000061860000}"/>
    <cellStyle name="Normal 474 4 3" xfId="34653" xr:uid="{00000000-0005-0000-0000-000062860000}"/>
    <cellStyle name="Normal 474 5" xfId="34654" xr:uid="{00000000-0005-0000-0000-000063860000}"/>
    <cellStyle name="Normal 474 5 2" xfId="34655" xr:uid="{00000000-0005-0000-0000-000064860000}"/>
    <cellStyle name="Normal 474 5 2 2" xfId="34656" xr:uid="{00000000-0005-0000-0000-000065860000}"/>
    <cellStyle name="Normal 474 5 3" xfId="34657" xr:uid="{00000000-0005-0000-0000-000066860000}"/>
    <cellStyle name="Normal 474 6" xfId="34658" xr:uid="{00000000-0005-0000-0000-000067860000}"/>
    <cellStyle name="Normal 475" xfId="34659" xr:uid="{00000000-0005-0000-0000-000068860000}"/>
    <cellStyle name="Normal 475 2" xfId="34660" xr:uid="{00000000-0005-0000-0000-000069860000}"/>
    <cellStyle name="Normal 475 2 2" xfId="34661" xr:uid="{00000000-0005-0000-0000-00006A860000}"/>
    <cellStyle name="Normal 475 2 2 2" xfId="34662" xr:uid="{00000000-0005-0000-0000-00006B860000}"/>
    <cellStyle name="Normal 475 2 3" xfId="34663" xr:uid="{00000000-0005-0000-0000-00006C860000}"/>
    <cellStyle name="Normal 475 2 3 2" xfId="34664" xr:uid="{00000000-0005-0000-0000-00006D860000}"/>
    <cellStyle name="Normal 475 2 3 2 2" xfId="34665" xr:uid="{00000000-0005-0000-0000-00006E860000}"/>
    <cellStyle name="Normal 475 2 3 3" xfId="34666" xr:uid="{00000000-0005-0000-0000-00006F860000}"/>
    <cellStyle name="Normal 475 2 4" xfId="34667" xr:uid="{00000000-0005-0000-0000-000070860000}"/>
    <cellStyle name="Normal 475 3" xfId="34668" xr:uid="{00000000-0005-0000-0000-000071860000}"/>
    <cellStyle name="Normal 475 3 2" xfId="34669" xr:uid="{00000000-0005-0000-0000-000072860000}"/>
    <cellStyle name="Normal 475 3 2 2" xfId="34670" xr:uid="{00000000-0005-0000-0000-000073860000}"/>
    <cellStyle name="Normal 475 3 3" xfId="34671" xr:uid="{00000000-0005-0000-0000-000074860000}"/>
    <cellStyle name="Normal 475 4" xfId="34672" xr:uid="{00000000-0005-0000-0000-000075860000}"/>
    <cellStyle name="Normal 475 4 2" xfId="34673" xr:uid="{00000000-0005-0000-0000-000076860000}"/>
    <cellStyle name="Normal 475 4 2 2" xfId="34674" xr:uid="{00000000-0005-0000-0000-000077860000}"/>
    <cellStyle name="Normal 475 4 3" xfId="34675" xr:uid="{00000000-0005-0000-0000-000078860000}"/>
    <cellStyle name="Normal 475 5" xfId="34676" xr:uid="{00000000-0005-0000-0000-000079860000}"/>
    <cellStyle name="Normal 475 5 2" xfId="34677" xr:uid="{00000000-0005-0000-0000-00007A860000}"/>
    <cellStyle name="Normal 475 5 2 2" xfId="34678" xr:uid="{00000000-0005-0000-0000-00007B860000}"/>
    <cellStyle name="Normal 475 5 3" xfId="34679" xr:uid="{00000000-0005-0000-0000-00007C860000}"/>
    <cellStyle name="Normal 475 6" xfId="34680" xr:uid="{00000000-0005-0000-0000-00007D860000}"/>
    <cellStyle name="Normal 476" xfId="34681" xr:uid="{00000000-0005-0000-0000-00007E860000}"/>
    <cellStyle name="Normal 476 2" xfId="34682" xr:uid="{00000000-0005-0000-0000-00007F860000}"/>
    <cellStyle name="Normal 476 2 2" xfId="34683" xr:uid="{00000000-0005-0000-0000-000080860000}"/>
    <cellStyle name="Normal 476 2 2 2" xfId="34684" xr:uid="{00000000-0005-0000-0000-000081860000}"/>
    <cellStyle name="Normal 476 2 3" xfId="34685" xr:uid="{00000000-0005-0000-0000-000082860000}"/>
    <cellStyle name="Normal 476 2 3 2" xfId="34686" xr:uid="{00000000-0005-0000-0000-000083860000}"/>
    <cellStyle name="Normal 476 2 3 2 2" xfId="34687" xr:uid="{00000000-0005-0000-0000-000084860000}"/>
    <cellStyle name="Normal 476 2 3 3" xfId="34688" xr:uid="{00000000-0005-0000-0000-000085860000}"/>
    <cellStyle name="Normal 476 2 4" xfId="34689" xr:uid="{00000000-0005-0000-0000-000086860000}"/>
    <cellStyle name="Normal 476 3" xfId="34690" xr:uid="{00000000-0005-0000-0000-000087860000}"/>
    <cellStyle name="Normal 476 3 2" xfId="34691" xr:uid="{00000000-0005-0000-0000-000088860000}"/>
    <cellStyle name="Normal 476 3 2 2" xfId="34692" xr:uid="{00000000-0005-0000-0000-000089860000}"/>
    <cellStyle name="Normal 476 3 3" xfId="34693" xr:uid="{00000000-0005-0000-0000-00008A860000}"/>
    <cellStyle name="Normal 476 4" xfId="34694" xr:uid="{00000000-0005-0000-0000-00008B860000}"/>
    <cellStyle name="Normal 476 4 2" xfId="34695" xr:uid="{00000000-0005-0000-0000-00008C860000}"/>
    <cellStyle name="Normal 476 4 2 2" xfId="34696" xr:uid="{00000000-0005-0000-0000-00008D860000}"/>
    <cellStyle name="Normal 476 4 3" xfId="34697" xr:uid="{00000000-0005-0000-0000-00008E860000}"/>
    <cellStyle name="Normal 476 5" xfId="34698" xr:uid="{00000000-0005-0000-0000-00008F860000}"/>
    <cellStyle name="Normal 476 5 2" xfId="34699" xr:uid="{00000000-0005-0000-0000-000090860000}"/>
    <cellStyle name="Normal 476 5 2 2" xfId="34700" xr:uid="{00000000-0005-0000-0000-000091860000}"/>
    <cellStyle name="Normal 476 5 3" xfId="34701" xr:uid="{00000000-0005-0000-0000-000092860000}"/>
    <cellStyle name="Normal 476 6" xfId="34702" xr:uid="{00000000-0005-0000-0000-000093860000}"/>
    <cellStyle name="Normal 477" xfId="34703" xr:uid="{00000000-0005-0000-0000-000094860000}"/>
    <cellStyle name="Normal 477 2" xfId="34704" xr:uid="{00000000-0005-0000-0000-000095860000}"/>
    <cellStyle name="Normal 477 2 2" xfId="34705" xr:uid="{00000000-0005-0000-0000-000096860000}"/>
    <cellStyle name="Normal 477 2 2 2" xfId="34706" xr:uid="{00000000-0005-0000-0000-000097860000}"/>
    <cellStyle name="Normal 477 2 3" xfId="34707" xr:uid="{00000000-0005-0000-0000-000098860000}"/>
    <cellStyle name="Normal 477 2 3 2" xfId="34708" xr:uid="{00000000-0005-0000-0000-000099860000}"/>
    <cellStyle name="Normal 477 2 3 2 2" xfId="34709" xr:uid="{00000000-0005-0000-0000-00009A860000}"/>
    <cellStyle name="Normal 477 2 3 3" xfId="34710" xr:uid="{00000000-0005-0000-0000-00009B860000}"/>
    <cellStyle name="Normal 477 2 4" xfId="34711" xr:uid="{00000000-0005-0000-0000-00009C860000}"/>
    <cellStyle name="Normal 477 3" xfId="34712" xr:uid="{00000000-0005-0000-0000-00009D860000}"/>
    <cellStyle name="Normal 477 3 2" xfId="34713" xr:uid="{00000000-0005-0000-0000-00009E860000}"/>
    <cellStyle name="Normal 477 3 2 2" xfId="34714" xr:uid="{00000000-0005-0000-0000-00009F860000}"/>
    <cellStyle name="Normal 477 3 3" xfId="34715" xr:uid="{00000000-0005-0000-0000-0000A0860000}"/>
    <cellStyle name="Normal 477 4" xfId="34716" xr:uid="{00000000-0005-0000-0000-0000A1860000}"/>
    <cellStyle name="Normal 477 4 2" xfId="34717" xr:uid="{00000000-0005-0000-0000-0000A2860000}"/>
    <cellStyle name="Normal 477 4 2 2" xfId="34718" xr:uid="{00000000-0005-0000-0000-0000A3860000}"/>
    <cellStyle name="Normal 477 4 3" xfId="34719" xr:uid="{00000000-0005-0000-0000-0000A4860000}"/>
    <cellStyle name="Normal 477 5" xfId="34720" xr:uid="{00000000-0005-0000-0000-0000A5860000}"/>
    <cellStyle name="Normal 477 5 2" xfId="34721" xr:uid="{00000000-0005-0000-0000-0000A6860000}"/>
    <cellStyle name="Normal 477 5 2 2" xfId="34722" xr:uid="{00000000-0005-0000-0000-0000A7860000}"/>
    <cellStyle name="Normal 477 5 3" xfId="34723" xr:uid="{00000000-0005-0000-0000-0000A8860000}"/>
    <cellStyle name="Normal 477 6" xfId="34724" xr:uid="{00000000-0005-0000-0000-0000A9860000}"/>
    <cellStyle name="Normal 478" xfId="34725" xr:uid="{00000000-0005-0000-0000-0000AA860000}"/>
    <cellStyle name="Normal 478 2" xfId="34726" xr:uid="{00000000-0005-0000-0000-0000AB860000}"/>
    <cellStyle name="Normal 478 2 2" xfId="34727" xr:uid="{00000000-0005-0000-0000-0000AC860000}"/>
    <cellStyle name="Normal 478 2 2 2" xfId="34728" xr:uid="{00000000-0005-0000-0000-0000AD860000}"/>
    <cellStyle name="Normal 478 2 3" xfId="34729" xr:uid="{00000000-0005-0000-0000-0000AE860000}"/>
    <cellStyle name="Normal 478 2 3 2" xfId="34730" xr:uid="{00000000-0005-0000-0000-0000AF860000}"/>
    <cellStyle name="Normal 478 2 3 2 2" xfId="34731" xr:uid="{00000000-0005-0000-0000-0000B0860000}"/>
    <cellStyle name="Normal 478 2 3 3" xfId="34732" xr:uid="{00000000-0005-0000-0000-0000B1860000}"/>
    <cellStyle name="Normal 478 2 4" xfId="34733" xr:uid="{00000000-0005-0000-0000-0000B2860000}"/>
    <cellStyle name="Normal 478 3" xfId="34734" xr:uid="{00000000-0005-0000-0000-0000B3860000}"/>
    <cellStyle name="Normal 478 3 2" xfId="34735" xr:uid="{00000000-0005-0000-0000-0000B4860000}"/>
    <cellStyle name="Normal 478 3 2 2" xfId="34736" xr:uid="{00000000-0005-0000-0000-0000B5860000}"/>
    <cellStyle name="Normal 478 3 3" xfId="34737" xr:uid="{00000000-0005-0000-0000-0000B6860000}"/>
    <cellStyle name="Normal 478 4" xfId="34738" xr:uid="{00000000-0005-0000-0000-0000B7860000}"/>
    <cellStyle name="Normal 478 4 2" xfId="34739" xr:uid="{00000000-0005-0000-0000-0000B8860000}"/>
    <cellStyle name="Normal 478 4 2 2" xfId="34740" xr:uid="{00000000-0005-0000-0000-0000B9860000}"/>
    <cellStyle name="Normal 478 4 3" xfId="34741" xr:uid="{00000000-0005-0000-0000-0000BA860000}"/>
    <cellStyle name="Normal 478 5" xfId="34742" xr:uid="{00000000-0005-0000-0000-0000BB860000}"/>
    <cellStyle name="Normal 478 5 2" xfId="34743" xr:uid="{00000000-0005-0000-0000-0000BC860000}"/>
    <cellStyle name="Normal 478 5 2 2" xfId="34744" xr:uid="{00000000-0005-0000-0000-0000BD860000}"/>
    <cellStyle name="Normal 478 5 3" xfId="34745" xr:uid="{00000000-0005-0000-0000-0000BE860000}"/>
    <cellStyle name="Normal 478 6" xfId="34746" xr:uid="{00000000-0005-0000-0000-0000BF860000}"/>
    <cellStyle name="Normal 479" xfId="34747" xr:uid="{00000000-0005-0000-0000-0000C0860000}"/>
    <cellStyle name="Normal 479 2" xfId="34748" xr:uid="{00000000-0005-0000-0000-0000C1860000}"/>
    <cellStyle name="Normal 479 2 2" xfId="34749" xr:uid="{00000000-0005-0000-0000-0000C2860000}"/>
    <cellStyle name="Normal 479 2 2 2" xfId="34750" xr:uid="{00000000-0005-0000-0000-0000C3860000}"/>
    <cellStyle name="Normal 479 2 3" xfId="34751" xr:uid="{00000000-0005-0000-0000-0000C4860000}"/>
    <cellStyle name="Normal 479 2 3 2" xfId="34752" xr:uid="{00000000-0005-0000-0000-0000C5860000}"/>
    <cellStyle name="Normal 479 2 3 2 2" xfId="34753" xr:uid="{00000000-0005-0000-0000-0000C6860000}"/>
    <cellStyle name="Normal 479 2 3 3" xfId="34754" xr:uid="{00000000-0005-0000-0000-0000C7860000}"/>
    <cellStyle name="Normal 479 2 4" xfId="34755" xr:uid="{00000000-0005-0000-0000-0000C8860000}"/>
    <cellStyle name="Normal 479 3" xfId="34756" xr:uid="{00000000-0005-0000-0000-0000C9860000}"/>
    <cellStyle name="Normal 479 3 2" xfId="34757" xr:uid="{00000000-0005-0000-0000-0000CA860000}"/>
    <cellStyle name="Normal 479 3 2 2" xfId="34758" xr:uid="{00000000-0005-0000-0000-0000CB860000}"/>
    <cellStyle name="Normal 479 3 3" xfId="34759" xr:uid="{00000000-0005-0000-0000-0000CC860000}"/>
    <cellStyle name="Normal 479 4" xfId="34760" xr:uid="{00000000-0005-0000-0000-0000CD860000}"/>
    <cellStyle name="Normal 479 4 2" xfId="34761" xr:uid="{00000000-0005-0000-0000-0000CE860000}"/>
    <cellStyle name="Normal 479 4 2 2" xfId="34762" xr:uid="{00000000-0005-0000-0000-0000CF860000}"/>
    <cellStyle name="Normal 479 4 3" xfId="34763" xr:uid="{00000000-0005-0000-0000-0000D0860000}"/>
    <cellStyle name="Normal 479 5" xfId="34764" xr:uid="{00000000-0005-0000-0000-0000D1860000}"/>
    <cellStyle name="Normal 479 5 2" xfId="34765" xr:uid="{00000000-0005-0000-0000-0000D2860000}"/>
    <cellStyle name="Normal 479 5 2 2" xfId="34766" xr:uid="{00000000-0005-0000-0000-0000D3860000}"/>
    <cellStyle name="Normal 479 5 3" xfId="34767" xr:uid="{00000000-0005-0000-0000-0000D4860000}"/>
    <cellStyle name="Normal 479 6" xfId="34768" xr:uid="{00000000-0005-0000-0000-0000D5860000}"/>
    <cellStyle name="Normal 48" xfId="250" xr:uid="{00000000-0005-0000-0000-0000D6860000}"/>
    <cellStyle name="Normal 48 2" xfId="34769" xr:uid="{00000000-0005-0000-0000-0000D7860000}"/>
    <cellStyle name="Normal 48 2 2" xfId="34770" xr:uid="{00000000-0005-0000-0000-0000D8860000}"/>
    <cellStyle name="Normal 48 2 2 2" xfId="34771" xr:uid="{00000000-0005-0000-0000-0000D9860000}"/>
    <cellStyle name="Normal 48 2 2 2 2" xfId="34772" xr:uid="{00000000-0005-0000-0000-0000DA860000}"/>
    <cellStyle name="Normal 48 2 2 3" xfId="34773" xr:uid="{00000000-0005-0000-0000-0000DB860000}"/>
    <cellStyle name="Normal 48 2 2 3 2" xfId="34774" xr:uid="{00000000-0005-0000-0000-0000DC860000}"/>
    <cellStyle name="Normal 48 2 2 3 2 2" xfId="34775" xr:uid="{00000000-0005-0000-0000-0000DD860000}"/>
    <cellStyle name="Normal 48 2 2 3 3" xfId="34776" xr:uid="{00000000-0005-0000-0000-0000DE860000}"/>
    <cellStyle name="Normal 48 2 2 4" xfId="34777" xr:uid="{00000000-0005-0000-0000-0000DF860000}"/>
    <cellStyle name="Normal 48 2 2 4 2" xfId="34778" xr:uid="{00000000-0005-0000-0000-0000E0860000}"/>
    <cellStyle name="Normal 48 2 2 4 2 2" xfId="34779" xr:uid="{00000000-0005-0000-0000-0000E1860000}"/>
    <cellStyle name="Normal 48 2 2 4 3" xfId="34780" xr:uid="{00000000-0005-0000-0000-0000E2860000}"/>
    <cellStyle name="Normal 48 2 2 5" xfId="34781" xr:uid="{00000000-0005-0000-0000-0000E3860000}"/>
    <cellStyle name="Normal 48 2 3" xfId="34782" xr:uid="{00000000-0005-0000-0000-0000E4860000}"/>
    <cellStyle name="Normal 48 2 3 2" xfId="34783" xr:uid="{00000000-0005-0000-0000-0000E5860000}"/>
    <cellStyle name="Normal 48 2 3 2 2" xfId="34784" xr:uid="{00000000-0005-0000-0000-0000E6860000}"/>
    <cellStyle name="Normal 48 2 3 3" xfId="34785" xr:uid="{00000000-0005-0000-0000-0000E7860000}"/>
    <cellStyle name="Normal 48 2 4" xfId="34786" xr:uid="{00000000-0005-0000-0000-0000E8860000}"/>
    <cellStyle name="Normal 48 2 4 2" xfId="34787" xr:uid="{00000000-0005-0000-0000-0000E9860000}"/>
    <cellStyle name="Normal 48 2 4 2 2" xfId="34788" xr:uid="{00000000-0005-0000-0000-0000EA860000}"/>
    <cellStyle name="Normal 48 2 4 3" xfId="34789" xr:uid="{00000000-0005-0000-0000-0000EB860000}"/>
    <cellStyle name="Normal 48 2 5" xfId="34790" xr:uid="{00000000-0005-0000-0000-0000EC860000}"/>
    <cellStyle name="Normal 48 2 5 2" xfId="34791" xr:uid="{00000000-0005-0000-0000-0000ED860000}"/>
    <cellStyle name="Normal 48 2 5 2 2" xfId="34792" xr:uid="{00000000-0005-0000-0000-0000EE860000}"/>
    <cellStyle name="Normal 48 2 5 3" xfId="34793" xr:uid="{00000000-0005-0000-0000-0000EF860000}"/>
    <cellStyle name="Normal 48 2 6" xfId="34794" xr:uid="{00000000-0005-0000-0000-0000F0860000}"/>
    <cellStyle name="Normal 48 3" xfId="34795" xr:uid="{00000000-0005-0000-0000-0000F1860000}"/>
    <cellStyle name="Normal 48 3 2" xfId="34796" xr:uid="{00000000-0005-0000-0000-0000F2860000}"/>
    <cellStyle name="Normal 48 3 2 2" xfId="34797" xr:uid="{00000000-0005-0000-0000-0000F3860000}"/>
    <cellStyle name="Normal 48 3 3" xfId="34798" xr:uid="{00000000-0005-0000-0000-0000F4860000}"/>
    <cellStyle name="Normal 48 3 3 2" xfId="34799" xr:uid="{00000000-0005-0000-0000-0000F5860000}"/>
    <cellStyle name="Normal 48 3 3 2 2" xfId="34800" xr:uid="{00000000-0005-0000-0000-0000F6860000}"/>
    <cellStyle name="Normal 48 3 3 3" xfId="34801" xr:uid="{00000000-0005-0000-0000-0000F7860000}"/>
    <cellStyle name="Normal 48 3 4" xfId="34802" xr:uid="{00000000-0005-0000-0000-0000F8860000}"/>
    <cellStyle name="Normal 48 3 4 2" xfId="34803" xr:uid="{00000000-0005-0000-0000-0000F9860000}"/>
    <cellStyle name="Normal 48 3 4 2 2" xfId="34804" xr:uid="{00000000-0005-0000-0000-0000FA860000}"/>
    <cellStyle name="Normal 48 3 4 3" xfId="34805" xr:uid="{00000000-0005-0000-0000-0000FB860000}"/>
    <cellStyle name="Normal 48 3 5" xfId="34806" xr:uid="{00000000-0005-0000-0000-0000FC860000}"/>
    <cellStyle name="Normal 48 4" xfId="34807" xr:uid="{00000000-0005-0000-0000-0000FD860000}"/>
    <cellStyle name="Normal 48 4 2" xfId="34808" xr:uid="{00000000-0005-0000-0000-0000FE860000}"/>
    <cellStyle name="Normal 48 4 2 2" xfId="34809" xr:uid="{00000000-0005-0000-0000-0000FF860000}"/>
    <cellStyle name="Normal 48 4 3" xfId="34810" xr:uid="{00000000-0005-0000-0000-000000870000}"/>
    <cellStyle name="Normal 48 5" xfId="34811" xr:uid="{00000000-0005-0000-0000-000001870000}"/>
    <cellStyle name="Normal 48 5 2" xfId="34812" xr:uid="{00000000-0005-0000-0000-000002870000}"/>
    <cellStyle name="Normal 48 5 2 2" xfId="34813" xr:uid="{00000000-0005-0000-0000-000003870000}"/>
    <cellStyle name="Normal 48 5 3" xfId="34814" xr:uid="{00000000-0005-0000-0000-000004870000}"/>
    <cellStyle name="Normal 48 6" xfId="34815" xr:uid="{00000000-0005-0000-0000-000005870000}"/>
    <cellStyle name="Normal 48 6 2" xfId="34816" xr:uid="{00000000-0005-0000-0000-000006870000}"/>
    <cellStyle name="Normal 48 6 2 2" xfId="34817" xr:uid="{00000000-0005-0000-0000-000007870000}"/>
    <cellStyle name="Normal 48 6 3" xfId="34818" xr:uid="{00000000-0005-0000-0000-000008870000}"/>
    <cellStyle name="Normal 48 7" xfId="34819" xr:uid="{00000000-0005-0000-0000-000009870000}"/>
    <cellStyle name="Normal 480" xfId="34820" xr:uid="{00000000-0005-0000-0000-00000A870000}"/>
    <cellStyle name="Normal 480 2" xfId="34821" xr:uid="{00000000-0005-0000-0000-00000B870000}"/>
    <cellStyle name="Normal 480 2 2" xfId="34822" xr:uid="{00000000-0005-0000-0000-00000C870000}"/>
    <cellStyle name="Normal 480 2 2 2" xfId="34823" xr:uid="{00000000-0005-0000-0000-00000D870000}"/>
    <cellStyle name="Normal 480 2 3" xfId="34824" xr:uid="{00000000-0005-0000-0000-00000E870000}"/>
    <cellStyle name="Normal 480 2 3 2" xfId="34825" xr:uid="{00000000-0005-0000-0000-00000F870000}"/>
    <cellStyle name="Normal 480 2 3 2 2" xfId="34826" xr:uid="{00000000-0005-0000-0000-000010870000}"/>
    <cellStyle name="Normal 480 2 3 3" xfId="34827" xr:uid="{00000000-0005-0000-0000-000011870000}"/>
    <cellStyle name="Normal 480 2 4" xfId="34828" xr:uid="{00000000-0005-0000-0000-000012870000}"/>
    <cellStyle name="Normal 480 3" xfId="34829" xr:uid="{00000000-0005-0000-0000-000013870000}"/>
    <cellStyle name="Normal 480 3 2" xfId="34830" xr:uid="{00000000-0005-0000-0000-000014870000}"/>
    <cellStyle name="Normal 480 3 2 2" xfId="34831" xr:uid="{00000000-0005-0000-0000-000015870000}"/>
    <cellStyle name="Normal 480 3 3" xfId="34832" xr:uid="{00000000-0005-0000-0000-000016870000}"/>
    <cellStyle name="Normal 480 4" xfId="34833" xr:uid="{00000000-0005-0000-0000-000017870000}"/>
    <cellStyle name="Normal 480 4 2" xfId="34834" xr:uid="{00000000-0005-0000-0000-000018870000}"/>
    <cellStyle name="Normal 480 4 2 2" xfId="34835" xr:uid="{00000000-0005-0000-0000-000019870000}"/>
    <cellStyle name="Normal 480 4 3" xfId="34836" xr:uid="{00000000-0005-0000-0000-00001A870000}"/>
    <cellStyle name="Normal 480 5" xfId="34837" xr:uid="{00000000-0005-0000-0000-00001B870000}"/>
    <cellStyle name="Normal 480 5 2" xfId="34838" xr:uid="{00000000-0005-0000-0000-00001C870000}"/>
    <cellStyle name="Normal 480 5 2 2" xfId="34839" xr:uid="{00000000-0005-0000-0000-00001D870000}"/>
    <cellStyle name="Normal 480 5 3" xfId="34840" xr:uid="{00000000-0005-0000-0000-00001E870000}"/>
    <cellStyle name="Normal 480 6" xfId="34841" xr:uid="{00000000-0005-0000-0000-00001F870000}"/>
    <cellStyle name="Normal 481" xfId="34842" xr:uid="{00000000-0005-0000-0000-000020870000}"/>
    <cellStyle name="Normal 481 2" xfId="34843" xr:uid="{00000000-0005-0000-0000-000021870000}"/>
    <cellStyle name="Normal 481 2 2" xfId="34844" xr:uid="{00000000-0005-0000-0000-000022870000}"/>
    <cellStyle name="Normal 481 2 2 2" xfId="34845" xr:uid="{00000000-0005-0000-0000-000023870000}"/>
    <cellStyle name="Normal 481 2 3" xfId="34846" xr:uid="{00000000-0005-0000-0000-000024870000}"/>
    <cellStyle name="Normal 481 2 3 2" xfId="34847" xr:uid="{00000000-0005-0000-0000-000025870000}"/>
    <cellStyle name="Normal 481 2 3 2 2" xfId="34848" xr:uid="{00000000-0005-0000-0000-000026870000}"/>
    <cellStyle name="Normal 481 2 3 3" xfId="34849" xr:uid="{00000000-0005-0000-0000-000027870000}"/>
    <cellStyle name="Normal 481 2 4" xfId="34850" xr:uid="{00000000-0005-0000-0000-000028870000}"/>
    <cellStyle name="Normal 481 3" xfId="34851" xr:uid="{00000000-0005-0000-0000-000029870000}"/>
    <cellStyle name="Normal 481 3 2" xfId="34852" xr:uid="{00000000-0005-0000-0000-00002A870000}"/>
    <cellStyle name="Normal 481 3 2 2" xfId="34853" xr:uid="{00000000-0005-0000-0000-00002B870000}"/>
    <cellStyle name="Normal 481 3 3" xfId="34854" xr:uid="{00000000-0005-0000-0000-00002C870000}"/>
    <cellStyle name="Normal 481 4" xfId="34855" xr:uid="{00000000-0005-0000-0000-00002D870000}"/>
    <cellStyle name="Normal 481 4 2" xfId="34856" xr:uid="{00000000-0005-0000-0000-00002E870000}"/>
    <cellStyle name="Normal 481 4 2 2" xfId="34857" xr:uid="{00000000-0005-0000-0000-00002F870000}"/>
    <cellStyle name="Normal 481 4 3" xfId="34858" xr:uid="{00000000-0005-0000-0000-000030870000}"/>
    <cellStyle name="Normal 481 5" xfId="34859" xr:uid="{00000000-0005-0000-0000-000031870000}"/>
    <cellStyle name="Normal 481 5 2" xfId="34860" xr:uid="{00000000-0005-0000-0000-000032870000}"/>
    <cellStyle name="Normal 481 5 2 2" xfId="34861" xr:uid="{00000000-0005-0000-0000-000033870000}"/>
    <cellStyle name="Normal 481 5 3" xfId="34862" xr:uid="{00000000-0005-0000-0000-000034870000}"/>
    <cellStyle name="Normal 481 6" xfId="34863" xr:uid="{00000000-0005-0000-0000-000035870000}"/>
    <cellStyle name="Normal 482" xfId="34864" xr:uid="{00000000-0005-0000-0000-000036870000}"/>
    <cellStyle name="Normal 482 2" xfId="34865" xr:uid="{00000000-0005-0000-0000-000037870000}"/>
    <cellStyle name="Normal 482 2 2" xfId="34866" xr:uid="{00000000-0005-0000-0000-000038870000}"/>
    <cellStyle name="Normal 482 2 2 2" xfId="34867" xr:uid="{00000000-0005-0000-0000-000039870000}"/>
    <cellStyle name="Normal 482 2 3" xfId="34868" xr:uid="{00000000-0005-0000-0000-00003A870000}"/>
    <cellStyle name="Normal 482 2 3 2" xfId="34869" xr:uid="{00000000-0005-0000-0000-00003B870000}"/>
    <cellStyle name="Normal 482 2 3 2 2" xfId="34870" xr:uid="{00000000-0005-0000-0000-00003C870000}"/>
    <cellStyle name="Normal 482 2 3 3" xfId="34871" xr:uid="{00000000-0005-0000-0000-00003D870000}"/>
    <cellStyle name="Normal 482 2 4" xfId="34872" xr:uid="{00000000-0005-0000-0000-00003E870000}"/>
    <cellStyle name="Normal 482 3" xfId="34873" xr:uid="{00000000-0005-0000-0000-00003F870000}"/>
    <cellStyle name="Normal 482 3 2" xfId="34874" xr:uid="{00000000-0005-0000-0000-000040870000}"/>
    <cellStyle name="Normal 482 3 2 2" xfId="34875" xr:uid="{00000000-0005-0000-0000-000041870000}"/>
    <cellStyle name="Normal 482 3 3" xfId="34876" xr:uid="{00000000-0005-0000-0000-000042870000}"/>
    <cellStyle name="Normal 482 4" xfId="34877" xr:uid="{00000000-0005-0000-0000-000043870000}"/>
    <cellStyle name="Normal 482 4 2" xfId="34878" xr:uid="{00000000-0005-0000-0000-000044870000}"/>
    <cellStyle name="Normal 482 4 2 2" xfId="34879" xr:uid="{00000000-0005-0000-0000-000045870000}"/>
    <cellStyle name="Normal 482 4 3" xfId="34880" xr:uid="{00000000-0005-0000-0000-000046870000}"/>
    <cellStyle name="Normal 482 5" xfId="34881" xr:uid="{00000000-0005-0000-0000-000047870000}"/>
    <cellStyle name="Normal 482 5 2" xfId="34882" xr:uid="{00000000-0005-0000-0000-000048870000}"/>
    <cellStyle name="Normal 482 5 2 2" xfId="34883" xr:uid="{00000000-0005-0000-0000-000049870000}"/>
    <cellStyle name="Normal 482 5 3" xfId="34884" xr:uid="{00000000-0005-0000-0000-00004A870000}"/>
    <cellStyle name="Normal 482 6" xfId="34885" xr:uid="{00000000-0005-0000-0000-00004B870000}"/>
    <cellStyle name="Normal 483" xfId="34886" xr:uid="{00000000-0005-0000-0000-00004C870000}"/>
    <cellStyle name="Normal 483 2" xfId="34887" xr:uid="{00000000-0005-0000-0000-00004D870000}"/>
    <cellStyle name="Normal 483 2 2" xfId="34888" xr:uid="{00000000-0005-0000-0000-00004E870000}"/>
    <cellStyle name="Normal 483 2 2 2" xfId="34889" xr:uid="{00000000-0005-0000-0000-00004F870000}"/>
    <cellStyle name="Normal 483 2 3" xfId="34890" xr:uid="{00000000-0005-0000-0000-000050870000}"/>
    <cellStyle name="Normal 483 2 3 2" xfId="34891" xr:uid="{00000000-0005-0000-0000-000051870000}"/>
    <cellStyle name="Normal 483 2 3 2 2" xfId="34892" xr:uid="{00000000-0005-0000-0000-000052870000}"/>
    <cellStyle name="Normal 483 2 3 3" xfId="34893" xr:uid="{00000000-0005-0000-0000-000053870000}"/>
    <cellStyle name="Normal 483 2 4" xfId="34894" xr:uid="{00000000-0005-0000-0000-000054870000}"/>
    <cellStyle name="Normal 483 3" xfId="34895" xr:uid="{00000000-0005-0000-0000-000055870000}"/>
    <cellStyle name="Normal 483 3 2" xfId="34896" xr:uid="{00000000-0005-0000-0000-000056870000}"/>
    <cellStyle name="Normal 483 3 2 2" xfId="34897" xr:uid="{00000000-0005-0000-0000-000057870000}"/>
    <cellStyle name="Normal 483 3 3" xfId="34898" xr:uid="{00000000-0005-0000-0000-000058870000}"/>
    <cellStyle name="Normal 483 4" xfId="34899" xr:uid="{00000000-0005-0000-0000-000059870000}"/>
    <cellStyle name="Normal 483 4 2" xfId="34900" xr:uid="{00000000-0005-0000-0000-00005A870000}"/>
    <cellStyle name="Normal 483 4 2 2" xfId="34901" xr:uid="{00000000-0005-0000-0000-00005B870000}"/>
    <cellStyle name="Normal 483 4 3" xfId="34902" xr:uid="{00000000-0005-0000-0000-00005C870000}"/>
    <cellStyle name="Normal 483 5" xfId="34903" xr:uid="{00000000-0005-0000-0000-00005D870000}"/>
    <cellStyle name="Normal 483 5 2" xfId="34904" xr:uid="{00000000-0005-0000-0000-00005E870000}"/>
    <cellStyle name="Normal 483 5 2 2" xfId="34905" xr:uid="{00000000-0005-0000-0000-00005F870000}"/>
    <cellStyle name="Normal 483 5 3" xfId="34906" xr:uid="{00000000-0005-0000-0000-000060870000}"/>
    <cellStyle name="Normal 483 6" xfId="34907" xr:uid="{00000000-0005-0000-0000-000061870000}"/>
    <cellStyle name="Normal 484" xfId="34908" xr:uid="{00000000-0005-0000-0000-000062870000}"/>
    <cellStyle name="Normal 484 2" xfId="34909" xr:uid="{00000000-0005-0000-0000-000063870000}"/>
    <cellStyle name="Normal 484 2 2" xfId="34910" xr:uid="{00000000-0005-0000-0000-000064870000}"/>
    <cellStyle name="Normal 484 2 2 2" xfId="34911" xr:uid="{00000000-0005-0000-0000-000065870000}"/>
    <cellStyle name="Normal 484 2 3" xfId="34912" xr:uid="{00000000-0005-0000-0000-000066870000}"/>
    <cellStyle name="Normal 484 2 3 2" xfId="34913" xr:uid="{00000000-0005-0000-0000-000067870000}"/>
    <cellStyle name="Normal 484 2 3 2 2" xfId="34914" xr:uid="{00000000-0005-0000-0000-000068870000}"/>
    <cellStyle name="Normal 484 2 3 3" xfId="34915" xr:uid="{00000000-0005-0000-0000-000069870000}"/>
    <cellStyle name="Normal 484 2 4" xfId="34916" xr:uid="{00000000-0005-0000-0000-00006A870000}"/>
    <cellStyle name="Normal 484 3" xfId="34917" xr:uid="{00000000-0005-0000-0000-00006B870000}"/>
    <cellStyle name="Normal 484 3 2" xfId="34918" xr:uid="{00000000-0005-0000-0000-00006C870000}"/>
    <cellStyle name="Normal 484 3 2 2" xfId="34919" xr:uid="{00000000-0005-0000-0000-00006D870000}"/>
    <cellStyle name="Normal 484 3 3" xfId="34920" xr:uid="{00000000-0005-0000-0000-00006E870000}"/>
    <cellStyle name="Normal 484 4" xfId="34921" xr:uid="{00000000-0005-0000-0000-00006F870000}"/>
    <cellStyle name="Normal 484 4 2" xfId="34922" xr:uid="{00000000-0005-0000-0000-000070870000}"/>
    <cellStyle name="Normal 484 4 2 2" xfId="34923" xr:uid="{00000000-0005-0000-0000-000071870000}"/>
    <cellStyle name="Normal 484 4 3" xfId="34924" xr:uid="{00000000-0005-0000-0000-000072870000}"/>
    <cellStyle name="Normal 484 5" xfId="34925" xr:uid="{00000000-0005-0000-0000-000073870000}"/>
    <cellStyle name="Normal 484 5 2" xfId="34926" xr:uid="{00000000-0005-0000-0000-000074870000}"/>
    <cellStyle name="Normal 484 5 2 2" xfId="34927" xr:uid="{00000000-0005-0000-0000-000075870000}"/>
    <cellStyle name="Normal 484 5 3" xfId="34928" xr:uid="{00000000-0005-0000-0000-000076870000}"/>
    <cellStyle name="Normal 484 6" xfId="34929" xr:uid="{00000000-0005-0000-0000-000077870000}"/>
    <cellStyle name="Normal 485" xfId="34930" xr:uid="{00000000-0005-0000-0000-000078870000}"/>
    <cellStyle name="Normal 485 2" xfId="34931" xr:uid="{00000000-0005-0000-0000-000079870000}"/>
    <cellStyle name="Normal 485 2 2" xfId="34932" xr:uid="{00000000-0005-0000-0000-00007A870000}"/>
    <cellStyle name="Normal 485 2 2 2" xfId="34933" xr:uid="{00000000-0005-0000-0000-00007B870000}"/>
    <cellStyle name="Normal 485 2 3" xfId="34934" xr:uid="{00000000-0005-0000-0000-00007C870000}"/>
    <cellStyle name="Normal 485 2 3 2" xfId="34935" xr:uid="{00000000-0005-0000-0000-00007D870000}"/>
    <cellStyle name="Normal 485 2 3 2 2" xfId="34936" xr:uid="{00000000-0005-0000-0000-00007E870000}"/>
    <cellStyle name="Normal 485 2 3 3" xfId="34937" xr:uid="{00000000-0005-0000-0000-00007F870000}"/>
    <cellStyle name="Normal 485 2 4" xfId="34938" xr:uid="{00000000-0005-0000-0000-000080870000}"/>
    <cellStyle name="Normal 485 3" xfId="34939" xr:uid="{00000000-0005-0000-0000-000081870000}"/>
    <cellStyle name="Normal 485 3 2" xfId="34940" xr:uid="{00000000-0005-0000-0000-000082870000}"/>
    <cellStyle name="Normal 485 3 2 2" xfId="34941" xr:uid="{00000000-0005-0000-0000-000083870000}"/>
    <cellStyle name="Normal 485 3 3" xfId="34942" xr:uid="{00000000-0005-0000-0000-000084870000}"/>
    <cellStyle name="Normal 485 4" xfId="34943" xr:uid="{00000000-0005-0000-0000-000085870000}"/>
    <cellStyle name="Normal 485 4 2" xfId="34944" xr:uid="{00000000-0005-0000-0000-000086870000}"/>
    <cellStyle name="Normal 485 4 2 2" xfId="34945" xr:uid="{00000000-0005-0000-0000-000087870000}"/>
    <cellStyle name="Normal 485 4 3" xfId="34946" xr:uid="{00000000-0005-0000-0000-000088870000}"/>
    <cellStyle name="Normal 485 5" xfId="34947" xr:uid="{00000000-0005-0000-0000-000089870000}"/>
    <cellStyle name="Normal 485 5 2" xfId="34948" xr:uid="{00000000-0005-0000-0000-00008A870000}"/>
    <cellStyle name="Normal 485 5 2 2" xfId="34949" xr:uid="{00000000-0005-0000-0000-00008B870000}"/>
    <cellStyle name="Normal 485 5 3" xfId="34950" xr:uid="{00000000-0005-0000-0000-00008C870000}"/>
    <cellStyle name="Normal 485 6" xfId="34951" xr:uid="{00000000-0005-0000-0000-00008D870000}"/>
    <cellStyle name="Normal 486" xfId="34952" xr:uid="{00000000-0005-0000-0000-00008E870000}"/>
    <cellStyle name="Normal 486 2" xfId="34953" xr:uid="{00000000-0005-0000-0000-00008F870000}"/>
    <cellStyle name="Normal 486 2 2" xfId="34954" xr:uid="{00000000-0005-0000-0000-000090870000}"/>
    <cellStyle name="Normal 486 2 2 2" xfId="34955" xr:uid="{00000000-0005-0000-0000-000091870000}"/>
    <cellStyle name="Normal 486 2 3" xfId="34956" xr:uid="{00000000-0005-0000-0000-000092870000}"/>
    <cellStyle name="Normal 486 2 3 2" xfId="34957" xr:uid="{00000000-0005-0000-0000-000093870000}"/>
    <cellStyle name="Normal 486 2 3 2 2" xfId="34958" xr:uid="{00000000-0005-0000-0000-000094870000}"/>
    <cellStyle name="Normal 486 2 3 3" xfId="34959" xr:uid="{00000000-0005-0000-0000-000095870000}"/>
    <cellStyle name="Normal 486 2 4" xfId="34960" xr:uid="{00000000-0005-0000-0000-000096870000}"/>
    <cellStyle name="Normal 486 3" xfId="34961" xr:uid="{00000000-0005-0000-0000-000097870000}"/>
    <cellStyle name="Normal 486 3 2" xfId="34962" xr:uid="{00000000-0005-0000-0000-000098870000}"/>
    <cellStyle name="Normal 486 3 2 2" xfId="34963" xr:uid="{00000000-0005-0000-0000-000099870000}"/>
    <cellStyle name="Normal 486 3 3" xfId="34964" xr:uid="{00000000-0005-0000-0000-00009A870000}"/>
    <cellStyle name="Normal 486 4" xfId="34965" xr:uid="{00000000-0005-0000-0000-00009B870000}"/>
    <cellStyle name="Normal 486 4 2" xfId="34966" xr:uid="{00000000-0005-0000-0000-00009C870000}"/>
    <cellStyle name="Normal 486 4 2 2" xfId="34967" xr:uid="{00000000-0005-0000-0000-00009D870000}"/>
    <cellStyle name="Normal 486 4 3" xfId="34968" xr:uid="{00000000-0005-0000-0000-00009E870000}"/>
    <cellStyle name="Normal 486 5" xfId="34969" xr:uid="{00000000-0005-0000-0000-00009F870000}"/>
    <cellStyle name="Normal 486 5 2" xfId="34970" xr:uid="{00000000-0005-0000-0000-0000A0870000}"/>
    <cellStyle name="Normal 486 5 2 2" xfId="34971" xr:uid="{00000000-0005-0000-0000-0000A1870000}"/>
    <cellStyle name="Normal 486 5 3" xfId="34972" xr:uid="{00000000-0005-0000-0000-0000A2870000}"/>
    <cellStyle name="Normal 486 6" xfId="34973" xr:uid="{00000000-0005-0000-0000-0000A3870000}"/>
    <cellStyle name="Normal 487" xfId="34974" xr:uid="{00000000-0005-0000-0000-0000A4870000}"/>
    <cellStyle name="Normal 487 2" xfId="34975" xr:uid="{00000000-0005-0000-0000-0000A5870000}"/>
    <cellStyle name="Normal 487 2 2" xfId="34976" xr:uid="{00000000-0005-0000-0000-0000A6870000}"/>
    <cellStyle name="Normal 487 2 2 2" xfId="34977" xr:uid="{00000000-0005-0000-0000-0000A7870000}"/>
    <cellStyle name="Normal 487 2 3" xfId="34978" xr:uid="{00000000-0005-0000-0000-0000A8870000}"/>
    <cellStyle name="Normal 487 2 3 2" xfId="34979" xr:uid="{00000000-0005-0000-0000-0000A9870000}"/>
    <cellStyle name="Normal 487 2 3 2 2" xfId="34980" xr:uid="{00000000-0005-0000-0000-0000AA870000}"/>
    <cellStyle name="Normal 487 2 3 3" xfId="34981" xr:uid="{00000000-0005-0000-0000-0000AB870000}"/>
    <cellStyle name="Normal 487 2 4" xfId="34982" xr:uid="{00000000-0005-0000-0000-0000AC870000}"/>
    <cellStyle name="Normal 487 3" xfId="34983" xr:uid="{00000000-0005-0000-0000-0000AD870000}"/>
    <cellStyle name="Normal 487 3 2" xfId="34984" xr:uid="{00000000-0005-0000-0000-0000AE870000}"/>
    <cellStyle name="Normal 487 3 2 2" xfId="34985" xr:uid="{00000000-0005-0000-0000-0000AF870000}"/>
    <cellStyle name="Normal 487 3 3" xfId="34986" xr:uid="{00000000-0005-0000-0000-0000B0870000}"/>
    <cellStyle name="Normal 487 4" xfId="34987" xr:uid="{00000000-0005-0000-0000-0000B1870000}"/>
    <cellStyle name="Normal 487 4 2" xfId="34988" xr:uid="{00000000-0005-0000-0000-0000B2870000}"/>
    <cellStyle name="Normal 487 4 2 2" xfId="34989" xr:uid="{00000000-0005-0000-0000-0000B3870000}"/>
    <cellStyle name="Normal 487 4 3" xfId="34990" xr:uid="{00000000-0005-0000-0000-0000B4870000}"/>
    <cellStyle name="Normal 487 5" xfId="34991" xr:uid="{00000000-0005-0000-0000-0000B5870000}"/>
    <cellStyle name="Normal 487 5 2" xfId="34992" xr:uid="{00000000-0005-0000-0000-0000B6870000}"/>
    <cellStyle name="Normal 487 5 2 2" xfId="34993" xr:uid="{00000000-0005-0000-0000-0000B7870000}"/>
    <cellStyle name="Normal 487 5 3" xfId="34994" xr:uid="{00000000-0005-0000-0000-0000B8870000}"/>
    <cellStyle name="Normal 487 6" xfId="34995" xr:uid="{00000000-0005-0000-0000-0000B9870000}"/>
    <cellStyle name="Normal 488" xfId="34996" xr:uid="{00000000-0005-0000-0000-0000BA870000}"/>
    <cellStyle name="Normal 488 2" xfId="34997" xr:uid="{00000000-0005-0000-0000-0000BB870000}"/>
    <cellStyle name="Normal 488 2 2" xfId="34998" xr:uid="{00000000-0005-0000-0000-0000BC870000}"/>
    <cellStyle name="Normal 488 2 2 2" xfId="34999" xr:uid="{00000000-0005-0000-0000-0000BD870000}"/>
    <cellStyle name="Normal 488 2 3" xfId="35000" xr:uid="{00000000-0005-0000-0000-0000BE870000}"/>
    <cellStyle name="Normal 488 2 3 2" xfId="35001" xr:uid="{00000000-0005-0000-0000-0000BF870000}"/>
    <cellStyle name="Normal 488 2 3 2 2" xfId="35002" xr:uid="{00000000-0005-0000-0000-0000C0870000}"/>
    <cellStyle name="Normal 488 2 3 3" xfId="35003" xr:uid="{00000000-0005-0000-0000-0000C1870000}"/>
    <cellStyle name="Normal 488 2 4" xfId="35004" xr:uid="{00000000-0005-0000-0000-0000C2870000}"/>
    <cellStyle name="Normal 488 3" xfId="35005" xr:uid="{00000000-0005-0000-0000-0000C3870000}"/>
    <cellStyle name="Normal 488 3 2" xfId="35006" xr:uid="{00000000-0005-0000-0000-0000C4870000}"/>
    <cellStyle name="Normal 488 3 2 2" xfId="35007" xr:uid="{00000000-0005-0000-0000-0000C5870000}"/>
    <cellStyle name="Normal 488 3 3" xfId="35008" xr:uid="{00000000-0005-0000-0000-0000C6870000}"/>
    <cellStyle name="Normal 488 4" xfId="35009" xr:uid="{00000000-0005-0000-0000-0000C7870000}"/>
    <cellStyle name="Normal 488 4 2" xfId="35010" xr:uid="{00000000-0005-0000-0000-0000C8870000}"/>
    <cellStyle name="Normal 488 4 2 2" xfId="35011" xr:uid="{00000000-0005-0000-0000-0000C9870000}"/>
    <cellStyle name="Normal 488 4 3" xfId="35012" xr:uid="{00000000-0005-0000-0000-0000CA870000}"/>
    <cellStyle name="Normal 488 5" xfId="35013" xr:uid="{00000000-0005-0000-0000-0000CB870000}"/>
    <cellStyle name="Normal 488 5 2" xfId="35014" xr:uid="{00000000-0005-0000-0000-0000CC870000}"/>
    <cellStyle name="Normal 488 5 2 2" xfId="35015" xr:uid="{00000000-0005-0000-0000-0000CD870000}"/>
    <cellStyle name="Normal 488 5 3" xfId="35016" xr:uid="{00000000-0005-0000-0000-0000CE870000}"/>
    <cellStyle name="Normal 488 6" xfId="35017" xr:uid="{00000000-0005-0000-0000-0000CF870000}"/>
    <cellStyle name="Normal 489" xfId="35018" xr:uid="{00000000-0005-0000-0000-0000D0870000}"/>
    <cellStyle name="Normal 489 2" xfId="35019" xr:uid="{00000000-0005-0000-0000-0000D1870000}"/>
    <cellStyle name="Normal 489 2 2" xfId="35020" xr:uid="{00000000-0005-0000-0000-0000D2870000}"/>
    <cellStyle name="Normal 489 2 2 2" xfId="35021" xr:uid="{00000000-0005-0000-0000-0000D3870000}"/>
    <cellStyle name="Normal 489 2 3" xfId="35022" xr:uid="{00000000-0005-0000-0000-0000D4870000}"/>
    <cellStyle name="Normal 489 2 3 2" xfId="35023" xr:uid="{00000000-0005-0000-0000-0000D5870000}"/>
    <cellStyle name="Normal 489 2 3 2 2" xfId="35024" xr:uid="{00000000-0005-0000-0000-0000D6870000}"/>
    <cellStyle name="Normal 489 2 3 3" xfId="35025" xr:uid="{00000000-0005-0000-0000-0000D7870000}"/>
    <cellStyle name="Normal 489 2 4" xfId="35026" xr:uid="{00000000-0005-0000-0000-0000D8870000}"/>
    <cellStyle name="Normal 489 3" xfId="35027" xr:uid="{00000000-0005-0000-0000-0000D9870000}"/>
    <cellStyle name="Normal 489 3 2" xfId="35028" xr:uid="{00000000-0005-0000-0000-0000DA870000}"/>
    <cellStyle name="Normal 489 3 2 2" xfId="35029" xr:uid="{00000000-0005-0000-0000-0000DB870000}"/>
    <cellStyle name="Normal 489 3 3" xfId="35030" xr:uid="{00000000-0005-0000-0000-0000DC870000}"/>
    <cellStyle name="Normal 489 4" xfId="35031" xr:uid="{00000000-0005-0000-0000-0000DD870000}"/>
    <cellStyle name="Normal 489 4 2" xfId="35032" xr:uid="{00000000-0005-0000-0000-0000DE870000}"/>
    <cellStyle name="Normal 489 4 2 2" xfId="35033" xr:uid="{00000000-0005-0000-0000-0000DF870000}"/>
    <cellStyle name="Normal 489 4 3" xfId="35034" xr:uid="{00000000-0005-0000-0000-0000E0870000}"/>
    <cellStyle name="Normal 489 5" xfId="35035" xr:uid="{00000000-0005-0000-0000-0000E1870000}"/>
    <cellStyle name="Normal 489 5 2" xfId="35036" xr:uid="{00000000-0005-0000-0000-0000E2870000}"/>
    <cellStyle name="Normal 489 5 2 2" xfId="35037" xr:uid="{00000000-0005-0000-0000-0000E3870000}"/>
    <cellStyle name="Normal 489 5 3" xfId="35038" xr:uid="{00000000-0005-0000-0000-0000E4870000}"/>
    <cellStyle name="Normal 489 6" xfId="35039" xr:uid="{00000000-0005-0000-0000-0000E5870000}"/>
    <cellStyle name="Normal 49" xfId="251" xr:uid="{00000000-0005-0000-0000-0000E6870000}"/>
    <cellStyle name="Normal 49 2" xfId="35040" xr:uid="{00000000-0005-0000-0000-0000E7870000}"/>
    <cellStyle name="Normal 49 2 2" xfId="35041" xr:uid="{00000000-0005-0000-0000-0000E8870000}"/>
    <cellStyle name="Normal 49 2 2 2" xfId="35042" xr:uid="{00000000-0005-0000-0000-0000E9870000}"/>
    <cellStyle name="Normal 49 2 2 2 2" xfId="35043" xr:uid="{00000000-0005-0000-0000-0000EA870000}"/>
    <cellStyle name="Normal 49 2 2 3" xfId="35044" xr:uid="{00000000-0005-0000-0000-0000EB870000}"/>
    <cellStyle name="Normal 49 2 2 3 2" xfId="35045" xr:uid="{00000000-0005-0000-0000-0000EC870000}"/>
    <cellStyle name="Normal 49 2 2 3 2 2" xfId="35046" xr:uid="{00000000-0005-0000-0000-0000ED870000}"/>
    <cellStyle name="Normal 49 2 2 3 3" xfId="35047" xr:uid="{00000000-0005-0000-0000-0000EE870000}"/>
    <cellStyle name="Normal 49 2 2 4" xfId="35048" xr:uid="{00000000-0005-0000-0000-0000EF870000}"/>
    <cellStyle name="Normal 49 2 2 4 2" xfId="35049" xr:uid="{00000000-0005-0000-0000-0000F0870000}"/>
    <cellStyle name="Normal 49 2 2 4 2 2" xfId="35050" xr:uid="{00000000-0005-0000-0000-0000F1870000}"/>
    <cellStyle name="Normal 49 2 2 4 3" xfId="35051" xr:uid="{00000000-0005-0000-0000-0000F2870000}"/>
    <cellStyle name="Normal 49 2 2 5" xfId="35052" xr:uid="{00000000-0005-0000-0000-0000F3870000}"/>
    <cellStyle name="Normal 49 2 3" xfId="35053" xr:uid="{00000000-0005-0000-0000-0000F4870000}"/>
    <cellStyle name="Normal 49 2 3 2" xfId="35054" xr:uid="{00000000-0005-0000-0000-0000F5870000}"/>
    <cellStyle name="Normal 49 2 3 2 2" xfId="35055" xr:uid="{00000000-0005-0000-0000-0000F6870000}"/>
    <cellStyle name="Normal 49 2 3 3" xfId="35056" xr:uid="{00000000-0005-0000-0000-0000F7870000}"/>
    <cellStyle name="Normal 49 2 4" xfId="35057" xr:uid="{00000000-0005-0000-0000-0000F8870000}"/>
    <cellStyle name="Normal 49 2 4 2" xfId="35058" xr:uid="{00000000-0005-0000-0000-0000F9870000}"/>
    <cellStyle name="Normal 49 2 4 2 2" xfId="35059" xr:uid="{00000000-0005-0000-0000-0000FA870000}"/>
    <cellStyle name="Normal 49 2 4 3" xfId="35060" xr:uid="{00000000-0005-0000-0000-0000FB870000}"/>
    <cellStyle name="Normal 49 2 5" xfId="35061" xr:uid="{00000000-0005-0000-0000-0000FC870000}"/>
    <cellStyle name="Normal 49 2 5 2" xfId="35062" xr:uid="{00000000-0005-0000-0000-0000FD870000}"/>
    <cellStyle name="Normal 49 2 5 2 2" xfId="35063" xr:uid="{00000000-0005-0000-0000-0000FE870000}"/>
    <cellStyle name="Normal 49 2 5 3" xfId="35064" xr:uid="{00000000-0005-0000-0000-0000FF870000}"/>
    <cellStyle name="Normal 49 2 6" xfId="35065" xr:uid="{00000000-0005-0000-0000-000000880000}"/>
    <cellStyle name="Normal 49 3" xfId="35066" xr:uid="{00000000-0005-0000-0000-000001880000}"/>
    <cellStyle name="Normal 49 3 2" xfId="35067" xr:uid="{00000000-0005-0000-0000-000002880000}"/>
    <cellStyle name="Normal 49 3 2 2" xfId="35068" xr:uid="{00000000-0005-0000-0000-000003880000}"/>
    <cellStyle name="Normal 49 3 3" xfId="35069" xr:uid="{00000000-0005-0000-0000-000004880000}"/>
    <cellStyle name="Normal 49 3 3 2" xfId="35070" xr:uid="{00000000-0005-0000-0000-000005880000}"/>
    <cellStyle name="Normal 49 3 3 2 2" xfId="35071" xr:uid="{00000000-0005-0000-0000-000006880000}"/>
    <cellStyle name="Normal 49 3 3 3" xfId="35072" xr:uid="{00000000-0005-0000-0000-000007880000}"/>
    <cellStyle name="Normal 49 3 4" xfId="35073" xr:uid="{00000000-0005-0000-0000-000008880000}"/>
    <cellStyle name="Normal 49 3 4 2" xfId="35074" xr:uid="{00000000-0005-0000-0000-000009880000}"/>
    <cellStyle name="Normal 49 3 4 2 2" xfId="35075" xr:uid="{00000000-0005-0000-0000-00000A880000}"/>
    <cellStyle name="Normal 49 3 4 3" xfId="35076" xr:uid="{00000000-0005-0000-0000-00000B880000}"/>
    <cellStyle name="Normal 49 3 5" xfId="35077" xr:uid="{00000000-0005-0000-0000-00000C880000}"/>
    <cellStyle name="Normal 49 4" xfId="35078" xr:uid="{00000000-0005-0000-0000-00000D880000}"/>
    <cellStyle name="Normal 49 4 2" xfId="35079" xr:uid="{00000000-0005-0000-0000-00000E880000}"/>
    <cellStyle name="Normal 49 4 2 2" xfId="35080" xr:uid="{00000000-0005-0000-0000-00000F880000}"/>
    <cellStyle name="Normal 49 4 3" xfId="35081" xr:uid="{00000000-0005-0000-0000-000010880000}"/>
    <cellStyle name="Normal 49 5" xfId="35082" xr:uid="{00000000-0005-0000-0000-000011880000}"/>
    <cellStyle name="Normal 49 5 2" xfId="35083" xr:uid="{00000000-0005-0000-0000-000012880000}"/>
    <cellStyle name="Normal 49 5 2 2" xfId="35084" xr:uid="{00000000-0005-0000-0000-000013880000}"/>
    <cellStyle name="Normal 49 5 3" xfId="35085" xr:uid="{00000000-0005-0000-0000-000014880000}"/>
    <cellStyle name="Normal 49 6" xfId="35086" xr:uid="{00000000-0005-0000-0000-000015880000}"/>
    <cellStyle name="Normal 49 6 2" xfId="35087" xr:uid="{00000000-0005-0000-0000-000016880000}"/>
    <cellStyle name="Normal 49 6 2 2" xfId="35088" xr:uid="{00000000-0005-0000-0000-000017880000}"/>
    <cellStyle name="Normal 49 6 3" xfId="35089" xr:uid="{00000000-0005-0000-0000-000018880000}"/>
    <cellStyle name="Normal 49 7" xfId="35090" xr:uid="{00000000-0005-0000-0000-000019880000}"/>
    <cellStyle name="Normal 490" xfId="35091" xr:uid="{00000000-0005-0000-0000-00001A880000}"/>
    <cellStyle name="Normal 490 2" xfId="35092" xr:uid="{00000000-0005-0000-0000-00001B880000}"/>
    <cellStyle name="Normal 490 2 2" xfId="35093" xr:uid="{00000000-0005-0000-0000-00001C880000}"/>
    <cellStyle name="Normal 490 2 2 2" xfId="35094" xr:uid="{00000000-0005-0000-0000-00001D880000}"/>
    <cellStyle name="Normal 490 2 3" xfId="35095" xr:uid="{00000000-0005-0000-0000-00001E880000}"/>
    <cellStyle name="Normal 490 2 3 2" xfId="35096" xr:uid="{00000000-0005-0000-0000-00001F880000}"/>
    <cellStyle name="Normal 490 2 3 2 2" xfId="35097" xr:uid="{00000000-0005-0000-0000-000020880000}"/>
    <cellStyle name="Normal 490 2 3 3" xfId="35098" xr:uid="{00000000-0005-0000-0000-000021880000}"/>
    <cellStyle name="Normal 490 2 4" xfId="35099" xr:uid="{00000000-0005-0000-0000-000022880000}"/>
    <cellStyle name="Normal 490 3" xfId="35100" xr:uid="{00000000-0005-0000-0000-000023880000}"/>
    <cellStyle name="Normal 490 3 2" xfId="35101" xr:uid="{00000000-0005-0000-0000-000024880000}"/>
    <cellStyle name="Normal 490 3 2 2" xfId="35102" xr:uid="{00000000-0005-0000-0000-000025880000}"/>
    <cellStyle name="Normal 490 3 3" xfId="35103" xr:uid="{00000000-0005-0000-0000-000026880000}"/>
    <cellStyle name="Normal 490 4" xfId="35104" xr:uid="{00000000-0005-0000-0000-000027880000}"/>
    <cellStyle name="Normal 490 4 2" xfId="35105" xr:uid="{00000000-0005-0000-0000-000028880000}"/>
    <cellStyle name="Normal 490 4 2 2" xfId="35106" xr:uid="{00000000-0005-0000-0000-000029880000}"/>
    <cellStyle name="Normal 490 4 3" xfId="35107" xr:uid="{00000000-0005-0000-0000-00002A880000}"/>
    <cellStyle name="Normal 490 5" xfId="35108" xr:uid="{00000000-0005-0000-0000-00002B880000}"/>
    <cellStyle name="Normal 490 5 2" xfId="35109" xr:uid="{00000000-0005-0000-0000-00002C880000}"/>
    <cellStyle name="Normal 490 5 2 2" xfId="35110" xr:uid="{00000000-0005-0000-0000-00002D880000}"/>
    <cellStyle name="Normal 490 5 3" xfId="35111" xr:uid="{00000000-0005-0000-0000-00002E880000}"/>
    <cellStyle name="Normal 490 6" xfId="35112" xr:uid="{00000000-0005-0000-0000-00002F880000}"/>
    <cellStyle name="Normal 491" xfId="35113" xr:uid="{00000000-0005-0000-0000-000030880000}"/>
    <cellStyle name="Normal 491 2" xfId="35114" xr:uid="{00000000-0005-0000-0000-000031880000}"/>
    <cellStyle name="Normal 491 2 2" xfId="35115" xr:uid="{00000000-0005-0000-0000-000032880000}"/>
    <cellStyle name="Normal 491 2 2 2" xfId="35116" xr:uid="{00000000-0005-0000-0000-000033880000}"/>
    <cellStyle name="Normal 491 2 3" xfId="35117" xr:uid="{00000000-0005-0000-0000-000034880000}"/>
    <cellStyle name="Normal 491 2 3 2" xfId="35118" xr:uid="{00000000-0005-0000-0000-000035880000}"/>
    <cellStyle name="Normal 491 2 3 2 2" xfId="35119" xr:uid="{00000000-0005-0000-0000-000036880000}"/>
    <cellStyle name="Normal 491 2 3 3" xfId="35120" xr:uid="{00000000-0005-0000-0000-000037880000}"/>
    <cellStyle name="Normal 491 2 4" xfId="35121" xr:uid="{00000000-0005-0000-0000-000038880000}"/>
    <cellStyle name="Normal 491 3" xfId="35122" xr:uid="{00000000-0005-0000-0000-000039880000}"/>
    <cellStyle name="Normal 491 3 2" xfId="35123" xr:uid="{00000000-0005-0000-0000-00003A880000}"/>
    <cellStyle name="Normal 491 3 2 2" xfId="35124" xr:uid="{00000000-0005-0000-0000-00003B880000}"/>
    <cellStyle name="Normal 491 3 3" xfId="35125" xr:uid="{00000000-0005-0000-0000-00003C880000}"/>
    <cellStyle name="Normal 491 4" xfId="35126" xr:uid="{00000000-0005-0000-0000-00003D880000}"/>
    <cellStyle name="Normal 491 4 2" xfId="35127" xr:uid="{00000000-0005-0000-0000-00003E880000}"/>
    <cellStyle name="Normal 491 4 2 2" xfId="35128" xr:uid="{00000000-0005-0000-0000-00003F880000}"/>
    <cellStyle name="Normal 491 4 3" xfId="35129" xr:uid="{00000000-0005-0000-0000-000040880000}"/>
    <cellStyle name="Normal 491 5" xfId="35130" xr:uid="{00000000-0005-0000-0000-000041880000}"/>
    <cellStyle name="Normal 491 5 2" xfId="35131" xr:uid="{00000000-0005-0000-0000-000042880000}"/>
    <cellStyle name="Normal 491 5 2 2" xfId="35132" xr:uid="{00000000-0005-0000-0000-000043880000}"/>
    <cellStyle name="Normal 491 5 3" xfId="35133" xr:uid="{00000000-0005-0000-0000-000044880000}"/>
    <cellStyle name="Normal 491 6" xfId="35134" xr:uid="{00000000-0005-0000-0000-000045880000}"/>
    <cellStyle name="Normal 492" xfId="35135" xr:uid="{00000000-0005-0000-0000-000046880000}"/>
    <cellStyle name="Normal 492 2" xfId="35136" xr:uid="{00000000-0005-0000-0000-000047880000}"/>
    <cellStyle name="Normal 492 2 2" xfId="35137" xr:uid="{00000000-0005-0000-0000-000048880000}"/>
    <cellStyle name="Normal 492 2 2 2" xfId="35138" xr:uid="{00000000-0005-0000-0000-000049880000}"/>
    <cellStyle name="Normal 492 2 3" xfId="35139" xr:uid="{00000000-0005-0000-0000-00004A880000}"/>
    <cellStyle name="Normal 492 2 3 2" xfId="35140" xr:uid="{00000000-0005-0000-0000-00004B880000}"/>
    <cellStyle name="Normal 492 2 3 2 2" xfId="35141" xr:uid="{00000000-0005-0000-0000-00004C880000}"/>
    <cellStyle name="Normal 492 2 3 3" xfId="35142" xr:uid="{00000000-0005-0000-0000-00004D880000}"/>
    <cellStyle name="Normal 492 2 4" xfId="35143" xr:uid="{00000000-0005-0000-0000-00004E880000}"/>
    <cellStyle name="Normal 492 3" xfId="35144" xr:uid="{00000000-0005-0000-0000-00004F880000}"/>
    <cellStyle name="Normal 492 3 2" xfId="35145" xr:uid="{00000000-0005-0000-0000-000050880000}"/>
    <cellStyle name="Normal 492 3 2 2" xfId="35146" xr:uid="{00000000-0005-0000-0000-000051880000}"/>
    <cellStyle name="Normal 492 3 3" xfId="35147" xr:uid="{00000000-0005-0000-0000-000052880000}"/>
    <cellStyle name="Normal 492 4" xfId="35148" xr:uid="{00000000-0005-0000-0000-000053880000}"/>
    <cellStyle name="Normal 492 4 2" xfId="35149" xr:uid="{00000000-0005-0000-0000-000054880000}"/>
    <cellStyle name="Normal 492 4 2 2" xfId="35150" xr:uid="{00000000-0005-0000-0000-000055880000}"/>
    <cellStyle name="Normal 492 4 3" xfId="35151" xr:uid="{00000000-0005-0000-0000-000056880000}"/>
    <cellStyle name="Normal 492 5" xfId="35152" xr:uid="{00000000-0005-0000-0000-000057880000}"/>
    <cellStyle name="Normal 492 5 2" xfId="35153" xr:uid="{00000000-0005-0000-0000-000058880000}"/>
    <cellStyle name="Normal 492 5 2 2" xfId="35154" xr:uid="{00000000-0005-0000-0000-000059880000}"/>
    <cellStyle name="Normal 492 5 3" xfId="35155" xr:uid="{00000000-0005-0000-0000-00005A880000}"/>
    <cellStyle name="Normal 492 6" xfId="35156" xr:uid="{00000000-0005-0000-0000-00005B880000}"/>
    <cellStyle name="Normal 493" xfId="35157" xr:uid="{00000000-0005-0000-0000-00005C880000}"/>
    <cellStyle name="Normal 493 2" xfId="35158" xr:uid="{00000000-0005-0000-0000-00005D880000}"/>
    <cellStyle name="Normal 493 2 2" xfId="35159" xr:uid="{00000000-0005-0000-0000-00005E880000}"/>
    <cellStyle name="Normal 493 2 2 2" xfId="35160" xr:uid="{00000000-0005-0000-0000-00005F880000}"/>
    <cellStyle name="Normal 493 2 3" xfId="35161" xr:uid="{00000000-0005-0000-0000-000060880000}"/>
    <cellStyle name="Normal 493 2 3 2" xfId="35162" xr:uid="{00000000-0005-0000-0000-000061880000}"/>
    <cellStyle name="Normal 493 2 3 2 2" xfId="35163" xr:uid="{00000000-0005-0000-0000-000062880000}"/>
    <cellStyle name="Normal 493 2 3 3" xfId="35164" xr:uid="{00000000-0005-0000-0000-000063880000}"/>
    <cellStyle name="Normal 493 2 4" xfId="35165" xr:uid="{00000000-0005-0000-0000-000064880000}"/>
    <cellStyle name="Normal 493 3" xfId="35166" xr:uid="{00000000-0005-0000-0000-000065880000}"/>
    <cellStyle name="Normal 493 3 2" xfId="35167" xr:uid="{00000000-0005-0000-0000-000066880000}"/>
    <cellStyle name="Normal 493 3 2 2" xfId="35168" xr:uid="{00000000-0005-0000-0000-000067880000}"/>
    <cellStyle name="Normal 493 3 3" xfId="35169" xr:uid="{00000000-0005-0000-0000-000068880000}"/>
    <cellStyle name="Normal 493 4" xfId="35170" xr:uid="{00000000-0005-0000-0000-000069880000}"/>
    <cellStyle name="Normal 493 4 2" xfId="35171" xr:uid="{00000000-0005-0000-0000-00006A880000}"/>
    <cellStyle name="Normal 493 4 2 2" xfId="35172" xr:uid="{00000000-0005-0000-0000-00006B880000}"/>
    <cellStyle name="Normal 493 4 3" xfId="35173" xr:uid="{00000000-0005-0000-0000-00006C880000}"/>
    <cellStyle name="Normal 493 5" xfId="35174" xr:uid="{00000000-0005-0000-0000-00006D880000}"/>
    <cellStyle name="Normal 493 5 2" xfId="35175" xr:uid="{00000000-0005-0000-0000-00006E880000}"/>
    <cellStyle name="Normal 493 5 2 2" xfId="35176" xr:uid="{00000000-0005-0000-0000-00006F880000}"/>
    <cellStyle name="Normal 493 5 3" xfId="35177" xr:uid="{00000000-0005-0000-0000-000070880000}"/>
    <cellStyle name="Normal 493 6" xfId="35178" xr:uid="{00000000-0005-0000-0000-000071880000}"/>
    <cellStyle name="Normal 494" xfId="35179" xr:uid="{00000000-0005-0000-0000-000072880000}"/>
    <cellStyle name="Normal 494 2" xfId="35180" xr:uid="{00000000-0005-0000-0000-000073880000}"/>
    <cellStyle name="Normal 494 2 2" xfId="35181" xr:uid="{00000000-0005-0000-0000-000074880000}"/>
    <cellStyle name="Normal 494 2 2 2" xfId="35182" xr:uid="{00000000-0005-0000-0000-000075880000}"/>
    <cellStyle name="Normal 494 2 3" xfId="35183" xr:uid="{00000000-0005-0000-0000-000076880000}"/>
    <cellStyle name="Normal 494 2 3 2" xfId="35184" xr:uid="{00000000-0005-0000-0000-000077880000}"/>
    <cellStyle name="Normal 494 2 3 2 2" xfId="35185" xr:uid="{00000000-0005-0000-0000-000078880000}"/>
    <cellStyle name="Normal 494 2 3 3" xfId="35186" xr:uid="{00000000-0005-0000-0000-000079880000}"/>
    <cellStyle name="Normal 494 2 4" xfId="35187" xr:uid="{00000000-0005-0000-0000-00007A880000}"/>
    <cellStyle name="Normal 494 3" xfId="35188" xr:uid="{00000000-0005-0000-0000-00007B880000}"/>
    <cellStyle name="Normal 494 3 2" xfId="35189" xr:uid="{00000000-0005-0000-0000-00007C880000}"/>
    <cellStyle name="Normal 494 3 2 2" xfId="35190" xr:uid="{00000000-0005-0000-0000-00007D880000}"/>
    <cellStyle name="Normal 494 3 3" xfId="35191" xr:uid="{00000000-0005-0000-0000-00007E880000}"/>
    <cellStyle name="Normal 494 4" xfId="35192" xr:uid="{00000000-0005-0000-0000-00007F880000}"/>
    <cellStyle name="Normal 494 4 2" xfId="35193" xr:uid="{00000000-0005-0000-0000-000080880000}"/>
    <cellStyle name="Normal 494 4 2 2" xfId="35194" xr:uid="{00000000-0005-0000-0000-000081880000}"/>
    <cellStyle name="Normal 494 4 3" xfId="35195" xr:uid="{00000000-0005-0000-0000-000082880000}"/>
    <cellStyle name="Normal 494 5" xfId="35196" xr:uid="{00000000-0005-0000-0000-000083880000}"/>
    <cellStyle name="Normal 494 5 2" xfId="35197" xr:uid="{00000000-0005-0000-0000-000084880000}"/>
    <cellStyle name="Normal 494 5 2 2" xfId="35198" xr:uid="{00000000-0005-0000-0000-000085880000}"/>
    <cellStyle name="Normal 494 5 3" xfId="35199" xr:uid="{00000000-0005-0000-0000-000086880000}"/>
    <cellStyle name="Normal 494 6" xfId="35200" xr:uid="{00000000-0005-0000-0000-000087880000}"/>
    <cellStyle name="Normal 495" xfId="35201" xr:uid="{00000000-0005-0000-0000-000088880000}"/>
    <cellStyle name="Normal 495 2" xfId="35202" xr:uid="{00000000-0005-0000-0000-000089880000}"/>
    <cellStyle name="Normal 495 2 2" xfId="35203" xr:uid="{00000000-0005-0000-0000-00008A880000}"/>
    <cellStyle name="Normal 495 2 2 2" xfId="35204" xr:uid="{00000000-0005-0000-0000-00008B880000}"/>
    <cellStyle name="Normal 495 2 3" xfId="35205" xr:uid="{00000000-0005-0000-0000-00008C880000}"/>
    <cellStyle name="Normal 495 2 3 2" xfId="35206" xr:uid="{00000000-0005-0000-0000-00008D880000}"/>
    <cellStyle name="Normal 495 2 3 2 2" xfId="35207" xr:uid="{00000000-0005-0000-0000-00008E880000}"/>
    <cellStyle name="Normal 495 2 3 3" xfId="35208" xr:uid="{00000000-0005-0000-0000-00008F880000}"/>
    <cellStyle name="Normal 495 2 4" xfId="35209" xr:uid="{00000000-0005-0000-0000-000090880000}"/>
    <cellStyle name="Normal 495 3" xfId="35210" xr:uid="{00000000-0005-0000-0000-000091880000}"/>
    <cellStyle name="Normal 495 3 2" xfId="35211" xr:uid="{00000000-0005-0000-0000-000092880000}"/>
    <cellStyle name="Normal 495 3 2 2" xfId="35212" xr:uid="{00000000-0005-0000-0000-000093880000}"/>
    <cellStyle name="Normal 495 3 3" xfId="35213" xr:uid="{00000000-0005-0000-0000-000094880000}"/>
    <cellStyle name="Normal 495 4" xfId="35214" xr:uid="{00000000-0005-0000-0000-000095880000}"/>
    <cellStyle name="Normal 495 4 2" xfId="35215" xr:uid="{00000000-0005-0000-0000-000096880000}"/>
    <cellStyle name="Normal 495 4 2 2" xfId="35216" xr:uid="{00000000-0005-0000-0000-000097880000}"/>
    <cellStyle name="Normal 495 4 3" xfId="35217" xr:uid="{00000000-0005-0000-0000-000098880000}"/>
    <cellStyle name="Normal 495 5" xfId="35218" xr:uid="{00000000-0005-0000-0000-000099880000}"/>
    <cellStyle name="Normal 495 5 2" xfId="35219" xr:uid="{00000000-0005-0000-0000-00009A880000}"/>
    <cellStyle name="Normal 495 5 2 2" xfId="35220" xr:uid="{00000000-0005-0000-0000-00009B880000}"/>
    <cellStyle name="Normal 495 5 3" xfId="35221" xr:uid="{00000000-0005-0000-0000-00009C880000}"/>
    <cellStyle name="Normal 495 6" xfId="35222" xr:uid="{00000000-0005-0000-0000-00009D880000}"/>
    <cellStyle name="Normal 496" xfId="35223" xr:uid="{00000000-0005-0000-0000-00009E880000}"/>
    <cellStyle name="Normal 496 2" xfId="35224" xr:uid="{00000000-0005-0000-0000-00009F880000}"/>
    <cellStyle name="Normal 496 2 2" xfId="35225" xr:uid="{00000000-0005-0000-0000-0000A0880000}"/>
    <cellStyle name="Normal 496 2 2 2" xfId="35226" xr:uid="{00000000-0005-0000-0000-0000A1880000}"/>
    <cellStyle name="Normal 496 2 3" xfId="35227" xr:uid="{00000000-0005-0000-0000-0000A2880000}"/>
    <cellStyle name="Normal 496 2 3 2" xfId="35228" xr:uid="{00000000-0005-0000-0000-0000A3880000}"/>
    <cellStyle name="Normal 496 2 3 2 2" xfId="35229" xr:uid="{00000000-0005-0000-0000-0000A4880000}"/>
    <cellStyle name="Normal 496 2 3 3" xfId="35230" xr:uid="{00000000-0005-0000-0000-0000A5880000}"/>
    <cellStyle name="Normal 496 2 4" xfId="35231" xr:uid="{00000000-0005-0000-0000-0000A6880000}"/>
    <cellStyle name="Normal 496 3" xfId="35232" xr:uid="{00000000-0005-0000-0000-0000A7880000}"/>
    <cellStyle name="Normal 496 3 2" xfId="35233" xr:uid="{00000000-0005-0000-0000-0000A8880000}"/>
    <cellStyle name="Normal 496 3 2 2" xfId="35234" xr:uid="{00000000-0005-0000-0000-0000A9880000}"/>
    <cellStyle name="Normal 496 3 3" xfId="35235" xr:uid="{00000000-0005-0000-0000-0000AA880000}"/>
    <cellStyle name="Normal 496 4" xfId="35236" xr:uid="{00000000-0005-0000-0000-0000AB880000}"/>
    <cellStyle name="Normal 496 4 2" xfId="35237" xr:uid="{00000000-0005-0000-0000-0000AC880000}"/>
    <cellStyle name="Normal 496 4 2 2" xfId="35238" xr:uid="{00000000-0005-0000-0000-0000AD880000}"/>
    <cellStyle name="Normal 496 4 3" xfId="35239" xr:uid="{00000000-0005-0000-0000-0000AE880000}"/>
    <cellStyle name="Normal 496 5" xfId="35240" xr:uid="{00000000-0005-0000-0000-0000AF880000}"/>
    <cellStyle name="Normal 496 5 2" xfId="35241" xr:uid="{00000000-0005-0000-0000-0000B0880000}"/>
    <cellStyle name="Normal 496 5 2 2" xfId="35242" xr:uid="{00000000-0005-0000-0000-0000B1880000}"/>
    <cellStyle name="Normal 496 5 3" xfId="35243" xr:uid="{00000000-0005-0000-0000-0000B2880000}"/>
    <cellStyle name="Normal 496 6" xfId="35244" xr:uid="{00000000-0005-0000-0000-0000B3880000}"/>
    <cellStyle name="Normal 497" xfId="35245" xr:uid="{00000000-0005-0000-0000-0000B4880000}"/>
    <cellStyle name="Normal 497 2" xfId="35246" xr:uid="{00000000-0005-0000-0000-0000B5880000}"/>
    <cellStyle name="Normal 497 2 2" xfId="35247" xr:uid="{00000000-0005-0000-0000-0000B6880000}"/>
    <cellStyle name="Normal 497 2 2 2" xfId="35248" xr:uid="{00000000-0005-0000-0000-0000B7880000}"/>
    <cellStyle name="Normal 497 2 3" xfId="35249" xr:uid="{00000000-0005-0000-0000-0000B8880000}"/>
    <cellStyle name="Normal 497 2 3 2" xfId="35250" xr:uid="{00000000-0005-0000-0000-0000B9880000}"/>
    <cellStyle name="Normal 497 2 3 2 2" xfId="35251" xr:uid="{00000000-0005-0000-0000-0000BA880000}"/>
    <cellStyle name="Normal 497 2 3 3" xfId="35252" xr:uid="{00000000-0005-0000-0000-0000BB880000}"/>
    <cellStyle name="Normal 497 2 4" xfId="35253" xr:uid="{00000000-0005-0000-0000-0000BC880000}"/>
    <cellStyle name="Normal 497 3" xfId="35254" xr:uid="{00000000-0005-0000-0000-0000BD880000}"/>
    <cellStyle name="Normal 497 3 2" xfId="35255" xr:uid="{00000000-0005-0000-0000-0000BE880000}"/>
    <cellStyle name="Normal 497 3 2 2" xfId="35256" xr:uid="{00000000-0005-0000-0000-0000BF880000}"/>
    <cellStyle name="Normal 497 3 3" xfId="35257" xr:uid="{00000000-0005-0000-0000-0000C0880000}"/>
    <cellStyle name="Normal 497 4" xfId="35258" xr:uid="{00000000-0005-0000-0000-0000C1880000}"/>
    <cellStyle name="Normal 497 4 2" xfId="35259" xr:uid="{00000000-0005-0000-0000-0000C2880000}"/>
    <cellStyle name="Normal 497 4 2 2" xfId="35260" xr:uid="{00000000-0005-0000-0000-0000C3880000}"/>
    <cellStyle name="Normal 497 4 3" xfId="35261" xr:uid="{00000000-0005-0000-0000-0000C4880000}"/>
    <cellStyle name="Normal 497 5" xfId="35262" xr:uid="{00000000-0005-0000-0000-0000C5880000}"/>
    <cellStyle name="Normal 497 5 2" xfId="35263" xr:uid="{00000000-0005-0000-0000-0000C6880000}"/>
    <cellStyle name="Normal 497 5 2 2" xfId="35264" xr:uid="{00000000-0005-0000-0000-0000C7880000}"/>
    <cellStyle name="Normal 497 5 3" xfId="35265" xr:uid="{00000000-0005-0000-0000-0000C8880000}"/>
    <cellStyle name="Normal 497 6" xfId="35266" xr:uid="{00000000-0005-0000-0000-0000C9880000}"/>
    <cellStyle name="Normal 498" xfId="35267" xr:uid="{00000000-0005-0000-0000-0000CA880000}"/>
    <cellStyle name="Normal 498 2" xfId="35268" xr:uid="{00000000-0005-0000-0000-0000CB880000}"/>
    <cellStyle name="Normal 498 2 2" xfId="35269" xr:uid="{00000000-0005-0000-0000-0000CC880000}"/>
    <cellStyle name="Normal 498 2 2 2" xfId="35270" xr:uid="{00000000-0005-0000-0000-0000CD880000}"/>
    <cellStyle name="Normal 498 2 3" xfId="35271" xr:uid="{00000000-0005-0000-0000-0000CE880000}"/>
    <cellStyle name="Normal 498 2 3 2" xfId="35272" xr:uid="{00000000-0005-0000-0000-0000CF880000}"/>
    <cellStyle name="Normal 498 2 3 2 2" xfId="35273" xr:uid="{00000000-0005-0000-0000-0000D0880000}"/>
    <cellStyle name="Normal 498 2 3 3" xfId="35274" xr:uid="{00000000-0005-0000-0000-0000D1880000}"/>
    <cellStyle name="Normal 498 2 4" xfId="35275" xr:uid="{00000000-0005-0000-0000-0000D2880000}"/>
    <cellStyle name="Normal 498 3" xfId="35276" xr:uid="{00000000-0005-0000-0000-0000D3880000}"/>
    <cellStyle name="Normal 498 3 2" xfId="35277" xr:uid="{00000000-0005-0000-0000-0000D4880000}"/>
    <cellStyle name="Normal 498 3 2 2" xfId="35278" xr:uid="{00000000-0005-0000-0000-0000D5880000}"/>
    <cellStyle name="Normal 498 3 3" xfId="35279" xr:uid="{00000000-0005-0000-0000-0000D6880000}"/>
    <cellStyle name="Normal 498 4" xfId="35280" xr:uid="{00000000-0005-0000-0000-0000D7880000}"/>
    <cellStyle name="Normal 498 4 2" xfId="35281" xr:uid="{00000000-0005-0000-0000-0000D8880000}"/>
    <cellStyle name="Normal 498 4 2 2" xfId="35282" xr:uid="{00000000-0005-0000-0000-0000D9880000}"/>
    <cellStyle name="Normal 498 4 3" xfId="35283" xr:uid="{00000000-0005-0000-0000-0000DA880000}"/>
    <cellStyle name="Normal 498 5" xfId="35284" xr:uid="{00000000-0005-0000-0000-0000DB880000}"/>
    <cellStyle name="Normal 498 5 2" xfId="35285" xr:uid="{00000000-0005-0000-0000-0000DC880000}"/>
    <cellStyle name="Normal 498 5 2 2" xfId="35286" xr:uid="{00000000-0005-0000-0000-0000DD880000}"/>
    <cellStyle name="Normal 498 5 3" xfId="35287" xr:uid="{00000000-0005-0000-0000-0000DE880000}"/>
    <cellStyle name="Normal 498 6" xfId="35288" xr:uid="{00000000-0005-0000-0000-0000DF880000}"/>
    <cellStyle name="Normal 499" xfId="35289" xr:uid="{00000000-0005-0000-0000-0000E0880000}"/>
    <cellStyle name="Normal 499 2" xfId="35290" xr:uid="{00000000-0005-0000-0000-0000E1880000}"/>
    <cellStyle name="Normal 499 2 2" xfId="35291" xr:uid="{00000000-0005-0000-0000-0000E2880000}"/>
    <cellStyle name="Normal 499 2 2 2" xfId="35292" xr:uid="{00000000-0005-0000-0000-0000E3880000}"/>
    <cellStyle name="Normal 499 2 3" xfId="35293" xr:uid="{00000000-0005-0000-0000-0000E4880000}"/>
    <cellStyle name="Normal 499 2 3 2" xfId="35294" xr:uid="{00000000-0005-0000-0000-0000E5880000}"/>
    <cellStyle name="Normal 499 2 3 2 2" xfId="35295" xr:uid="{00000000-0005-0000-0000-0000E6880000}"/>
    <cellStyle name="Normal 499 2 3 3" xfId="35296" xr:uid="{00000000-0005-0000-0000-0000E7880000}"/>
    <cellStyle name="Normal 499 2 4" xfId="35297" xr:uid="{00000000-0005-0000-0000-0000E8880000}"/>
    <cellStyle name="Normal 499 3" xfId="35298" xr:uid="{00000000-0005-0000-0000-0000E9880000}"/>
    <cellStyle name="Normal 499 3 2" xfId="35299" xr:uid="{00000000-0005-0000-0000-0000EA880000}"/>
    <cellStyle name="Normal 499 3 2 2" xfId="35300" xr:uid="{00000000-0005-0000-0000-0000EB880000}"/>
    <cellStyle name="Normal 499 3 3" xfId="35301" xr:uid="{00000000-0005-0000-0000-0000EC880000}"/>
    <cellStyle name="Normal 499 4" xfId="35302" xr:uid="{00000000-0005-0000-0000-0000ED880000}"/>
    <cellStyle name="Normal 499 4 2" xfId="35303" xr:uid="{00000000-0005-0000-0000-0000EE880000}"/>
    <cellStyle name="Normal 499 4 2 2" xfId="35304" xr:uid="{00000000-0005-0000-0000-0000EF880000}"/>
    <cellStyle name="Normal 499 4 3" xfId="35305" xr:uid="{00000000-0005-0000-0000-0000F0880000}"/>
    <cellStyle name="Normal 499 5" xfId="35306" xr:uid="{00000000-0005-0000-0000-0000F1880000}"/>
    <cellStyle name="Normal 499 5 2" xfId="35307" xr:uid="{00000000-0005-0000-0000-0000F2880000}"/>
    <cellStyle name="Normal 499 5 2 2" xfId="35308" xr:uid="{00000000-0005-0000-0000-0000F3880000}"/>
    <cellStyle name="Normal 499 5 3" xfId="35309" xr:uid="{00000000-0005-0000-0000-0000F4880000}"/>
    <cellStyle name="Normal 499 6" xfId="35310" xr:uid="{00000000-0005-0000-0000-0000F5880000}"/>
    <cellStyle name="Normal 5" xfId="93" xr:uid="{00000000-0005-0000-0000-0000F6880000}"/>
    <cellStyle name="Normal 5 10" xfId="35311" xr:uid="{00000000-0005-0000-0000-0000F7880000}"/>
    <cellStyle name="Normal 5 2" xfId="107" xr:uid="{00000000-0005-0000-0000-0000F8880000}"/>
    <cellStyle name="Normal 5 2 2" xfId="35313" xr:uid="{00000000-0005-0000-0000-0000F9880000}"/>
    <cellStyle name="Normal 5 2 2 2" xfId="35314" xr:uid="{00000000-0005-0000-0000-0000FA880000}"/>
    <cellStyle name="Normal 5 2 2 2 2" xfId="35315" xr:uid="{00000000-0005-0000-0000-0000FB880000}"/>
    <cellStyle name="Normal 5 2 2 3" xfId="35316" xr:uid="{00000000-0005-0000-0000-0000FC880000}"/>
    <cellStyle name="Normal 5 2 2 3 2" xfId="35317" xr:uid="{00000000-0005-0000-0000-0000FD880000}"/>
    <cellStyle name="Normal 5 2 2 3 2 2" xfId="35318" xr:uid="{00000000-0005-0000-0000-0000FE880000}"/>
    <cellStyle name="Normal 5 2 2 3 3" xfId="35319" xr:uid="{00000000-0005-0000-0000-0000FF880000}"/>
    <cellStyle name="Normal 5 2 2 4" xfId="35320" xr:uid="{00000000-0005-0000-0000-000000890000}"/>
    <cellStyle name="Normal 5 2 2 4 2" xfId="35321" xr:uid="{00000000-0005-0000-0000-000001890000}"/>
    <cellStyle name="Normal 5 2 2 4 2 2" xfId="35322" xr:uid="{00000000-0005-0000-0000-000002890000}"/>
    <cellStyle name="Normal 5 2 2 4 3" xfId="35323" xr:uid="{00000000-0005-0000-0000-000003890000}"/>
    <cellStyle name="Normal 5 2 2 5" xfId="35324" xr:uid="{00000000-0005-0000-0000-000004890000}"/>
    <cellStyle name="Normal 5 2 3" xfId="35325" xr:uid="{00000000-0005-0000-0000-000005890000}"/>
    <cellStyle name="Normal 5 2 3 2" xfId="35326" xr:uid="{00000000-0005-0000-0000-000006890000}"/>
    <cellStyle name="Normal 5 2 3 2 2" xfId="35327" xr:uid="{00000000-0005-0000-0000-000007890000}"/>
    <cellStyle name="Normal 5 2 3 2 2 2" xfId="35328" xr:uid="{00000000-0005-0000-0000-000008890000}"/>
    <cellStyle name="Normal 5 2 3 2 3" xfId="35329" xr:uid="{00000000-0005-0000-0000-000009890000}"/>
    <cellStyle name="Normal 5 2 3 2 3 2" xfId="35330" xr:uid="{00000000-0005-0000-0000-00000A890000}"/>
    <cellStyle name="Normal 5 2 3 2 3 2 2" xfId="35331" xr:uid="{00000000-0005-0000-0000-00000B890000}"/>
    <cellStyle name="Normal 5 2 3 2 3 3" xfId="35332" xr:uid="{00000000-0005-0000-0000-00000C890000}"/>
    <cellStyle name="Normal 5 2 3 2 4" xfId="35333" xr:uid="{00000000-0005-0000-0000-00000D890000}"/>
    <cellStyle name="Normal 5 2 3 3" xfId="35334" xr:uid="{00000000-0005-0000-0000-00000E890000}"/>
    <cellStyle name="Normal 5 2 3 3 2" xfId="35335" xr:uid="{00000000-0005-0000-0000-00000F890000}"/>
    <cellStyle name="Normal 5 2 3 3 2 2" xfId="35336" xr:uid="{00000000-0005-0000-0000-000010890000}"/>
    <cellStyle name="Normal 5 2 3 3 3" xfId="35337" xr:uid="{00000000-0005-0000-0000-000011890000}"/>
    <cellStyle name="Normal 5 2 3 4" xfId="35338" xr:uid="{00000000-0005-0000-0000-000012890000}"/>
    <cellStyle name="Normal 5 2 3 4 2" xfId="35339" xr:uid="{00000000-0005-0000-0000-000013890000}"/>
    <cellStyle name="Normal 5 2 3 4 2 2" xfId="35340" xr:uid="{00000000-0005-0000-0000-000014890000}"/>
    <cellStyle name="Normal 5 2 3 4 3" xfId="35341" xr:uid="{00000000-0005-0000-0000-000015890000}"/>
    <cellStyle name="Normal 5 2 3 5" xfId="35342" xr:uid="{00000000-0005-0000-0000-000016890000}"/>
    <cellStyle name="Normal 5 2 3 5 2" xfId="35343" xr:uid="{00000000-0005-0000-0000-000017890000}"/>
    <cellStyle name="Normal 5 2 3 5 2 2" xfId="35344" xr:uid="{00000000-0005-0000-0000-000018890000}"/>
    <cellStyle name="Normal 5 2 3 5 3" xfId="35345" xr:uid="{00000000-0005-0000-0000-000019890000}"/>
    <cellStyle name="Normal 5 2 3 6" xfId="35346" xr:uid="{00000000-0005-0000-0000-00001A890000}"/>
    <cellStyle name="Normal 5 2 4" xfId="35347" xr:uid="{00000000-0005-0000-0000-00001B890000}"/>
    <cellStyle name="Normal 5 2 4 2" xfId="35348" xr:uid="{00000000-0005-0000-0000-00001C890000}"/>
    <cellStyle name="Normal 5 2 4 2 2" xfId="35349" xr:uid="{00000000-0005-0000-0000-00001D890000}"/>
    <cellStyle name="Normal 5 2 4 3" xfId="35350" xr:uid="{00000000-0005-0000-0000-00001E890000}"/>
    <cellStyle name="Normal 5 2 5" xfId="35351" xr:uid="{00000000-0005-0000-0000-00001F890000}"/>
    <cellStyle name="Normal 5 2 5 2" xfId="35352" xr:uid="{00000000-0005-0000-0000-000020890000}"/>
    <cellStyle name="Normal 5 2 5 2 2" xfId="35353" xr:uid="{00000000-0005-0000-0000-000021890000}"/>
    <cellStyle name="Normal 5 2 5 3" xfId="35354" xr:uid="{00000000-0005-0000-0000-000022890000}"/>
    <cellStyle name="Normal 5 2 6" xfId="35355" xr:uid="{00000000-0005-0000-0000-000023890000}"/>
    <cellStyle name="Normal 5 2 6 2" xfId="35356" xr:uid="{00000000-0005-0000-0000-000024890000}"/>
    <cellStyle name="Normal 5 2 6 2 2" xfId="35357" xr:uid="{00000000-0005-0000-0000-000025890000}"/>
    <cellStyle name="Normal 5 2 6 3" xfId="35358" xr:uid="{00000000-0005-0000-0000-000026890000}"/>
    <cellStyle name="Normal 5 2 7" xfId="35359" xr:uid="{00000000-0005-0000-0000-000027890000}"/>
    <cellStyle name="Normal 5 2 8" xfId="35312" xr:uid="{00000000-0005-0000-0000-000028890000}"/>
    <cellStyle name="Normal 5 3" xfId="35360" xr:uid="{00000000-0005-0000-0000-000029890000}"/>
    <cellStyle name="Normal 5 3 2" xfId="35361" xr:uid="{00000000-0005-0000-0000-00002A890000}"/>
    <cellStyle name="Normal 5 3 2 2" xfId="35362" xr:uid="{00000000-0005-0000-0000-00002B890000}"/>
    <cellStyle name="Normal 5 3 2 2 2" xfId="35363" xr:uid="{00000000-0005-0000-0000-00002C890000}"/>
    <cellStyle name="Normal 5 3 2 3" xfId="35364" xr:uid="{00000000-0005-0000-0000-00002D890000}"/>
    <cellStyle name="Normal 5 3 2 3 2" xfId="35365" xr:uid="{00000000-0005-0000-0000-00002E890000}"/>
    <cellStyle name="Normal 5 3 2 3 2 2" xfId="35366" xr:uid="{00000000-0005-0000-0000-00002F890000}"/>
    <cellStyle name="Normal 5 3 2 3 3" xfId="35367" xr:uid="{00000000-0005-0000-0000-000030890000}"/>
    <cellStyle name="Normal 5 3 2 4" xfId="35368" xr:uid="{00000000-0005-0000-0000-000031890000}"/>
    <cellStyle name="Normal 5 3 2 4 2" xfId="35369" xr:uid="{00000000-0005-0000-0000-000032890000}"/>
    <cellStyle name="Normal 5 3 2 4 2 2" xfId="35370" xr:uid="{00000000-0005-0000-0000-000033890000}"/>
    <cellStyle name="Normal 5 3 2 4 3" xfId="35371" xr:uid="{00000000-0005-0000-0000-000034890000}"/>
    <cellStyle name="Normal 5 3 2 5" xfId="35372" xr:uid="{00000000-0005-0000-0000-000035890000}"/>
    <cellStyle name="Normal 5 3 3" xfId="35373" xr:uid="{00000000-0005-0000-0000-000036890000}"/>
    <cellStyle name="Normal 5 3 3 2" xfId="35374" xr:uid="{00000000-0005-0000-0000-000037890000}"/>
    <cellStyle name="Normal 5 3 3 2 2" xfId="35375" xr:uid="{00000000-0005-0000-0000-000038890000}"/>
    <cellStyle name="Normal 5 3 3 3" xfId="35376" xr:uid="{00000000-0005-0000-0000-000039890000}"/>
    <cellStyle name="Normal 5 3 4" xfId="35377" xr:uid="{00000000-0005-0000-0000-00003A890000}"/>
    <cellStyle name="Normal 5 3 4 2" xfId="35378" xr:uid="{00000000-0005-0000-0000-00003B890000}"/>
    <cellStyle name="Normal 5 3 4 2 2" xfId="35379" xr:uid="{00000000-0005-0000-0000-00003C890000}"/>
    <cellStyle name="Normal 5 3 4 3" xfId="35380" xr:uid="{00000000-0005-0000-0000-00003D890000}"/>
    <cellStyle name="Normal 5 3 5" xfId="35381" xr:uid="{00000000-0005-0000-0000-00003E890000}"/>
    <cellStyle name="Normal 5 3 5 2" xfId="35382" xr:uid="{00000000-0005-0000-0000-00003F890000}"/>
    <cellStyle name="Normal 5 3 5 2 2" xfId="35383" xr:uid="{00000000-0005-0000-0000-000040890000}"/>
    <cellStyle name="Normal 5 3 5 3" xfId="35384" xr:uid="{00000000-0005-0000-0000-000041890000}"/>
    <cellStyle name="Normal 5 3 6" xfId="35385" xr:uid="{00000000-0005-0000-0000-000042890000}"/>
    <cellStyle name="Normal 5 4" xfId="35386" xr:uid="{00000000-0005-0000-0000-000043890000}"/>
    <cellStyle name="Normal 5 4 2" xfId="35387" xr:uid="{00000000-0005-0000-0000-000044890000}"/>
    <cellStyle name="Normal 5 4 2 2" xfId="35388" xr:uid="{00000000-0005-0000-0000-000045890000}"/>
    <cellStyle name="Normal 5 4 2 2 2" xfId="35389" xr:uid="{00000000-0005-0000-0000-000046890000}"/>
    <cellStyle name="Normal 5 4 2 3" xfId="35390" xr:uid="{00000000-0005-0000-0000-000047890000}"/>
    <cellStyle name="Normal 5 4 2 3 2" xfId="35391" xr:uid="{00000000-0005-0000-0000-000048890000}"/>
    <cellStyle name="Normal 5 4 2 3 2 2" xfId="35392" xr:uid="{00000000-0005-0000-0000-000049890000}"/>
    <cellStyle name="Normal 5 4 2 3 3" xfId="35393" xr:uid="{00000000-0005-0000-0000-00004A890000}"/>
    <cellStyle name="Normal 5 4 2 4" xfId="35394" xr:uid="{00000000-0005-0000-0000-00004B890000}"/>
    <cellStyle name="Normal 5 4 2 4 2" xfId="35395" xr:uid="{00000000-0005-0000-0000-00004C890000}"/>
    <cellStyle name="Normal 5 4 2 4 2 2" xfId="35396" xr:uid="{00000000-0005-0000-0000-00004D890000}"/>
    <cellStyle name="Normal 5 4 2 4 3" xfId="35397" xr:uid="{00000000-0005-0000-0000-00004E890000}"/>
    <cellStyle name="Normal 5 4 2 5" xfId="35398" xr:uid="{00000000-0005-0000-0000-00004F890000}"/>
    <cellStyle name="Normal 5 4 3" xfId="35399" xr:uid="{00000000-0005-0000-0000-000050890000}"/>
    <cellStyle name="Normal 5 4 3 2" xfId="35400" xr:uid="{00000000-0005-0000-0000-000051890000}"/>
    <cellStyle name="Normal 5 4 3 2 2" xfId="35401" xr:uid="{00000000-0005-0000-0000-000052890000}"/>
    <cellStyle name="Normal 5 4 3 2 2 2" xfId="35402" xr:uid="{00000000-0005-0000-0000-000053890000}"/>
    <cellStyle name="Normal 5 4 3 2 3" xfId="35403" xr:uid="{00000000-0005-0000-0000-000054890000}"/>
    <cellStyle name="Normal 5 4 3 2 3 2" xfId="35404" xr:uid="{00000000-0005-0000-0000-000055890000}"/>
    <cellStyle name="Normal 5 4 3 2 3 2 2" xfId="35405" xr:uid="{00000000-0005-0000-0000-000056890000}"/>
    <cellStyle name="Normal 5 4 3 2 3 3" xfId="35406" xr:uid="{00000000-0005-0000-0000-000057890000}"/>
    <cellStyle name="Normal 5 4 3 2 4" xfId="35407" xr:uid="{00000000-0005-0000-0000-000058890000}"/>
    <cellStyle name="Normal 5 4 3 3" xfId="35408" xr:uid="{00000000-0005-0000-0000-000059890000}"/>
    <cellStyle name="Normal 5 4 3 3 2" xfId="35409" xr:uid="{00000000-0005-0000-0000-00005A890000}"/>
    <cellStyle name="Normal 5 4 3 3 2 2" xfId="35410" xr:uid="{00000000-0005-0000-0000-00005B890000}"/>
    <cellStyle name="Normal 5 4 3 3 3" xfId="35411" xr:uid="{00000000-0005-0000-0000-00005C890000}"/>
    <cellStyle name="Normal 5 4 3 4" xfId="35412" xr:uid="{00000000-0005-0000-0000-00005D890000}"/>
    <cellStyle name="Normal 5 4 3 4 2" xfId="35413" xr:uid="{00000000-0005-0000-0000-00005E890000}"/>
    <cellStyle name="Normal 5 4 3 4 2 2" xfId="35414" xr:uid="{00000000-0005-0000-0000-00005F890000}"/>
    <cellStyle name="Normal 5 4 3 4 3" xfId="35415" xr:uid="{00000000-0005-0000-0000-000060890000}"/>
    <cellStyle name="Normal 5 4 3 5" xfId="35416" xr:uid="{00000000-0005-0000-0000-000061890000}"/>
    <cellStyle name="Normal 5 4 3 5 2" xfId="35417" xr:uid="{00000000-0005-0000-0000-000062890000}"/>
    <cellStyle name="Normal 5 4 3 5 2 2" xfId="35418" xr:uid="{00000000-0005-0000-0000-000063890000}"/>
    <cellStyle name="Normal 5 4 3 5 3" xfId="35419" xr:uid="{00000000-0005-0000-0000-000064890000}"/>
    <cellStyle name="Normal 5 4 3 6" xfId="35420" xr:uid="{00000000-0005-0000-0000-000065890000}"/>
    <cellStyle name="Normal 5 4 4" xfId="35421" xr:uid="{00000000-0005-0000-0000-000066890000}"/>
    <cellStyle name="Normal 5 5" xfId="35422" xr:uid="{00000000-0005-0000-0000-000067890000}"/>
    <cellStyle name="Normal 5 5 2" xfId="35423" xr:uid="{00000000-0005-0000-0000-000068890000}"/>
    <cellStyle name="Normal 5 5 2 2" xfId="35424" xr:uid="{00000000-0005-0000-0000-000069890000}"/>
    <cellStyle name="Normal 5 5 2 2 2" xfId="35425" xr:uid="{00000000-0005-0000-0000-00006A890000}"/>
    <cellStyle name="Normal 5 5 2 2 2 2" xfId="35426" xr:uid="{00000000-0005-0000-0000-00006B890000}"/>
    <cellStyle name="Normal 5 5 2 2 3" xfId="35427" xr:uid="{00000000-0005-0000-0000-00006C890000}"/>
    <cellStyle name="Normal 5 5 2 2 3 2" xfId="35428" xr:uid="{00000000-0005-0000-0000-00006D890000}"/>
    <cellStyle name="Normal 5 5 2 2 3 2 2" xfId="35429" xr:uid="{00000000-0005-0000-0000-00006E890000}"/>
    <cellStyle name="Normal 5 5 2 2 3 3" xfId="35430" xr:uid="{00000000-0005-0000-0000-00006F890000}"/>
    <cellStyle name="Normal 5 5 2 2 4" xfId="35431" xr:uid="{00000000-0005-0000-0000-000070890000}"/>
    <cellStyle name="Normal 5 5 2 3" xfId="35432" xr:uid="{00000000-0005-0000-0000-000071890000}"/>
    <cellStyle name="Normal 5 5 3" xfId="35433" xr:uid="{00000000-0005-0000-0000-000072890000}"/>
    <cellStyle name="Normal 5 5 3 2" xfId="35434" xr:uid="{00000000-0005-0000-0000-000073890000}"/>
    <cellStyle name="Normal 5 5 4" xfId="35435" xr:uid="{00000000-0005-0000-0000-000074890000}"/>
    <cellStyle name="Normal 5 5 4 2" xfId="35436" xr:uid="{00000000-0005-0000-0000-000075890000}"/>
    <cellStyle name="Normal 5 5 4 2 2" xfId="35437" xr:uid="{00000000-0005-0000-0000-000076890000}"/>
    <cellStyle name="Normal 5 5 4 3" xfId="35438" xr:uid="{00000000-0005-0000-0000-000077890000}"/>
    <cellStyle name="Normal 5 5 5" xfId="35439" xr:uid="{00000000-0005-0000-0000-000078890000}"/>
    <cellStyle name="Normal 5 6" xfId="35440" xr:uid="{00000000-0005-0000-0000-000079890000}"/>
    <cellStyle name="Normal 5 6 2" xfId="35441" xr:uid="{00000000-0005-0000-0000-00007A890000}"/>
    <cellStyle name="Normal 5 6 2 2" xfId="35442" xr:uid="{00000000-0005-0000-0000-00007B890000}"/>
    <cellStyle name="Normal 5 6 2 2 2" xfId="35443" xr:uid="{00000000-0005-0000-0000-00007C890000}"/>
    <cellStyle name="Normal 5 6 2 3" xfId="35444" xr:uid="{00000000-0005-0000-0000-00007D890000}"/>
    <cellStyle name="Normal 5 6 2 3 2" xfId="35445" xr:uid="{00000000-0005-0000-0000-00007E890000}"/>
    <cellStyle name="Normal 5 6 2 3 2 2" xfId="35446" xr:uid="{00000000-0005-0000-0000-00007F890000}"/>
    <cellStyle name="Normal 5 6 2 3 3" xfId="35447" xr:uid="{00000000-0005-0000-0000-000080890000}"/>
    <cellStyle name="Normal 5 6 2 4" xfId="35448" xr:uid="{00000000-0005-0000-0000-000081890000}"/>
    <cellStyle name="Normal 5 6 3" xfId="35449" xr:uid="{00000000-0005-0000-0000-000082890000}"/>
    <cellStyle name="Normal 5 6 3 2" xfId="35450" xr:uid="{00000000-0005-0000-0000-000083890000}"/>
    <cellStyle name="Normal 5 6 3 2 2" xfId="35451" xr:uid="{00000000-0005-0000-0000-000084890000}"/>
    <cellStyle name="Normal 5 6 3 3" xfId="35452" xr:uid="{00000000-0005-0000-0000-000085890000}"/>
    <cellStyle name="Normal 5 6 4" xfId="35453" xr:uid="{00000000-0005-0000-0000-000086890000}"/>
    <cellStyle name="Normal 5 6 4 2" xfId="35454" xr:uid="{00000000-0005-0000-0000-000087890000}"/>
    <cellStyle name="Normal 5 6 4 2 2" xfId="35455" xr:uid="{00000000-0005-0000-0000-000088890000}"/>
    <cellStyle name="Normal 5 6 4 3" xfId="35456" xr:uid="{00000000-0005-0000-0000-000089890000}"/>
    <cellStyle name="Normal 5 6 5" xfId="35457" xr:uid="{00000000-0005-0000-0000-00008A890000}"/>
    <cellStyle name="Normal 5 6 5 2" xfId="35458" xr:uid="{00000000-0005-0000-0000-00008B890000}"/>
    <cellStyle name="Normal 5 6 5 2 2" xfId="35459" xr:uid="{00000000-0005-0000-0000-00008C890000}"/>
    <cellStyle name="Normal 5 6 5 3" xfId="35460" xr:uid="{00000000-0005-0000-0000-00008D890000}"/>
    <cellStyle name="Normal 5 6 6" xfId="35461" xr:uid="{00000000-0005-0000-0000-00008E890000}"/>
    <cellStyle name="Normal 5 7" xfId="35462" xr:uid="{00000000-0005-0000-0000-00008F890000}"/>
    <cellStyle name="Normal 5 7 2" xfId="35463" xr:uid="{00000000-0005-0000-0000-000090890000}"/>
    <cellStyle name="Normal 5 8" xfId="35464" xr:uid="{00000000-0005-0000-0000-000091890000}"/>
    <cellStyle name="Normal 5 9" xfId="35465" xr:uid="{00000000-0005-0000-0000-000092890000}"/>
    <cellStyle name="Normal 50" xfId="35466" xr:uid="{00000000-0005-0000-0000-000093890000}"/>
    <cellStyle name="Normal 50 2" xfId="35467" xr:uid="{00000000-0005-0000-0000-000094890000}"/>
    <cellStyle name="Normal 50 2 2" xfId="35468" xr:uid="{00000000-0005-0000-0000-000095890000}"/>
    <cellStyle name="Normal 50 2 2 2" xfId="35469" xr:uid="{00000000-0005-0000-0000-000096890000}"/>
    <cellStyle name="Normal 50 2 2 2 2" xfId="35470" xr:uid="{00000000-0005-0000-0000-000097890000}"/>
    <cellStyle name="Normal 50 2 2 3" xfId="35471" xr:uid="{00000000-0005-0000-0000-000098890000}"/>
    <cellStyle name="Normal 50 2 2 3 2" xfId="35472" xr:uid="{00000000-0005-0000-0000-000099890000}"/>
    <cellStyle name="Normal 50 2 2 3 2 2" xfId="35473" xr:uid="{00000000-0005-0000-0000-00009A890000}"/>
    <cellStyle name="Normal 50 2 2 3 3" xfId="35474" xr:uid="{00000000-0005-0000-0000-00009B890000}"/>
    <cellStyle name="Normal 50 2 2 4" xfId="35475" xr:uid="{00000000-0005-0000-0000-00009C890000}"/>
    <cellStyle name="Normal 50 2 2 4 2" xfId="35476" xr:uid="{00000000-0005-0000-0000-00009D890000}"/>
    <cellStyle name="Normal 50 2 2 4 2 2" xfId="35477" xr:uid="{00000000-0005-0000-0000-00009E890000}"/>
    <cellStyle name="Normal 50 2 2 4 3" xfId="35478" xr:uid="{00000000-0005-0000-0000-00009F890000}"/>
    <cellStyle name="Normal 50 2 2 5" xfId="35479" xr:uid="{00000000-0005-0000-0000-0000A0890000}"/>
    <cellStyle name="Normal 50 2 3" xfId="35480" xr:uid="{00000000-0005-0000-0000-0000A1890000}"/>
    <cellStyle name="Normal 50 2 3 2" xfId="35481" xr:uid="{00000000-0005-0000-0000-0000A2890000}"/>
    <cellStyle name="Normal 50 2 3 2 2" xfId="35482" xr:uid="{00000000-0005-0000-0000-0000A3890000}"/>
    <cellStyle name="Normal 50 2 3 3" xfId="35483" xr:uid="{00000000-0005-0000-0000-0000A4890000}"/>
    <cellStyle name="Normal 50 2 4" xfId="35484" xr:uid="{00000000-0005-0000-0000-0000A5890000}"/>
    <cellStyle name="Normal 50 2 4 2" xfId="35485" xr:uid="{00000000-0005-0000-0000-0000A6890000}"/>
    <cellStyle name="Normal 50 2 4 2 2" xfId="35486" xr:uid="{00000000-0005-0000-0000-0000A7890000}"/>
    <cellStyle name="Normal 50 2 4 3" xfId="35487" xr:uid="{00000000-0005-0000-0000-0000A8890000}"/>
    <cellStyle name="Normal 50 2 5" xfId="35488" xr:uid="{00000000-0005-0000-0000-0000A9890000}"/>
    <cellStyle name="Normal 50 2 5 2" xfId="35489" xr:uid="{00000000-0005-0000-0000-0000AA890000}"/>
    <cellStyle name="Normal 50 2 5 2 2" xfId="35490" xr:uid="{00000000-0005-0000-0000-0000AB890000}"/>
    <cellStyle name="Normal 50 2 5 3" xfId="35491" xr:uid="{00000000-0005-0000-0000-0000AC890000}"/>
    <cellStyle name="Normal 50 2 6" xfId="35492" xr:uid="{00000000-0005-0000-0000-0000AD890000}"/>
    <cellStyle name="Normal 50 3" xfId="35493" xr:uid="{00000000-0005-0000-0000-0000AE890000}"/>
    <cellStyle name="Normal 50 3 2" xfId="35494" xr:uid="{00000000-0005-0000-0000-0000AF890000}"/>
    <cellStyle name="Normal 50 3 2 2" xfId="35495" xr:uid="{00000000-0005-0000-0000-0000B0890000}"/>
    <cellStyle name="Normal 50 3 3" xfId="35496" xr:uid="{00000000-0005-0000-0000-0000B1890000}"/>
    <cellStyle name="Normal 50 3 3 2" xfId="35497" xr:uid="{00000000-0005-0000-0000-0000B2890000}"/>
    <cellStyle name="Normal 50 3 3 2 2" xfId="35498" xr:uid="{00000000-0005-0000-0000-0000B3890000}"/>
    <cellStyle name="Normal 50 3 3 3" xfId="35499" xr:uid="{00000000-0005-0000-0000-0000B4890000}"/>
    <cellStyle name="Normal 50 3 4" xfId="35500" xr:uid="{00000000-0005-0000-0000-0000B5890000}"/>
    <cellStyle name="Normal 50 3 4 2" xfId="35501" xr:uid="{00000000-0005-0000-0000-0000B6890000}"/>
    <cellStyle name="Normal 50 3 4 2 2" xfId="35502" xr:uid="{00000000-0005-0000-0000-0000B7890000}"/>
    <cellStyle name="Normal 50 3 4 3" xfId="35503" xr:uid="{00000000-0005-0000-0000-0000B8890000}"/>
    <cellStyle name="Normal 50 3 5" xfId="35504" xr:uid="{00000000-0005-0000-0000-0000B9890000}"/>
    <cellStyle name="Normal 50 4" xfId="35505" xr:uid="{00000000-0005-0000-0000-0000BA890000}"/>
    <cellStyle name="Normal 50 4 2" xfId="35506" xr:uid="{00000000-0005-0000-0000-0000BB890000}"/>
    <cellStyle name="Normal 50 4 2 2" xfId="35507" xr:uid="{00000000-0005-0000-0000-0000BC890000}"/>
    <cellStyle name="Normal 50 4 3" xfId="35508" xr:uid="{00000000-0005-0000-0000-0000BD890000}"/>
    <cellStyle name="Normal 50 5" xfId="35509" xr:uid="{00000000-0005-0000-0000-0000BE890000}"/>
    <cellStyle name="Normal 50 5 2" xfId="35510" xr:uid="{00000000-0005-0000-0000-0000BF890000}"/>
    <cellStyle name="Normal 50 5 2 2" xfId="35511" xr:uid="{00000000-0005-0000-0000-0000C0890000}"/>
    <cellStyle name="Normal 50 5 3" xfId="35512" xr:uid="{00000000-0005-0000-0000-0000C1890000}"/>
    <cellStyle name="Normal 50 6" xfId="35513" xr:uid="{00000000-0005-0000-0000-0000C2890000}"/>
    <cellStyle name="Normal 50 6 2" xfId="35514" xr:uid="{00000000-0005-0000-0000-0000C3890000}"/>
    <cellStyle name="Normal 50 6 2 2" xfId="35515" xr:uid="{00000000-0005-0000-0000-0000C4890000}"/>
    <cellStyle name="Normal 50 6 3" xfId="35516" xr:uid="{00000000-0005-0000-0000-0000C5890000}"/>
    <cellStyle name="Normal 50 7" xfId="35517" xr:uid="{00000000-0005-0000-0000-0000C6890000}"/>
    <cellStyle name="Normal 500" xfId="35518" xr:uid="{00000000-0005-0000-0000-0000C7890000}"/>
    <cellStyle name="Normal 500 2" xfId="35519" xr:uid="{00000000-0005-0000-0000-0000C8890000}"/>
    <cellStyle name="Normal 500 2 2" xfId="35520" xr:uid="{00000000-0005-0000-0000-0000C9890000}"/>
    <cellStyle name="Normal 500 2 2 2" xfId="35521" xr:uid="{00000000-0005-0000-0000-0000CA890000}"/>
    <cellStyle name="Normal 500 2 3" xfId="35522" xr:uid="{00000000-0005-0000-0000-0000CB890000}"/>
    <cellStyle name="Normal 500 2 3 2" xfId="35523" xr:uid="{00000000-0005-0000-0000-0000CC890000}"/>
    <cellStyle name="Normal 500 2 3 2 2" xfId="35524" xr:uid="{00000000-0005-0000-0000-0000CD890000}"/>
    <cellStyle name="Normal 500 2 3 3" xfId="35525" xr:uid="{00000000-0005-0000-0000-0000CE890000}"/>
    <cellStyle name="Normal 500 2 4" xfId="35526" xr:uid="{00000000-0005-0000-0000-0000CF890000}"/>
    <cellStyle name="Normal 500 3" xfId="35527" xr:uid="{00000000-0005-0000-0000-0000D0890000}"/>
    <cellStyle name="Normal 500 3 2" xfId="35528" xr:uid="{00000000-0005-0000-0000-0000D1890000}"/>
    <cellStyle name="Normal 500 3 2 2" xfId="35529" xr:uid="{00000000-0005-0000-0000-0000D2890000}"/>
    <cellStyle name="Normal 500 3 3" xfId="35530" xr:uid="{00000000-0005-0000-0000-0000D3890000}"/>
    <cellStyle name="Normal 500 4" xfId="35531" xr:uid="{00000000-0005-0000-0000-0000D4890000}"/>
    <cellStyle name="Normal 500 4 2" xfId="35532" xr:uid="{00000000-0005-0000-0000-0000D5890000}"/>
    <cellStyle name="Normal 500 4 2 2" xfId="35533" xr:uid="{00000000-0005-0000-0000-0000D6890000}"/>
    <cellStyle name="Normal 500 4 3" xfId="35534" xr:uid="{00000000-0005-0000-0000-0000D7890000}"/>
    <cellStyle name="Normal 500 5" xfId="35535" xr:uid="{00000000-0005-0000-0000-0000D8890000}"/>
    <cellStyle name="Normal 500 5 2" xfId="35536" xr:uid="{00000000-0005-0000-0000-0000D9890000}"/>
    <cellStyle name="Normal 500 5 2 2" xfId="35537" xr:uid="{00000000-0005-0000-0000-0000DA890000}"/>
    <cellStyle name="Normal 500 5 3" xfId="35538" xr:uid="{00000000-0005-0000-0000-0000DB890000}"/>
    <cellStyle name="Normal 500 6" xfId="35539" xr:uid="{00000000-0005-0000-0000-0000DC890000}"/>
    <cellStyle name="Normal 501" xfId="35540" xr:uid="{00000000-0005-0000-0000-0000DD890000}"/>
    <cellStyle name="Normal 501 2" xfId="35541" xr:uid="{00000000-0005-0000-0000-0000DE890000}"/>
    <cellStyle name="Normal 501 2 2" xfId="35542" xr:uid="{00000000-0005-0000-0000-0000DF890000}"/>
    <cellStyle name="Normal 501 2 2 2" xfId="35543" xr:uid="{00000000-0005-0000-0000-0000E0890000}"/>
    <cellStyle name="Normal 501 2 3" xfId="35544" xr:uid="{00000000-0005-0000-0000-0000E1890000}"/>
    <cellStyle name="Normal 501 2 3 2" xfId="35545" xr:uid="{00000000-0005-0000-0000-0000E2890000}"/>
    <cellStyle name="Normal 501 2 3 2 2" xfId="35546" xr:uid="{00000000-0005-0000-0000-0000E3890000}"/>
    <cellStyle name="Normal 501 2 3 3" xfId="35547" xr:uid="{00000000-0005-0000-0000-0000E4890000}"/>
    <cellStyle name="Normal 501 2 4" xfId="35548" xr:uid="{00000000-0005-0000-0000-0000E5890000}"/>
    <cellStyle name="Normal 501 3" xfId="35549" xr:uid="{00000000-0005-0000-0000-0000E6890000}"/>
    <cellStyle name="Normal 501 3 2" xfId="35550" xr:uid="{00000000-0005-0000-0000-0000E7890000}"/>
    <cellStyle name="Normal 501 3 2 2" xfId="35551" xr:uid="{00000000-0005-0000-0000-0000E8890000}"/>
    <cellStyle name="Normal 501 3 3" xfId="35552" xr:uid="{00000000-0005-0000-0000-0000E9890000}"/>
    <cellStyle name="Normal 501 4" xfId="35553" xr:uid="{00000000-0005-0000-0000-0000EA890000}"/>
    <cellStyle name="Normal 501 4 2" xfId="35554" xr:uid="{00000000-0005-0000-0000-0000EB890000}"/>
    <cellStyle name="Normal 501 4 2 2" xfId="35555" xr:uid="{00000000-0005-0000-0000-0000EC890000}"/>
    <cellStyle name="Normal 501 4 3" xfId="35556" xr:uid="{00000000-0005-0000-0000-0000ED890000}"/>
    <cellStyle name="Normal 501 5" xfId="35557" xr:uid="{00000000-0005-0000-0000-0000EE890000}"/>
    <cellStyle name="Normal 501 5 2" xfId="35558" xr:uid="{00000000-0005-0000-0000-0000EF890000}"/>
    <cellStyle name="Normal 501 5 2 2" xfId="35559" xr:uid="{00000000-0005-0000-0000-0000F0890000}"/>
    <cellStyle name="Normal 501 5 3" xfId="35560" xr:uid="{00000000-0005-0000-0000-0000F1890000}"/>
    <cellStyle name="Normal 501 6" xfId="35561" xr:uid="{00000000-0005-0000-0000-0000F2890000}"/>
    <cellStyle name="Normal 502" xfId="35562" xr:uid="{00000000-0005-0000-0000-0000F3890000}"/>
    <cellStyle name="Normal 502 2" xfId="35563" xr:uid="{00000000-0005-0000-0000-0000F4890000}"/>
    <cellStyle name="Normal 502 2 2" xfId="35564" xr:uid="{00000000-0005-0000-0000-0000F5890000}"/>
    <cellStyle name="Normal 502 2 2 2" xfId="35565" xr:uid="{00000000-0005-0000-0000-0000F6890000}"/>
    <cellStyle name="Normal 502 2 3" xfId="35566" xr:uid="{00000000-0005-0000-0000-0000F7890000}"/>
    <cellStyle name="Normal 502 2 3 2" xfId="35567" xr:uid="{00000000-0005-0000-0000-0000F8890000}"/>
    <cellStyle name="Normal 502 2 3 2 2" xfId="35568" xr:uid="{00000000-0005-0000-0000-0000F9890000}"/>
    <cellStyle name="Normal 502 2 3 3" xfId="35569" xr:uid="{00000000-0005-0000-0000-0000FA890000}"/>
    <cellStyle name="Normal 502 2 4" xfId="35570" xr:uid="{00000000-0005-0000-0000-0000FB890000}"/>
    <cellStyle name="Normal 502 3" xfId="35571" xr:uid="{00000000-0005-0000-0000-0000FC890000}"/>
    <cellStyle name="Normal 502 3 2" xfId="35572" xr:uid="{00000000-0005-0000-0000-0000FD890000}"/>
    <cellStyle name="Normal 502 3 2 2" xfId="35573" xr:uid="{00000000-0005-0000-0000-0000FE890000}"/>
    <cellStyle name="Normal 502 3 3" xfId="35574" xr:uid="{00000000-0005-0000-0000-0000FF890000}"/>
    <cellStyle name="Normal 502 4" xfId="35575" xr:uid="{00000000-0005-0000-0000-0000008A0000}"/>
    <cellStyle name="Normal 502 4 2" xfId="35576" xr:uid="{00000000-0005-0000-0000-0000018A0000}"/>
    <cellStyle name="Normal 502 4 2 2" xfId="35577" xr:uid="{00000000-0005-0000-0000-0000028A0000}"/>
    <cellStyle name="Normal 502 4 3" xfId="35578" xr:uid="{00000000-0005-0000-0000-0000038A0000}"/>
    <cellStyle name="Normal 502 5" xfId="35579" xr:uid="{00000000-0005-0000-0000-0000048A0000}"/>
    <cellStyle name="Normal 502 5 2" xfId="35580" xr:uid="{00000000-0005-0000-0000-0000058A0000}"/>
    <cellStyle name="Normal 502 5 2 2" xfId="35581" xr:uid="{00000000-0005-0000-0000-0000068A0000}"/>
    <cellStyle name="Normal 502 5 3" xfId="35582" xr:uid="{00000000-0005-0000-0000-0000078A0000}"/>
    <cellStyle name="Normal 502 6" xfId="35583" xr:uid="{00000000-0005-0000-0000-0000088A0000}"/>
    <cellStyle name="Normal 503" xfId="35584" xr:uid="{00000000-0005-0000-0000-0000098A0000}"/>
    <cellStyle name="Normal 503 2" xfId="35585" xr:uid="{00000000-0005-0000-0000-00000A8A0000}"/>
    <cellStyle name="Normal 503 2 2" xfId="35586" xr:uid="{00000000-0005-0000-0000-00000B8A0000}"/>
    <cellStyle name="Normal 503 2 2 2" xfId="35587" xr:uid="{00000000-0005-0000-0000-00000C8A0000}"/>
    <cellStyle name="Normal 503 2 3" xfId="35588" xr:uid="{00000000-0005-0000-0000-00000D8A0000}"/>
    <cellStyle name="Normal 503 2 3 2" xfId="35589" xr:uid="{00000000-0005-0000-0000-00000E8A0000}"/>
    <cellStyle name="Normal 503 2 3 2 2" xfId="35590" xr:uid="{00000000-0005-0000-0000-00000F8A0000}"/>
    <cellStyle name="Normal 503 2 3 3" xfId="35591" xr:uid="{00000000-0005-0000-0000-0000108A0000}"/>
    <cellStyle name="Normal 503 2 4" xfId="35592" xr:uid="{00000000-0005-0000-0000-0000118A0000}"/>
    <cellStyle name="Normal 503 3" xfId="35593" xr:uid="{00000000-0005-0000-0000-0000128A0000}"/>
    <cellStyle name="Normal 503 3 2" xfId="35594" xr:uid="{00000000-0005-0000-0000-0000138A0000}"/>
    <cellStyle name="Normal 503 3 2 2" xfId="35595" xr:uid="{00000000-0005-0000-0000-0000148A0000}"/>
    <cellStyle name="Normal 503 3 3" xfId="35596" xr:uid="{00000000-0005-0000-0000-0000158A0000}"/>
    <cellStyle name="Normal 503 4" xfId="35597" xr:uid="{00000000-0005-0000-0000-0000168A0000}"/>
    <cellStyle name="Normal 503 4 2" xfId="35598" xr:uid="{00000000-0005-0000-0000-0000178A0000}"/>
    <cellStyle name="Normal 503 4 2 2" xfId="35599" xr:uid="{00000000-0005-0000-0000-0000188A0000}"/>
    <cellStyle name="Normal 503 4 3" xfId="35600" xr:uid="{00000000-0005-0000-0000-0000198A0000}"/>
    <cellStyle name="Normal 503 5" xfId="35601" xr:uid="{00000000-0005-0000-0000-00001A8A0000}"/>
    <cellStyle name="Normal 503 5 2" xfId="35602" xr:uid="{00000000-0005-0000-0000-00001B8A0000}"/>
    <cellStyle name="Normal 503 5 2 2" xfId="35603" xr:uid="{00000000-0005-0000-0000-00001C8A0000}"/>
    <cellStyle name="Normal 503 5 3" xfId="35604" xr:uid="{00000000-0005-0000-0000-00001D8A0000}"/>
    <cellStyle name="Normal 503 6" xfId="35605" xr:uid="{00000000-0005-0000-0000-00001E8A0000}"/>
    <cellStyle name="Normal 504" xfId="35606" xr:uid="{00000000-0005-0000-0000-00001F8A0000}"/>
    <cellStyle name="Normal 504 2" xfId="35607" xr:uid="{00000000-0005-0000-0000-0000208A0000}"/>
    <cellStyle name="Normal 504 2 2" xfId="35608" xr:uid="{00000000-0005-0000-0000-0000218A0000}"/>
    <cellStyle name="Normal 504 2 2 2" xfId="35609" xr:uid="{00000000-0005-0000-0000-0000228A0000}"/>
    <cellStyle name="Normal 504 2 3" xfId="35610" xr:uid="{00000000-0005-0000-0000-0000238A0000}"/>
    <cellStyle name="Normal 504 2 3 2" xfId="35611" xr:uid="{00000000-0005-0000-0000-0000248A0000}"/>
    <cellStyle name="Normal 504 2 3 2 2" xfId="35612" xr:uid="{00000000-0005-0000-0000-0000258A0000}"/>
    <cellStyle name="Normal 504 2 3 3" xfId="35613" xr:uid="{00000000-0005-0000-0000-0000268A0000}"/>
    <cellStyle name="Normal 504 2 4" xfId="35614" xr:uid="{00000000-0005-0000-0000-0000278A0000}"/>
    <cellStyle name="Normal 504 3" xfId="35615" xr:uid="{00000000-0005-0000-0000-0000288A0000}"/>
    <cellStyle name="Normal 504 3 2" xfId="35616" xr:uid="{00000000-0005-0000-0000-0000298A0000}"/>
    <cellStyle name="Normal 504 3 2 2" xfId="35617" xr:uid="{00000000-0005-0000-0000-00002A8A0000}"/>
    <cellStyle name="Normal 504 3 3" xfId="35618" xr:uid="{00000000-0005-0000-0000-00002B8A0000}"/>
    <cellStyle name="Normal 504 4" xfId="35619" xr:uid="{00000000-0005-0000-0000-00002C8A0000}"/>
    <cellStyle name="Normal 504 4 2" xfId="35620" xr:uid="{00000000-0005-0000-0000-00002D8A0000}"/>
    <cellStyle name="Normal 504 4 2 2" xfId="35621" xr:uid="{00000000-0005-0000-0000-00002E8A0000}"/>
    <cellStyle name="Normal 504 4 3" xfId="35622" xr:uid="{00000000-0005-0000-0000-00002F8A0000}"/>
    <cellStyle name="Normal 504 5" xfId="35623" xr:uid="{00000000-0005-0000-0000-0000308A0000}"/>
    <cellStyle name="Normal 504 5 2" xfId="35624" xr:uid="{00000000-0005-0000-0000-0000318A0000}"/>
    <cellStyle name="Normal 504 5 2 2" xfId="35625" xr:uid="{00000000-0005-0000-0000-0000328A0000}"/>
    <cellStyle name="Normal 504 5 3" xfId="35626" xr:uid="{00000000-0005-0000-0000-0000338A0000}"/>
    <cellStyle name="Normal 504 6" xfId="35627" xr:uid="{00000000-0005-0000-0000-0000348A0000}"/>
    <cellStyle name="Normal 505" xfId="35628" xr:uid="{00000000-0005-0000-0000-0000358A0000}"/>
    <cellStyle name="Normal 505 2" xfId="35629" xr:uid="{00000000-0005-0000-0000-0000368A0000}"/>
    <cellStyle name="Normal 505 2 2" xfId="35630" xr:uid="{00000000-0005-0000-0000-0000378A0000}"/>
    <cellStyle name="Normal 505 2 2 2" xfId="35631" xr:uid="{00000000-0005-0000-0000-0000388A0000}"/>
    <cellStyle name="Normal 505 2 3" xfId="35632" xr:uid="{00000000-0005-0000-0000-0000398A0000}"/>
    <cellStyle name="Normal 505 2 3 2" xfId="35633" xr:uid="{00000000-0005-0000-0000-00003A8A0000}"/>
    <cellStyle name="Normal 505 2 3 2 2" xfId="35634" xr:uid="{00000000-0005-0000-0000-00003B8A0000}"/>
    <cellStyle name="Normal 505 2 3 3" xfId="35635" xr:uid="{00000000-0005-0000-0000-00003C8A0000}"/>
    <cellStyle name="Normal 505 2 4" xfId="35636" xr:uid="{00000000-0005-0000-0000-00003D8A0000}"/>
    <cellStyle name="Normal 505 3" xfId="35637" xr:uid="{00000000-0005-0000-0000-00003E8A0000}"/>
    <cellStyle name="Normal 505 3 2" xfId="35638" xr:uid="{00000000-0005-0000-0000-00003F8A0000}"/>
    <cellStyle name="Normal 505 3 2 2" xfId="35639" xr:uid="{00000000-0005-0000-0000-0000408A0000}"/>
    <cellStyle name="Normal 505 3 3" xfId="35640" xr:uid="{00000000-0005-0000-0000-0000418A0000}"/>
    <cellStyle name="Normal 505 4" xfId="35641" xr:uid="{00000000-0005-0000-0000-0000428A0000}"/>
    <cellStyle name="Normal 505 4 2" xfId="35642" xr:uid="{00000000-0005-0000-0000-0000438A0000}"/>
    <cellStyle name="Normal 505 4 2 2" xfId="35643" xr:uid="{00000000-0005-0000-0000-0000448A0000}"/>
    <cellStyle name="Normal 505 4 3" xfId="35644" xr:uid="{00000000-0005-0000-0000-0000458A0000}"/>
    <cellStyle name="Normal 505 5" xfId="35645" xr:uid="{00000000-0005-0000-0000-0000468A0000}"/>
    <cellStyle name="Normal 505 5 2" xfId="35646" xr:uid="{00000000-0005-0000-0000-0000478A0000}"/>
    <cellStyle name="Normal 505 5 2 2" xfId="35647" xr:uid="{00000000-0005-0000-0000-0000488A0000}"/>
    <cellStyle name="Normal 505 5 3" xfId="35648" xr:uid="{00000000-0005-0000-0000-0000498A0000}"/>
    <cellStyle name="Normal 505 6" xfId="35649" xr:uid="{00000000-0005-0000-0000-00004A8A0000}"/>
    <cellStyle name="Normal 506" xfId="35650" xr:uid="{00000000-0005-0000-0000-00004B8A0000}"/>
    <cellStyle name="Normal 506 2" xfId="35651" xr:uid="{00000000-0005-0000-0000-00004C8A0000}"/>
    <cellStyle name="Normal 506 2 2" xfId="35652" xr:uid="{00000000-0005-0000-0000-00004D8A0000}"/>
    <cellStyle name="Normal 506 2 2 2" xfId="35653" xr:uid="{00000000-0005-0000-0000-00004E8A0000}"/>
    <cellStyle name="Normal 506 2 3" xfId="35654" xr:uid="{00000000-0005-0000-0000-00004F8A0000}"/>
    <cellStyle name="Normal 506 2 3 2" xfId="35655" xr:uid="{00000000-0005-0000-0000-0000508A0000}"/>
    <cellStyle name="Normal 506 2 3 2 2" xfId="35656" xr:uid="{00000000-0005-0000-0000-0000518A0000}"/>
    <cellStyle name="Normal 506 2 3 3" xfId="35657" xr:uid="{00000000-0005-0000-0000-0000528A0000}"/>
    <cellStyle name="Normal 506 2 4" xfId="35658" xr:uid="{00000000-0005-0000-0000-0000538A0000}"/>
    <cellStyle name="Normal 506 3" xfId="35659" xr:uid="{00000000-0005-0000-0000-0000548A0000}"/>
    <cellStyle name="Normal 506 3 2" xfId="35660" xr:uid="{00000000-0005-0000-0000-0000558A0000}"/>
    <cellStyle name="Normal 506 3 2 2" xfId="35661" xr:uid="{00000000-0005-0000-0000-0000568A0000}"/>
    <cellStyle name="Normal 506 3 3" xfId="35662" xr:uid="{00000000-0005-0000-0000-0000578A0000}"/>
    <cellStyle name="Normal 506 4" xfId="35663" xr:uid="{00000000-0005-0000-0000-0000588A0000}"/>
    <cellStyle name="Normal 506 4 2" xfId="35664" xr:uid="{00000000-0005-0000-0000-0000598A0000}"/>
    <cellStyle name="Normal 506 4 2 2" xfId="35665" xr:uid="{00000000-0005-0000-0000-00005A8A0000}"/>
    <cellStyle name="Normal 506 4 3" xfId="35666" xr:uid="{00000000-0005-0000-0000-00005B8A0000}"/>
    <cellStyle name="Normal 506 5" xfId="35667" xr:uid="{00000000-0005-0000-0000-00005C8A0000}"/>
    <cellStyle name="Normal 506 5 2" xfId="35668" xr:uid="{00000000-0005-0000-0000-00005D8A0000}"/>
    <cellStyle name="Normal 506 5 2 2" xfId="35669" xr:uid="{00000000-0005-0000-0000-00005E8A0000}"/>
    <cellStyle name="Normal 506 5 3" xfId="35670" xr:uid="{00000000-0005-0000-0000-00005F8A0000}"/>
    <cellStyle name="Normal 506 6" xfId="35671" xr:uid="{00000000-0005-0000-0000-0000608A0000}"/>
    <cellStyle name="Normal 507" xfId="35672" xr:uid="{00000000-0005-0000-0000-0000618A0000}"/>
    <cellStyle name="Normal 507 2" xfId="35673" xr:uid="{00000000-0005-0000-0000-0000628A0000}"/>
    <cellStyle name="Normal 507 2 2" xfId="35674" xr:uid="{00000000-0005-0000-0000-0000638A0000}"/>
    <cellStyle name="Normal 507 2 2 2" xfId="35675" xr:uid="{00000000-0005-0000-0000-0000648A0000}"/>
    <cellStyle name="Normal 507 2 3" xfId="35676" xr:uid="{00000000-0005-0000-0000-0000658A0000}"/>
    <cellStyle name="Normal 507 2 3 2" xfId="35677" xr:uid="{00000000-0005-0000-0000-0000668A0000}"/>
    <cellStyle name="Normal 507 2 3 2 2" xfId="35678" xr:uid="{00000000-0005-0000-0000-0000678A0000}"/>
    <cellStyle name="Normal 507 2 3 3" xfId="35679" xr:uid="{00000000-0005-0000-0000-0000688A0000}"/>
    <cellStyle name="Normal 507 2 4" xfId="35680" xr:uid="{00000000-0005-0000-0000-0000698A0000}"/>
    <cellStyle name="Normal 507 3" xfId="35681" xr:uid="{00000000-0005-0000-0000-00006A8A0000}"/>
    <cellStyle name="Normal 507 3 2" xfId="35682" xr:uid="{00000000-0005-0000-0000-00006B8A0000}"/>
    <cellStyle name="Normal 507 3 2 2" xfId="35683" xr:uid="{00000000-0005-0000-0000-00006C8A0000}"/>
    <cellStyle name="Normal 507 3 3" xfId="35684" xr:uid="{00000000-0005-0000-0000-00006D8A0000}"/>
    <cellStyle name="Normal 507 4" xfId="35685" xr:uid="{00000000-0005-0000-0000-00006E8A0000}"/>
    <cellStyle name="Normal 507 4 2" xfId="35686" xr:uid="{00000000-0005-0000-0000-00006F8A0000}"/>
    <cellStyle name="Normal 507 4 2 2" xfId="35687" xr:uid="{00000000-0005-0000-0000-0000708A0000}"/>
    <cellStyle name="Normal 507 4 3" xfId="35688" xr:uid="{00000000-0005-0000-0000-0000718A0000}"/>
    <cellStyle name="Normal 507 5" xfId="35689" xr:uid="{00000000-0005-0000-0000-0000728A0000}"/>
    <cellStyle name="Normal 507 5 2" xfId="35690" xr:uid="{00000000-0005-0000-0000-0000738A0000}"/>
    <cellStyle name="Normal 507 5 2 2" xfId="35691" xr:uid="{00000000-0005-0000-0000-0000748A0000}"/>
    <cellStyle name="Normal 507 5 3" xfId="35692" xr:uid="{00000000-0005-0000-0000-0000758A0000}"/>
    <cellStyle name="Normal 507 6" xfId="35693" xr:uid="{00000000-0005-0000-0000-0000768A0000}"/>
    <cellStyle name="Normal 508" xfId="35694" xr:uid="{00000000-0005-0000-0000-0000778A0000}"/>
    <cellStyle name="Normal 508 2" xfId="35695" xr:uid="{00000000-0005-0000-0000-0000788A0000}"/>
    <cellStyle name="Normal 508 2 2" xfId="35696" xr:uid="{00000000-0005-0000-0000-0000798A0000}"/>
    <cellStyle name="Normal 508 2 2 2" xfId="35697" xr:uid="{00000000-0005-0000-0000-00007A8A0000}"/>
    <cellStyle name="Normal 508 2 3" xfId="35698" xr:uid="{00000000-0005-0000-0000-00007B8A0000}"/>
    <cellStyle name="Normal 508 2 3 2" xfId="35699" xr:uid="{00000000-0005-0000-0000-00007C8A0000}"/>
    <cellStyle name="Normal 508 2 3 2 2" xfId="35700" xr:uid="{00000000-0005-0000-0000-00007D8A0000}"/>
    <cellStyle name="Normal 508 2 3 3" xfId="35701" xr:uid="{00000000-0005-0000-0000-00007E8A0000}"/>
    <cellStyle name="Normal 508 2 4" xfId="35702" xr:uid="{00000000-0005-0000-0000-00007F8A0000}"/>
    <cellStyle name="Normal 508 3" xfId="35703" xr:uid="{00000000-0005-0000-0000-0000808A0000}"/>
    <cellStyle name="Normal 508 3 2" xfId="35704" xr:uid="{00000000-0005-0000-0000-0000818A0000}"/>
    <cellStyle name="Normal 508 3 2 2" xfId="35705" xr:uid="{00000000-0005-0000-0000-0000828A0000}"/>
    <cellStyle name="Normal 508 3 3" xfId="35706" xr:uid="{00000000-0005-0000-0000-0000838A0000}"/>
    <cellStyle name="Normal 508 4" xfId="35707" xr:uid="{00000000-0005-0000-0000-0000848A0000}"/>
    <cellStyle name="Normal 508 4 2" xfId="35708" xr:uid="{00000000-0005-0000-0000-0000858A0000}"/>
    <cellStyle name="Normal 508 4 2 2" xfId="35709" xr:uid="{00000000-0005-0000-0000-0000868A0000}"/>
    <cellStyle name="Normal 508 4 3" xfId="35710" xr:uid="{00000000-0005-0000-0000-0000878A0000}"/>
    <cellStyle name="Normal 508 5" xfId="35711" xr:uid="{00000000-0005-0000-0000-0000888A0000}"/>
    <cellStyle name="Normal 508 5 2" xfId="35712" xr:uid="{00000000-0005-0000-0000-0000898A0000}"/>
    <cellStyle name="Normal 508 5 2 2" xfId="35713" xr:uid="{00000000-0005-0000-0000-00008A8A0000}"/>
    <cellStyle name="Normal 508 5 3" xfId="35714" xr:uid="{00000000-0005-0000-0000-00008B8A0000}"/>
    <cellStyle name="Normal 508 6" xfId="35715" xr:uid="{00000000-0005-0000-0000-00008C8A0000}"/>
    <cellStyle name="Normal 509" xfId="35716" xr:uid="{00000000-0005-0000-0000-00008D8A0000}"/>
    <cellStyle name="Normal 509 2" xfId="35717" xr:uid="{00000000-0005-0000-0000-00008E8A0000}"/>
    <cellStyle name="Normal 509 2 2" xfId="35718" xr:uid="{00000000-0005-0000-0000-00008F8A0000}"/>
    <cellStyle name="Normal 509 2 2 2" xfId="35719" xr:uid="{00000000-0005-0000-0000-0000908A0000}"/>
    <cellStyle name="Normal 509 2 3" xfId="35720" xr:uid="{00000000-0005-0000-0000-0000918A0000}"/>
    <cellStyle name="Normal 509 2 3 2" xfId="35721" xr:uid="{00000000-0005-0000-0000-0000928A0000}"/>
    <cellStyle name="Normal 509 2 3 2 2" xfId="35722" xr:uid="{00000000-0005-0000-0000-0000938A0000}"/>
    <cellStyle name="Normal 509 2 3 3" xfId="35723" xr:uid="{00000000-0005-0000-0000-0000948A0000}"/>
    <cellStyle name="Normal 509 2 4" xfId="35724" xr:uid="{00000000-0005-0000-0000-0000958A0000}"/>
    <cellStyle name="Normal 509 3" xfId="35725" xr:uid="{00000000-0005-0000-0000-0000968A0000}"/>
    <cellStyle name="Normal 509 3 2" xfId="35726" xr:uid="{00000000-0005-0000-0000-0000978A0000}"/>
    <cellStyle name="Normal 509 3 2 2" xfId="35727" xr:uid="{00000000-0005-0000-0000-0000988A0000}"/>
    <cellStyle name="Normal 509 3 3" xfId="35728" xr:uid="{00000000-0005-0000-0000-0000998A0000}"/>
    <cellStyle name="Normal 509 4" xfId="35729" xr:uid="{00000000-0005-0000-0000-00009A8A0000}"/>
    <cellStyle name="Normal 509 4 2" xfId="35730" xr:uid="{00000000-0005-0000-0000-00009B8A0000}"/>
    <cellStyle name="Normal 509 4 2 2" xfId="35731" xr:uid="{00000000-0005-0000-0000-00009C8A0000}"/>
    <cellStyle name="Normal 509 4 3" xfId="35732" xr:uid="{00000000-0005-0000-0000-00009D8A0000}"/>
    <cellStyle name="Normal 509 5" xfId="35733" xr:uid="{00000000-0005-0000-0000-00009E8A0000}"/>
    <cellStyle name="Normal 509 5 2" xfId="35734" xr:uid="{00000000-0005-0000-0000-00009F8A0000}"/>
    <cellStyle name="Normal 509 5 2 2" xfId="35735" xr:uid="{00000000-0005-0000-0000-0000A08A0000}"/>
    <cellStyle name="Normal 509 5 3" xfId="35736" xr:uid="{00000000-0005-0000-0000-0000A18A0000}"/>
    <cellStyle name="Normal 509 6" xfId="35737" xr:uid="{00000000-0005-0000-0000-0000A28A0000}"/>
    <cellStyle name="Normal 51" xfId="35738" xr:uid="{00000000-0005-0000-0000-0000A38A0000}"/>
    <cellStyle name="Normal 51 2" xfId="35739" xr:uid="{00000000-0005-0000-0000-0000A48A0000}"/>
    <cellStyle name="Normal 51 2 2" xfId="35740" xr:uid="{00000000-0005-0000-0000-0000A58A0000}"/>
    <cellStyle name="Normal 51 2 2 2" xfId="35741" xr:uid="{00000000-0005-0000-0000-0000A68A0000}"/>
    <cellStyle name="Normal 51 2 2 2 2" xfId="35742" xr:uid="{00000000-0005-0000-0000-0000A78A0000}"/>
    <cellStyle name="Normal 51 2 2 3" xfId="35743" xr:uid="{00000000-0005-0000-0000-0000A88A0000}"/>
    <cellStyle name="Normal 51 2 2 3 2" xfId="35744" xr:uid="{00000000-0005-0000-0000-0000A98A0000}"/>
    <cellStyle name="Normal 51 2 2 3 2 2" xfId="35745" xr:uid="{00000000-0005-0000-0000-0000AA8A0000}"/>
    <cellStyle name="Normal 51 2 2 3 3" xfId="35746" xr:uid="{00000000-0005-0000-0000-0000AB8A0000}"/>
    <cellStyle name="Normal 51 2 2 4" xfId="35747" xr:uid="{00000000-0005-0000-0000-0000AC8A0000}"/>
    <cellStyle name="Normal 51 2 2 4 2" xfId="35748" xr:uid="{00000000-0005-0000-0000-0000AD8A0000}"/>
    <cellStyle name="Normal 51 2 2 4 2 2" xfId="35749" xr:uid="{00000000-0005-0000-0000-0000AE8A0000}"/>
    <cellStyle name="Normal 51 2 2 4 3" xfId="35750" xr:uid="{00000000-0005-0000-0000-0000AF8A0000}"/>
    <cellStyle name="Normal 51 2 2 5" xfId="35751" xr:uid="{00000000-0005-0000-0000-0000B08A0000}"/>
    <cellStyle name="Normal 51 2 3" xfId="35752" xr:uid="{00000000-0005-0000-0000-0000B18A0000}"/>
    <cellStyle name="Normal 51 2 3 2" xfId="35753" xr:uid="{00000000-0005-0000-0000-0000B28A0000}"/>
    <cellStyle name="Normal 51 2 3 2 2" xfId="35754" xr:uid="{00000000-0005-0000-0000-0000B38A0000}"/>
    <cellStyle name="Normal 51 2 3 3" xfId="35755" xr:uid="{00000000-0005-0000-0000-0000B48A0000}"/>
    <cellStyle name="Normal 51 2 4" xfId="35756" xr:uid="{00000000-0005-0000-0000-0000B58A0000}"/>
    <cellStyle name="Normal 51 2 4 2" xfId="35757" xr:uid="{00000000-0005-0000-0000-0000B68A0000}"/>
    <cellStyle name="Normal 51 2 4 2 2" xfId="35758" xr:uid="{00000000-0005-0000-0000-0000B78A0000}"/>
    <cellStyle name="Normal 51 2 4 3" xfId="35759" xr:uid="{00000000-0005-0000-0000-0000B88A0000}"/>
    <cellStyle name="Normal 51 2 5" xfId="35760" xr:uid="{00000000-0005-0000-0000-0000B98A0000}"/>
    <cellStyle name="Normal 51 2 5 2" xfId="35761" xr:uid="{00000000-0005-0000-0000-0000BA8A0000}"/>
    <cellStyle name="Normal 51 2 5 2 2" xfId="35762" xr:uid="{00000000-0005-0000-0000-0000BB8A0000}"/>
    <cellStyle name="Normal 51 2 5 3" xfId="35763" xr:uid="{00000000-0005-0000-0000-0000BC8A0000}"/>
    <cellStyle name="Normal 51 2 6" xfId="35764" xr:uid="{00000000-0005-0000-0000-0000BD8A0000}"/>
    <cellStyle name="Normal 51 3" xfId="35765" xr:uid="{00000000-0005-0000-0000-0000BE8A0000}"/>
    <cellStyle name="Normal 51 3 2" xfId="35766" xr:uid="{00000000-0005-0000-0000-0000BF8A0000}"/>
    <cellStyle name="Normal 51 3 2 2" xfId="35767" xr:uid="{00000000-0005-0000-0000-0000C08A0000}"/>
    <cellStyle name="Normal 51 3 3" xfId="35768" xr:uid="{00000000-0005-0000-0000-0000C18A0000}"/>
    <cellStyle name="Normal 51 3 3 2" xfId="35769" xr:uid="{00000000-0005-0000-0000-0000C28A0000}"/>
    <cellStyle name="Normal 51 3 3 2 2" xfId="35770" xr:uid="{00000000-0005-0000-0000-0000C38A0000}"/>
    <cellStyle name="Normal 51 3 3 3" xfId="35771" xr:uid="{00000000-0005-0000-0000-0000C48A0000}"/>
    <cellStyle name="Normal 51 3 4" xfId="35772" xr:uid="{00000000-0005-0000-0000-0000C58A0000}"/>
    <cellStyle name="Normal 51 3 4 2" xfId="35773" xr:uid="{00000000-0005-0000-0000-0000C68A0000}"/>
    <cellStyle name="Normal 51 3 4 2 2" xfId="35774" xr:uid="{00000000-0005-0000-0000-0000C78A0000}"/>
    <cellStyle name="Normal 51 3 4 3" xfId="35775" xr:uid="{00000000-0005-0000-0000-0000C88A0000}"/>
    <cellStyle name="Normal 51 3 5" xfId="35776" xr:uid="{00000000-0005-0000-0000-0000C98A0000}"/>
    <cellStyle name="Normal 51 4" xfId="35777" xr:uid="{00000000-0005-0000-0000-0000CA8A0000}"/>
    <cellStyle name="Normal 51 4 2" xfId="35778" xr:uid="{00000000-0005-0000-0000-0000CB8A0000}"/>
    <cellStyle name="Normal 51 4 2 2" xfId="35779" xr:uid="{00000000-0005-0000-0000-0000CC8A0000}"/>
    <cellStyle name="Normal 51 4 3" xfId="35780" xr:uid="{00000000-0005-0000-0000-0000CD8A0000}"/>
    <cellStyle name="Normal 51 5" xfId="35781" xr:uid="{00000000-0005-0000-0000-0000CE8A0000}"/>
    <cellStyle name="Normal 51 5 2" xfId="35782" xr:uid="{00000000-0005-0000-0000-0000CF8A0000}"/>
    <cellStyle name="Normal 51 5 2 2" xfId="35783" xr:uid="{00000000-0005-0000-0000-0000D08A0000}"/>
    <cellStyle name="Normal 51 5 3" xfId="35784" xr:uid="{00000000-0005-0000-0000-0000D18A0000}"/>
    <cellStyle name="Normal 51 6" xfId="35785" xr:uid="{00000000-0005-0000-0000-0000D28A0000}"/>
    <cellStyle name="Normal 51 6 2" xfId="35786" xr:uid="{00000000-0005-0000-0000-0000D38A0000}"/>
    <cellStyle name="Normal 51 6 2 2" xfId="35787" xr:uid="{00000000-0005-0000-0000-0000D48A0000}"/>
    <cellStyle name="Normal 51 6 3" xfId="35788" xr:uid="{00000000-0005-0000-0000-0000D58A0000}"/>
    <cellStyle name="Normal 51 7" xfId="35789" xr:uid="{00000000-0005-0000-0000-0000D68A0000}"/>
    <cellStyle name="Normal 510" xfId="35790" xr:uid="{00000000-0005-0000-0000-0000D78A0000}"/>
    <cellStyle name="Normal 510 2" xfId="35791" xr:uid="{00000000-0005-0000-0000-0000D88A0000}"/>
    <cellStyle name="Normal 510 2 2" xfId="35792" xr:uid="{00000000-0005-0000-0000-0000D98A0000}"/>
    <cellStyle name="Normal 510 2 2 2" xfId="35793" xr:uid="{00000000-0005-0000-0000-0000DA8A0000}"/>
    <cellStyle name="Normal 510 2 3" xfId="35794" xr:uid="{00000000-0005-0000-0000-0000DB8A0000}"/>
    <cellStyle name="Normal 510 2 3 2" xfId="35795" xr:uid="{00000000-0005-0000-0000-0000DC8A0000}"/>
    <cellStyle name="Normal 510 2 3 2 2" xfId="35796" xr:uid="{00000000-0005-0000-0000-0000DD8A0000}"/>
    <cellStyle name="Normal 510 2 3 3" xfId="35797" xr:uid="{00000000-0005-0000-0000-0000DE8A0000}"/>
    <cellStyle name="Normal 510 2 4" xfId="35798" xr:uid="{00000000-0005-0000-0000-0000DF8A0000}"/>
    <cellStyle name="Normal 510 3" xfId="35799" xr:uid="{00000000-0005-0000-0000-0000E08A0000}"/>
    <cellStyle name="Normal 510 3 2" xfId="35800" xr:uid="{00000000-0005-0000-0000-0000E18A0000}"/>
    <cellStyle name="Normal 510 3 2 2" xfId="35801" xr:uid="{00000000-0005-0000-0000-0000E28A0000}"/>
    <cellStyle name="Normal 510 3 3" xfId="35802" xr:uid="{00000000-0005-0000-0000-0000E38A0000}"/>
    <cellStyle name="Normal 510 4" xfId="35803" xr:uid="{00000000-0005-0000-0000-0000E48A0000}"/>
    <cellStyle name="Normal 510 4 2" xfId="35804" xr:uid="{00000000-0005-0000-0000-0000E58A0000}"/>
    <cellStyle name="Normal 510 4 2 2" xfId="35805" xr:uid="{00000000-0005-0000-0000-0000E68A0000}"/>
    <cellStyle name="Normal 510 4 3" xfId="35806" xr:uid="{00000000-0005-0000-0000-0000E78A0000}"/>
    <cellStyle name="Normal 510 5" xfId="35807" xr:uid="{00000000-0005-0000-0000-0000E88A0000}"/>
    <cellStyle name="Normal 510 5 2" xfId="35808" xr:uid="{00000000-0005-0000-0000-0000E98A0000}"/>
    <cellStyle name="Normal 510 5 2 2" xfId="35809" xr:uid="{00000000-0005-0000-0000-0000EA8A0000}"/>
    <cellStyle name="Normal 510 5 3" xfId="35810" xr:uid="{00000000-0005-0000-0000-0000EB8A0000}"/>
    <cellStyle name="Normal 510 6" xfId="35811" xr:uid="{00000000-0005-0000-0000-0000EC8A0000}"/>
    <cellStyle name="Normal 511" xfId="35812" xr:uid="{00000000-0005-0000-0000-0000ED8A0000}"/>
    <cellStyle name="Normal 511 2" xfId="35813" xr:uid="{00000000-0005-0000-0000-0000EE8A0000}"/>
    <cellStyle name="Normal 511 2 2" xfId="35814" xr:uid="{00000000-0005-0000-0000-0000EF8A0000}"/>
    <cellStyle name="Normal 511 2 2 2" xfId="35815" xr:uid="{00000000-0005-0000-0000-0000F08A0000}"/>
    <cellStyle name="Normal 511 2 3" xfId="35816" xr:uid="{00000000-0005-0000-0000-0000F18A0000}"/>
    <cellStyle name="Normal 511 2 3 2" xfId="35817" xr:uid="{00000000-0005-0000-0000-0000F28A0000}"/>
    <cellStyle name="Normal 511 2 3 2 2" xfId="35818" xr:uid="{00000000-0005-0000-0000-0000F38A0000}"/>
    <cellStyle name="Normal 511 2 3 3" xfId="35819" xr:uid="{00000000-0005-0000-0000-0000F48A0000}"/>
    <cellStyle name="Normal 511 2 4" xfId="35820" xr:uid="{00000000-0005-0000-0000-0000F58A0000}"/>
    <cellStyle name="Normal 511 3" xfId="35821" xr:uid="{00000000-0005-0000-0000-0000F68A0000}"/>
    <cellStyle name="Normal 511 3 2" xfId="35822" xr:uid="{00000000-0005-0000-0000-0000F78A0000}"/>
    <cellStyle name="Normal 511 3 2 2" xfId="35823" xr:uid="{00000000-0005-0000-0000-0000F88A0000}"/>
    <cellStyle name="Normal 511 3 3" xfId="35824" xr:uid="{00000000-0005-0000-0000-0000F98A0000}"/>
    <cellStyle name="Normal 511 4" xfId="35825" xr:uid="{00000000-0005-0000-0000-0000FA8A0000}"/>
    <cellStyle name="Normal 511 4 2" xfId="35826" xr:uid="{00000000-0005-0000-0000-0000FB8A0000}"/>
    <cellStyle name="Normal 511 4 2 2" xfId="35827" xr:uid="{00000000-0005-0000-0000-0000FC8A0000}"/>
    <cellStyle name="Normal 511 4 3" xfId="35828" xr:uid="{00000000-0005-0000-0000-0000FD8A0000}"/>
    <cellStyle name="Normal 511 5" xfId="35829" xr:uid="{00000000-0005-0000-0000-0000FE8A0000}"/>
    <cellStyle name="Normal 511 5 2" xfId="35830" xr:uid="{00000000-0005-0000-0000-0000FF8A0000}"/>
    <cellStyle name="Normal 511 5 2 2" xfId="35831" xr:uid="{00000000-0005-0000-0000-0000008B0000}"/>
    <cellStyle name="Normal 511 5 3" xfId="35832" xr:uid="{00000000-0005-0000-0000-0000018B0000}"/>
    <cellStyle name="Normal 511 6" xfId="35833" xr:uid="{00000000-0005-0000-0000-0000028B0000}"/>
    <cellStyle name="Normal 512" xfId="35834" xr:uid="{00000000-0005-0000-0000-0000038B0000}"/>
    <cellStyle name="Normal 512 2" xfId="35835" xr:uid="{00000000-0005-0000-0000-0000048B0000}"/>
    <cellStyle name="Normal 512 2 2" xfId="35836" xr:uid="{00000000-0005-0000-0000-0000058B0000}"/>
    <cellStyle name="Normal 512 2 2 2" xfId="35837" xr:uid="{00000000-0005-0000-0000-0000068B0000}"/>
    <cellStyle name="Normal 512 2 3" xfId="35838" xr:uid="{00000000-0005-0000-0000-0000078B0000}"/>
    <cellStyle name="Normal 512 2 3 2" xfId="35839" xr:uid="{00000000-0005-0000-0000-0000088B0000}"/>
    <cellStyle name="Normal 512 2 3 2 2" xfId="35840" xr:uid="{00000000-0005-0000-0000-0000098B0000}"/>
    <cellStyle name="Normal 512 2 3 3" xfId="35841" xr:uid="{00000000-0005-0000-0000-00000A8B0000}"/>
    <cellStyle name="Normal 512 2 4" xfId="35842" xr:uid="{00000000-0005-0000-0000-00000B8B0000}"/>
    <cellStyle name="Normal 512 3" xfId="35843" xr:uid="{00000000-0005-0000-0000-00000C8B0000}"/>
    <cellStyle name="Normal 512 3 2" xfId="35844" xr:uid="{00000000-0005-0000-0000-00000D8B0000}"/>
    <cellStyle name="Normal 512 3 2 2" xfId="35845" xr:uid="{00000000-0005-0000-0000-00000E8B0000}"/>
    <cellStyle name="Normal 512 3 3" xfId="35846" xr:uid="{00000000-0005-0000-0000-00000F8B0000}"/>
    <cellStyle name="Normal 512 4" xfId="35847" xr:uid="{00000000-0005-0000-0000-0000108B0000}"/>
    <cellStyle name="Normal 512 4 2" xfId="35848" xr:uid="{00000000-0005-0000-0000-0000118B0000}"/>
    <cellStyle name="Normal 512 4 2 2" xfId="35849" xr:uid="{00000000-0005-0000-0000-0000128B0000}"/>
    <cellStyle name="Normal 512 4 3" xfId="35850" xr:uid="{00000000-0005-0000-0000-0000138B0000}"/>
    <cellStyle name="Normal 512 5" xfId="35851" xr:uid="{00000000-0005-0000-0000-0000148B0000}"/>
    <cellStyle name="Normal 512 5 2" xfId="35852" xr:uid="{00000000-0005-0000-0000-0000158B0000}"/>
    <cellStyle name="Normal 512 5 2 2" xfId="35853" xr:uid="{00000000-0005-0000-0000-0000168B0000}"/>
    <cellStyle name="Normal 512 5 3" xfId="35854" xr:uid="{00000000-0005-0000-0000-0000178B0000}"/>
    <cellStyle name="Normal 512 6" xfId="35855" xr:uid="{00000000-0005-0000-0000-0000188B0000}"/>
    <cellStyle name="Normal 513" xfId="35856" xr:uid="{00000000-0005-0000-0000-0000198B0000}"/>
    <cellStyle name="Normal 513 2" xfId="35857" xr:uid="{00000000-0005-0000-0000-00001A8B0000}"/>
    <cellStyle name="Normal 513 2 2" xfId="35858" xr:uid="{00000000-0005-0000-0000-00001B8B0000}"/>
    <cellStyle name="Normal 513 2 2 2" xfId="35859" xr:uid="{00000000-0005-0000-0000-00001C8B0000}"/>
    <cellStyle name="Normal 513 2 3" xfId="35860" xr:uid="{00000000-0005-0000-0000-00001D8B0000}"/>
    <cellStyle name="Normal 513 2 3 2" xfId="35861" xr:uid="{00000000-0005-0000-0000-00001E8B0000}"/>
    <cellStyle name="Normal 513 2 3 2 2" xfId="35862" xr:uid="{00000000-0005-0000-0000-00001F8B0000}"/>
    <cellStyle name="Normal 513 2 3 3" xfId="35863" xr:uid="{00000000-0005-0000-0000-0000208B0000}"/>
    <cellStyle name="Normal 513 2 4" xfId="35864" xr:uid="{00000000-0005-0000-0000-0000218B0000}"/>
    <cellStyle name="Normal 513 3" xfId="35865" xr:uid="{00000000-0005-0000-0000-0000228B0000}"/>
    <cellStyle name="Normal 513 3 2" xfId="35866" xr:uid="{00000000-0005-0000-0000-0000238B0000}"/>
    <cellStyle name="Normal 513 3 2 2" xfId="35867" xr:uid="{00000000-0005-0000-0000-0000248B0000}"/>
    <cellStyle name="Normal 513 3 3" xfId="35868" xr:uid="{00000000-0005-0000-0000-0000258B0000}"/>
    <cellStyle name="Normal 513 4" xfId="35869" xr:uid="{00000000-0005-0000-0000-0000268B0000}"/>
    <cellStyle name="Normal 513 4 2" xfId="35870" xr:uid="{00000000-0005-0000-0000-0000278B0000}"/>
    <cellStyle name="Normal 513 4 2 2" xfId="35871" xr:uid="{00000000-0005-0000-0000-0000288B0000}"/>
    <cellStyle name="Normal 513 4 3" xfId="35872" xr:uid="{00000000-0005-0000-0000-0000298B0000}"/>
    <cellStyle name="Normal 513 5" xfId="35873" xr:uid="{00000000-0005-0000-0000-00002A8B0000}"/>
    <cellStyle name="Normal 513 5 2" xfId="35874" xr:uid="{00000000-0005-0000-0000-00002B8B0000}"/>
    <cellStyle name="Normal 513 5 2 2" xfId="35875" xr:uid="{00000000-0005-0000-0000-00002C8B0000}"/>
    <cellStyle name="Normal 513 5 3" xfId="35876" xr:uid="{00000000-0005-0000-0000-00002D8B0000}"/>
    <cellStyle name="Normal 513 6" xfId="35877" xr:uid="{00000000-0005-0000-0000-00002E8B0000}"/>
    <cellStyle name="Normal 514" xfId="35878" xr:uid="{00000000-0005-0000-0000-00002F8B0000}"/>
    <cellStyle name="Normal 514 2" xfId="35879" xr:uid="{00000000-0005-0000-0000-0000308B0000}"/>
    <cellStyle name="Normal 514 2 2" xfId="35880" xr:uid="{00000000-0005-0000-0000-0000318B0000}"/>
    <cellStyle name="Normal 514 2 2 2" xfId="35881" xr:uid="{00000000-0005-0000-0000-0000328B0000}"/>
    <cellStyle name="Normal 514 2 3" xfId="35882" xr:uid="{00000000-0005-0000-0000-0000338B0000}"/>
    <cellStyle name="Normal 514 2 3 2" xfId="35883" xr:uid="{00000000-0005-0000-0000-0000348B0000}"/>
    <cellStyle name="Normal 514 2 3 2 2" xfId="35884" xr:uid="{00000000-0005-0000-0000-0000358B0000}"/>
    <cellStyle name="Normal 514 2 3 3" xfId="35885" xr:uid="{00000000-0005-0000-0000-0000368B0000}"/>
    <cellStyle name="Normal 514 2 4" xfId="35886" xr:uid="{00000000-0005-0000-0000-0000378B0000}"/>
    <cellStyle name="Normal 514 3" xfId="35887" xr:uid="{00000000-0005-0000-0000-0000388B0000}"/>
    <cellStyle name="Normal 514 3 2" xfId="35888" xr:uid="{00000000-0005-0000-0000-0000398B0000}"/>
    <cellStyle name="Normal 514 3 2 2" xfId="35889" xr:uid="{00000000-0005-0000-0000-00003A8B0000}"/>
    <cellStyle name="Normal 514 3 3" xfId="35890" xr:uid="{00000000-0005-0000-0000-00003B8B0000}"/>
    <cellStyle name="Normal 514 4" xfId="35891" xr:uid="{00000000-0005-0000-0000-00003C8B0000}"/>
    <cellStyle name="Normal 514 4 2" xfId="35892" xr:uid="{00000000-0005-0000-0000-00003D8B0000}"/>
    <cellStyle name="Normal 514 4 2 2" xfId="35893" xr:uid="{00000000-0005-0000-0000-00003E8B0000}"/>
    <cellStyle name="Normal 514 4 3" xfId="35894" xr:uid="{00000000-0005-0000-0000-00003F8B0000}"/>
    <cellStyle name="Normal 514 5" xfId="35895" xr:uid="{00000000-0005-0000-0000-0000408B0000}"/>
    <cellStyle name="Normal 514 5 2" xfId="35896" xr:uid="{00000000-0005-0000-0000-0000418B0000}"/>
    <cellStyle name="Normal 514 5 2 2" xfId="35897" xr:uid="{00000000-0005-0000-0000-0000428B0000}"/>
    <cellStyle name="Normal 514 5 3" xfId="35898" xr:uid="{00000000-0005-0000-0000-0000438B0000}"/>
    <cellStyle name="Normal 514 6" xfId="35899" xr:uid="{00000000-0005-0000-0000-0000448B0000}"/>
    <cellStyle name="Normal 515" xfId="35900" xr:uid="{00000000-0005-0000-0000-0000458B0000}"/>
    <cellStyle name="Normal 515 2" xfId="35901" xr:uid="{00000000-0005-0000-0000-0000468B0000}"/>
    <cellStyle name="Normal 515 2 2" xfId="35902" xr:uid="{00000000-0005-0000-0000-0000478B0000}"/>
    <cellStyle name="Normal 515 2 2 2" xfId="35903" xr:uid="{00000000-0005-0000-0000-0000488B0000}"/>
    <cellStyle name="Normal 515 2 3" xfId="35904" xr:uid="{00000000-0005-0000-0000-0000498B0000}"/>
    <cellStyle name="Normal 515 2 3 2" xfId="35905" xr:uid="{00000000-0005-0000-0000-00004A8B0000}"/>
    <cellStyle name="Normal 515 2 3 2 2" xfId="35906" xr:uid="{00000000-0005-0000-0000-00004B8B0000}"/>
    <cellStyle name="Normal 515 2 3 3" xfId="35907" xr:uid="{00000000-0005-0000-0000-00004C8B0000}"/>
    <cellStyle name="Normal 515 2 4" xfId="35908" xr:uid="{00000000-0005-0000-0000-00004D8B0000}"/>
    <cellStyle name="Normal 515 3" xfId="35909" xr:uid="{00000000-0005-0000-0000-00004E8B0000}"/>
    <cellStyle name="Normal 515 3 2" xfId="35910" xr:uid="{00000000-0005-0000-0000-00004F8B0000}"/>
    <cellStyle name="Normal 515 3 2 2" xfId="35911" xr:uid="{00000000-0005-0000-0000-0000508B0000}"/>
    <cellStyle name="Normal 515 3 3" xfId="35912" xr:uid="{00000000-0005-0000-0000-0000518B0000}"/>
    <cellStyle name="Normal 515 4" xfId="35913" xr:uid="{00000000-0005-0000-0000-0000528B0000}"/>
    <cellStyle name="Normal 515 4 2" xfId="35914" xr:uid="{00000000-0005-0000-0000-0000538B0000}"/>
    <cellStyle name="Normal 515 4 2 2" xfId="35915" xr:uid="{00000000-0005-0000-0000-0000548B0000}"/>
    <cellStyle name="Normal 515 4 3" xfId="35916" xr:uid="{00000000-0005-0000-0000-0000558B0000}"/>
    <cellStyle name="Normal 515 5" xfId="35917" xr:uid="{00000000-0005-0000-0000-0000568B0000}"/>
    <cellStyle name="Normal 515 5 2" xfId="35918" xr:uid="{00000000-0005-0000-0000-0000578B0000}"/>
    <cellStyle name="Normal 515 5 2 2" xfId="35919" xr:uid="{00000000-0005-0000-0000-0000588B0000}"/>
    <cellStyle name="Normal 515 5 3" xfId="35920" xr:uid="{00000000-0005-0000-0000-0000598B0000}"/>
    <cellStyle name="Normal 515 6" xfId="35921" xr:uid="{00000000-0005-0000-0000-00005A8B0000}"/>
    <cellStyle name="Normal 516" xfId="35922" xr:uid="{00000000-0005-0000-0000-00005B8B0000}"/>
    <cellStyle name="Normal 516 2" xfId="35923" xr:uid="{00000000-0005-0000-0000-00005C8B0000}"/>
    <cellStyle name="Normal 516 2 2" xfId="35924" xr:uid="{00000000-0005-0000-0000-00005D8B0000}"/>
    <cellStyle name="Normal 516 2 2 2" xfId="35925" xr:uid="{00000000-0005-0000-0000-00005E8B0000}"/>
    <cellStyle name="Normal 516 2 3" xfId="35926" xr:uid="{00000000-0005-0000-0000-00005F8B0000}"/>
    <cellStyle name="Normal 516 2 3 2" xfId="35927" xr:uid="{00000000-0005-0000-0000-0000608B0000}"/>
    <cellStyle name="Normal 516 2 3 2 2" xfId="35928" xr:uid="{00000000-0005-0000-0000-0000618B0000}"/>
    <cellStyle name="Normal 516 2 3 3" xfId="35929" xr:uid="{00000000-0005-0000-0000-0000628B0000}"/>
    <cellStyle name="Normal 516 2 4" xfId="35930" xr:uid="{00000000-0005-0000-0000-0000638B0000}"/>
    <cellStyle name="Normal 516 3" xfId="35931" xr:uid="{00000000-0005-0000-0000-0000648B0000}"/>
    <cellStyle name="Normal 516 3 2" xfId="35932" xr:uid="{00000000-0005-0000-0000-0000658B0000}"/>
    <cellStyle name="Normal 516 3 2 2" xfId="35933" xr:uid="{00000000-0005-0000-0000-0000668B0000}"/>
    <cellStyle name="Normal 516 3 3" xfId="35934" xr:uid="{00000000-0005-0000-0000-0000678B0000}"/>
    <cellStyle name="Normal 516 4" xfId="35935" xr:uid="{00000000-0005-0000-0000-0000688B0000}"/>
    <cellStyle name="Normal 516 4 2" xfId="35936" xr:uid="{00000000-0005-0000-0000-0000698B0000}"/>
    <cellStyle name="Normal 516 4 2 2" xfId="35937" xr:uid="{00000000-0005-0000-0000-00006A8B0000}"/>
    <cellStyle name="Normal 516 4 3" xfId="35938" xr:uid="{00000000-0005-0000-0000-00006B8B0000}"/>
    <cellStyle name="Normal 516 5" xfId="35939" xr:uid="{00000000-0005-0000-0000-00006C8B0000}"/>
    <cellStyle name="Normal 516 5 2" xfId="35940" xr:uid="{00000000-0005-0000-0000-00006D8B0000}"/>
    <cellStyle name="Normal 516 5 2 2" xfId="35941" xr:uid="{00000000-0005-0000-0000-00006E8B0000}"/>
    <cellStyle name="Normal 516 5 3" xfId="35942" xr:uid="{00000000-0005-0000-0000-00006F8B0000}"/>
    <cellStyle name="Normal 516 6" xfId="35943" xr:uid="{00000000-0005-0000-0000-0000708B0000}"/>
    <cellStyle name="Normal 517" xfId="35944" xr:uid="{00000000-0005-0000-0000-0000718B0000}"/>
    <cellStyle name="Normal 517 2" xfId="35945" xr:uid="{00000000-0005-0000-0000-0000728B0000}"/>
    <cellStyle name="Normal 517 2 2" xfId="35946" xr:uid="{00000000-0005-0000-0000-0000738B0000}"/>
    <cellStyle name="Normal 517 2 2 2" xfId="35947" xr:uid="{00000000-0005-0000-0000-0000748B0000}"/>
    <cellStyle name="Normal 517 2 3" xfId="35948" xr:uid="{00000000-0005-0000-0000-0000758B0000}"/>
    <cellStyle name="Normal 517 2 3 2" xfId="35949" xr:uid="{00000000-0005-0000-0000-0000768B0000}"/>
    <cellStyle name="Normal 517 2 3 2 2" xfId="35950" xr:uid="{00000000-0005-0000-0000-0000778B0000}"/>
    <cellStyle name="Normal 517 2 3 3" xfId="35951" xr:uid="{00000000-0005-0000-0000-0000788B0000}"/>
    <cellStyle name="Normal 517 2 4" xfId="35952" xr:uid="{00000000-0005-0000-0000-0000798B0000}"/>
    <cellStyle name="Normal 517 3" xfId="35953" xr:uid="{00000000-0005-0000-0000-00007A8B0000}"/>
    <cellStyle name="Normal 517 3 2" xfId="35954" xr:uid="{00000000-0005-0000-0000-00007B8B0000}"/>
    <cellStyle name="Normal 517 3 2 2" xfId="35955" xr:uid="{00000000-0005-0000-0000-00007C8B0000}"/>
    <cellStyle name="Normal 517 3 3" xfId="35956" xr:uid="{00000000-0005-0000-0000-00007D8B0000}"/>
    <cellStyle name="Normal 517 4" xfId="35957" xr:uid="{00000000-0005-0000-0000-00007E8B0000}"/>
    <cellStyle name="Normal 517 4 2" xfId="35958" xr:uid="{00000000-0005-0000-0000-00007F8B0000}"/>
    <cellStyle name="Normal 517 4 2 2" xfId="35959" xr:uid="{00000000-0005-0000-0000-0000808B0000}"/>
    <cellStyle name="Normal 517 4 3" xfId="35960" xr:uid="{00000000-0005-0000-0000-0000818B0000}"/>
    <cellStyle name="Normal 517 5" xfId="35961" xr:uid="{00000000-0005-0000-0000-0000828B0000}"/>
    <cellStyle name="Normal 517 5 2" xfId="35962" xr:uid="{00000000-0005-0000-0000-0000838B0000}"/>
    <cellStyle name="Normal 517 5 2 2" xfId="35963" xr:uid="{00000000-0005-0000-0000-0000848B0000}"/>
    <cellStyle name="Normal 517 5 3" xfId="35964" xr:uid="{00000000-0005-0000-0000-0000858B0000}"/>
    <cellStyle name="Normal 517 6" xfId="35965" xr:uid="{00000000-0005-0000-0000-0000868B0000}"/>
    <cellStyle name="Normal 518" xfId="35966" xr:uid="{00000000-0005-0000-0000-0000878B0000}"/>
    <cellStyle name="Normal 518 2" xfId="35967" xr:uid="{00000000-0005-0000-0000-0000888B0000}"/>
    <cellStyle name="Normal 518 2 2" xfId="35968" xr:uid="{00000000-0005-0000-0000-0000898B0000}"/>
    <cellStyle name="Normal 518 2 2 2" xfId="35969" xr:uid="{00000000-0005-0000-0000-00008A8B0000}"/>
    <cellStyle name="Normal 518 2 3" xfId="35970" xr:uid="{00000000-0005-0000-0000-00008B8B0000}"/>
    <cellStyle name="Normal 518 2 3 2" xfId="35971" xr:uid="{00000000-0005-0000-0000-00008C8B0000}"/>
    <cellStyle name="Normal 518 2 3 2 2" xfId="35972" xr:uid="{00000000-0005-0000-0000-00008D8B0000}"/>
    <cellStyle name="Normal 518 2 3 3" xfId="35973" xr:uid="{00000000-0005-0000-0000-00008E8B0000}"/>
    <cellStyle name="Normal 518 2 4" xfId="35974" xr:uid="{00000000-0005-0000-0000-00008F8B0000}"/>
    <cellStyle name="Normal 518 3" xfId="35975" xr:uid="{00000000-0005-0000-0000-0000908B0000}"/>
    <cellStyle name="Normal 518 3 2" xfId="35976" xr:uid="{00000000-0005-0000-0000-0000918B0000}"/>
    <cellStyle name="Normal 518 3 2 2" xfId="35977" xr:uid="{00000000-0005-0000-0000-0000928B0000}"/>
    <cellStyle name="Normal 518 3 3" xfId="35978" xr:uid="{00000000-0005-0000-0000-0000938B0000}"/>
    <cellStyle name="Normal 518 4" xfId="35979" xr:uid="{00000000-0005-0000-0000-0000948B0000}"/>
    <cellStyle name="Normal 518 4 2" xfId="35980" xr:uid="{00000000-0005-0000-0000-0000958B0000}"/>
    <cellStyle name="Normal 518 4 2 2" xfId="35981" xr:uid="{00000000-0005-0000-0000-0000968B0000}"/>
    <cellStyle name="Normal 518 4 3" xfId="35982" xr:uid="{00000000-0005-0000-0000-0000978B0000}"/>
    <cellStyle name="Normal 518 5" xfId="35983" xr:uid="{00000000-0005-0000-0000-0000988B0000}"/>
    <cellStyle name="Normal 518 5 2" xfId="35984" xr:uid="{00000000-0005-0000-0000-0000998B0000}"/>
    <cellStyle name="Normal 518 5 2 2" xfId="35985" xr:uid="{00000000-0005-0000-0000-00009A8B0000}"/>
    <cellStyle name="Normal 518 5 3" xfId="35986" xr:uid="{00000000-0005-0000-0000-00009B8B0000}"/>
    <cellStyle name="Normal 518 6" xfId="35987" xr:uid="{00000000-0005-0000-0000-00009C8B0000}"/>
    <cellStyle name="Normal 519" xfId="35988" xr:uid="{00000000-0005-0000-0000-00009D8B0000}"/>
    <cellStyle name="Normal 519 2" xfId="35989" xr:uid="{00000000-0005-0000-0000-00009E8B0000}"/>
    <cellStyle name="Normal 519 2 2" xfId="35990" xr:uid="{00000000-0005-0000-0000-00009F8B0000}"/>
    <cellStyle name="Normal 519 2 2 2" xfId="35991" xr:uid="{00000000-0005-0000-0000-0000A08B0000}"/>
    <cellStyle name="Normal 519 2 3" xfId="35992" xr:uid="{00000000-0005-0000-0000-0000A18B0000}"/>
    <cellStyle name="Normal 519 2 3 2" xfId="35993" xr:uid="{00000000-0005-0000-0000-0000A28B0000}"/>
    <cellStyle name="Normal 519 2 3 2 2" xfId="35994" xr:uid="{00000000-0005-0000-0000-0000A38B0000}"/>
    <cellStyle name="Normal 519 2 3 3" xfId="35995" xr:uid="{00000000-0005-0000-0000-0000A48B0000}"/>
    <cellStyle name="Normal 519 2 4" xfId="35996" xr:uid="{00000000-0005-0000-0000-0000A58B0000}"/>
    <cellStyle name="Normal 519 3" xfId="35997" xr:uid="{00000000-0005-0000-0000-0000A68B0000}"/>
    <cellStyle name="Normal 519 3 2" xfId="35998" xr:uid="{00000000-0005-0000-0000-0000A78B0000}"/>
    <cellStyle name="Normal 519 3 2 2" xfId="35999" xr:uid="{00000000-0005-0000-0000-0000A88B0000}"/>
    <cellStyle name="Normal 519 3 3" xfId="36000" xr:uid="{00000000-0005-0000-0000-0000A98B0000}"/>
    <cellStyle name="Normal 519 4" xfId="36001" xr:uid="{00000000-0005-0000-0000-0000AA8B0000}"/>
    <cellStyle name="Normal 519 4 2" xfId="36002" xr:uid="{00000000-0005-0000-0000-0000AB8B0000}"/>
    <cellStyle name="Normal 519 4 2 2" xfId="36003" xr:uid="{00000000-0005-0000-0000-0000AC8B0000}"/>
    <cellStyle name="Normal 519 4 3" xfId="36004" xr:uid="{00000000-0005-0000-0000-0000AD8B0000}"/>
    <cellStyle name="Normal 519 5" xfId="36005" xr:uid="{00000000-0005-0000-0000-0000AE8B0000}"/>
    <cellStyle name="Normal 519 5 2" xfId="36006" xr:uid="{00000000-0005-0000-0000-0000AF8B0000}"/>
    <cellStyle name="Normal 519 5 2 2" xfId="36007" xr:uid="{00000000-0005-0000-0000-0000B08B0000}"/>
    <cellStyle name="Normal 519 5 3" xfId="36008" xr:uid="{00000000-0005-0000-0000-0000B18B0000}"/>
    <cellStyle name="Normal 519 6" xfId="36009" xr:uid="{00000000-0005-0000-0000-0000B28B0000}"/>
    <cellStyle name="Normal 52" xfId="36010" xr:uid="{00000000-0005-0000-0000-0000B38B0000}"/>
    <cellStyle name="Normal 52 2" xfId="36011" xr:uid="{00000000-0005-0000-0000-0000B48B0000}"/>
    <cellStyle name="Normal 52 2 2" xfId="36012" xr:uid="{00000000-0005-0000-0000-0000B58B0000}"/>
    <cellStyle name="Normal 52 2 2 2" xfId="36013" xr:uid="{00000000-0005-0000-0000-0000B68B0000}"/>
    <cellStyle name="Normal 52 2 2 2 2" xfId="36014" xr:uid="{00000000-0005-0000-0000-0000B78B0000}"/>
    <cellStyle name="Normal 52 2 2 3" xfId="36015" xr:uid="{00000000-0005-0000-0000-0000B88B0000}"/>
    <cellStyle name="Normal 52 2 2 3 2" xfId="36016" xr:uid="{00000000-0005-0000-0000-0000B98B0000}"/>
    <cellStyle name="Normal 52 2 2 3 2 2" xfId="36017" xr:uid="{00000000-0005-0000-0000-0000BA8B0000}"/>
    <cellStyle name="Normal 52 2 2 3 3" xfId="36018" xr:uid="{00000000-0005-0000-0000-0000BB8B0000}"/>
    <cellStyle name="Normal 52 2 2 4" xfId="36019" xr:uid="{00000000-0005-0000-0000-0000BC8B0000}"/>
    <cellStyle name="Normal 52 2 2 4 2" xfId="36020" xr:uid="{00000000-0005-0000-0000-0000BD8B0000}"/>
    <cellStyle name="Normal 52 2 2 4 2 2" xfId="36021" xr:uid="{00000000-0005-0000-0000-0000BE8B0000}"/>
    <cellStyle name="Normal 52 2 2 4 3" xfId="36022" xr:uid="{00000000-0005-0000-0000-0000BF8B0000}"/>
    <cellStyle name="Normal 52 2 2 5" xfId="36023" xr:uid="{00000000-0005-0000-0000-0000C08B0000}"/>
    <cellStyle name="Normal 52 2 3" xfId="36024" xr:uid="{00000000-0005-0000-0000-0000C18B0000}"/>
    <cellStyle name="Normal 52 2 3 2" xfId="36025" xr:uid="{00000000-0005-0000-0000-0000C28B0000}"/>
    <cellStyle name="Normal 52 2 3 2 2" xfId="36026" xr:uid="{00000000-0005-0000-0000-0000C38B0000}"/>
    <cellStyle name="Normal 52 2 3 3" xfId="36027" xr:uid="{00000000-0005-0000-0000-0000C48B0000}"/>
    <cellStyle name="Normal 52 2 4" xfId="36028" xr:uid="{00000000-0005-0000-0000-0000C58B0000}"/>
    <cellStyle name="Normal 52 2 4 2" xfId="36029" xr:uid="{00000000-0005-0000-0000-0000C68B0000}"/>
    <cellStyle name="Normal 52 2 4 2 2" xfId="36030" xr:uid="{00000000-0005-0000-0000-0000C78B0000}"/>
    <cellStyle name="Normal 52 2 4 3" xfId="36031" xr:uid="{00000000-0005-0000-0000-0000C88B0000}"/>
    <cellStyle name="Normal 52 2 5" xfId="36032" xr:uid="{00000000-0005-0000-0000-0000C98B0000}"/>
    <cellStyle name="Normal 52 2 5 2" xfId="36033" xr:uid="{00000000-0005-0000-0000-0000CA8B0000}"/>
    <cellStyle name="Normal 52 2 5 2 2" xfId="36034" xr:uid="{00000000-0005-0000-0000-0000CB8B0000}"/>
    <cellStyle name="Normal 52 2 5 3" xfId="36035" xr:uid="{00000000-0005-0000-0000-0000CC8B0000}"/>
    <cellStyle name="Normal 52 2 6" xfId="36036" xr:uid="{00000000-0005-0000-0000-0000CD8B0000}"/>
    <cellStyle name="Normal 52 3" xfId="36037" xr:uid="{00000000-0005-0000-0000-0000CE8B0000}"/>
    <cellStyle name="Normal 52 3 2" xfId="36038" xr:uid="{00000000-0005-0000-0000-0000CF8B0000}"/>
    <cellStyle name="Normal 52 3 2 2" xfId="36039" xr:uid="{00000000-0005-0000-0000-0000D08B0000}"/>
    <cellStyle name="Normal 52 3 3" xfId="36040" xr:uid="{00000000-0005-0000-0000-0000D18B0000}"/>
    <cellStyle name="Normal 52 3 3 2" xfId="36041" xr:uid="{00000000-0005-0000-0000-0000D28B0000}"/>
    <cellStyle name="Normal 52 3 3 2 2" xfId="36042" xr:uid="{00000000-0005-0000-0000-0000D38B0000}"/>
    <cellStyle name="Normal 52 3 3 3" xfId="36043" xr:uid="{00000000-0005-0000-0000-0000D48B0000}"/>
    <cellStyle name="Normal 52 3 4" xfId="36044" xr:uid="{00000000-0005-0000-0000-0000D58B0000}"/>
    <cellStyle name="Normal 52 3 4 2" xfId="36045" xr:uid="{00000000-0005-0000-0000-0000D68B0000}"/>
    <cellStyle name="Normal 52 3 4 2 2" xfId="36046" xr:uid="{00000000-0005-0000-0000-0000D78B0000}"/>
    <cellStyle name="Normal 52 3 4 3" xfId="36047" xr:uid="{00000000-0005-0000-0000-0000D88B0000}"/>
    <cellStyle name="Normal 52 3 5" xfId="36048" xr:uid="{00000000-0005-0000-0000-0000D98B0000}"/>
    <cellStyle name="Normal 52 4" xfId="36049" xr:uid="{00000000-0005-0000-0000-0000DA8B0000}"/>
    <cellStyle name="Normal 52 4 2" xfId="36050" xr:uid="{00000000-0005-0000-0000-0000DB8B0000}"/>
    <cellStyle name="Normal 52 4 2 2" xfId="36051" xr:uid="{00000000-0005-0000-0000-0000DC8B0000}"/>
    <cellStyle name="Normal 52 4 3" xfId="36052" xr:uid="{00000000-0005-0000-0000-0000DD8B0000}"/>
    <cellStyle name="Normal 52 5" xfId="36053" xr:uid="{00000000-0005-0000-0000-0000DE8B0000}"/>
    <cellStyle name="Normal 52 5 2" xfId="36054" xr:uid="{00000000-0005-0000-0000-0000DF8B0000}"/>
    <cellStyle name="Normal 52 5 2 2" xfId="36055" xr:uid="{00000000-0005-0000-0000-0000E08B0000}"/>
    <cellStyle name="Normal 52 5 3" xfId="36056" xr:uid="{00000000-0005-0000-0000-0000E18B0000}"/>
    <cellStyle name="Normal 52 6" xfId="36057" xr:uid="{00000000-0005-0000-0000-0000E28B0000}"/>
    <cellStyle name="Normal 52 6 2" xfId="36058" xr:uid="{00000000-0005-0000-0000-0000E38B0000}"/>
    <cellStyle name="Normal 52 6 2 2" xfId="36059" xr:uid="{00000000-0005-0000-0000-0000E48B0000}"/>
    <cellStyle name="Normal 52 6 3" xfId="36060" xr:uid="{00000000-0005-0000-0000-0000E58B0000}"/>
    <cellStyle name="Normal 52 7" xfId="36061" xr:uid="{00000000-0005-0000-0000-0000E68B0000}"/>
    <cellStyle name="Normal 520" xfId="36062" xr:uid="{00000000-0005-0000-0000-0000E78B0000}"/>
    <cellStyle name="Normal 520 2" xfId="36063" xr:uid="{00000000-0005-0000-0000-0000E88B0000}"/>
    <cellStyle name="Normal 520 2 2" xfId="36064" xr:uid="{00000000-0005-0000-0000-0000E98B0000}"/>
    <cellStyle name="Normal 520 2 2 2" xfId="36065" xr:uid="{00000000-0005-0000-0000-0000EA8B0000}"/>
    <cellStyle name="Normal 520 2 3" xfId="36066" xr:uid="{00000000-0005-0000-0000-0000EB8B0000}"/>
    <cellStyle name="Normal 520 2 3 2" xfId="36067" xr:uid="{00000000-0005-0000-0000-0000EC8B0000}"/>
    <cellStyle name="Normal 520 2 3 2 2" xfId="36068" xr:uid="{00000000-0005-0000-0000-0000ED8B0000}"/>
    <cellStyle name="Normal 520 2 3 3" xfId="36069" xr:uid="{00000000-0005-0000-0000-0000EE8B0000}"/>
    <cellStyle name="Normal 520 2 4" xfId="36070" xr:uid="{00000000-0005-0000-0000-0000EF8B0000}"/>
    <cellStyle name="Normal 520 3" xfId="36071" xr:uid="{00000000-0005-0000-0000-0000F08B0000}"/>
    <cellStyle name="Normal 520 3 2" xfId="36072" xr:uid="{00000000-0005-0000-0000-0000F18B0000}"/>
    <cellStyle name="Normal 520 3 2 2" xfId="36073" xr:uid="{00000000-0005-0000-0000-0000F28B0000}"/>
    <cellStyle name="Normal 520 3 3" xfId="36074" xr:uid="{00000000-0005-0000-0000-0000F38B0000}"/>
    <cellStyle name="Normal 520 4" xfId="36075" xr:uid="{00000000-0005-0000-0000-0000F48B0000}"/>
    <cellStyle name="Normal 520 4 2" xfId="36076" xr:uid="{00000000-0005-0000-0000-0000F58B0000}"/>
    <cellStyle name="Normal 520 4 2 2" xfId="36077" xr:uid="{00000000-0005-0000-0000-0000F68B0000}"/>
    <cellStyle name="Normal 520 4 3" xfId="36078" xr:uid="{00000000-0005-0000-0000-0000F78B0000}"/>
    <cellStyle name="Normal 520 5" xfId="36079" xr:uid="{00000000-0005-0000-0000-0000F88B0000}"/>
    <cellStyle name="Normal 520 5 2" xfId="36080" xr:uid="{00000000-0005-0000-0000-0000F98B0000}"/>
    <cellStyle name="Normal 520 5 2 2" xfId="36081" xr:uid="{00000000-0005-0000-0000-0000FA8B0000}"/>
    <cellStyle name="Normal 520 5 3" xfId="36082" xr:uid="{00000000-0005-0000-0000-0000FB8B0000}"/>
    <cellStyle name="Normal 520 6" xfId="36083" xr:uid="{00000000-0005-0000-0000-0000FC8B0000}"/>
    <cellStyle name="Normal 521" xfId="36084" xr:uid="{00000000-0005-0000-0000-0000FD8B0000}"/>
    <cellStyle name="Normal 521 2" xfId="36085" xr:uid="{00000000-0005-0000-0000-0000FE8B0000}"/>
    <cellStyle name="Normal 521 2 2" xfId="36086" xr:uid="{00000000-0005-0000-0000-0000FF8B0000}"/>
    <cellStyle name="Normal 521 2 2 2" xfId="36087" xr:uid="{00000000-0005-0000-0000-0000008C0000}"/>
    <cellStyle name="Normal 521 2 3" xfId="36088" xr:uid="{00000000-0005-0000-0000-0000018C0000}"/>
    <cellStyle name="Normal 521 2 3 2" xfId="36089" xr:uid="{00000000-0005-0000-0000-0000028C0000}"/>
    <cellStyle name="Normal 521 2 3 2 2" xfId="36090" xr:uid="{00000000-0005-0000-0000-0000038C0000}"/>
    <cellStyle name="Normal 521 2 3 3" xfId="36091" xr:uid="{00000000-0005-0000-0000-0000048C0000}"/>
    <cellStyle name="Normal 521 2 4" xfId="36092" xr:uid="{00000000-0005-0000-0000-0000058C0000}"/>
    <cellStyle name="Normal 521 3" xfId="36093" xr:uid="{00000000-0005-0000-0000-0000068C0000}"/>
    <cellStyle name="Normal 521 3 2" xfId="36094" xr:uid="{00000000-0005-0000-0000-0000078C0000}"/>
    <cellStyle name="Normal 521 3 2 2" xfId="36095" xr:uid="{00000000-0005-0000-0000-0000088C0000}"/>
    <cellStyle name="Normal 521 3 3" xfId="36096" xr:uid="{00000000-0005-0000-0000-0000098C0000}"/>
    <cellStyle name="Normal 521 4" xfId="36097" xr:uid="{00000000-0005-0000-0000-00000A8C0000}"/>
    <cellStyle name="Normal 521 4 2" xfId="36098" xr:uid="{00000000-0005-0000-0000-00000B8C0000}"/>
    <cellStyle name="Normal 521 4 2 2" xfId="36099" xr:uid="{00000000-0005-0000-0000-00000C8C0000}"/>
    <cellStyle name="Normal 521 4 3" xfId="36100" xr:uid="{00000000-0005-0000-0000-00000D8C0000}"/>
    <cellStyle name="Normal 521 5" xfId="36101" xr:uid="{00000000-0005-0000-0000-00000E8C0000}"/>
    <cellStyle name="Normal 521 5 2" xfId="36102" xr:uid="{00000000-0005-0000-0000-00000F8C0000}"/>
    <cellStyle name="Normal 521 5 2 2" xfId="36103" xr:uid="{00000000-0005-0000-0000-0000108C0000}"/>
    <cellStyle name="Normal 521 5 3" xfId="36104" xr:uid="{00000000-0005-0000-0000-0000118C0000}"/>
    <cellStyle name="Normal 521 6" xfId="36105" xr:uid="{00000000-0005-0000-0000-0000128C0000}"/>
    <cellStyle name="Normal 522" xfId="36106" xr:uid="{00000000-0005-0000-0000-0000138C0000}"/>
    <cellStyle name="Normal 522 2" xfId="36107" xr:uid="{00000000-0005-0000-0000-0000148C0000}"/>
    <cellStyle name="Normal 522 2 2" xfId="36108" xr:uid="{00000000-0005-0000-0000-0000158C0000}"/>
    <cellStyle name="Normal 522 2 2 2" xfId="36109" xr:uid="{00000000-0005-0000-0000-0000168C0000}"/>
    <cellStyle name="Normal 522 2 3" xfId="36110" xr:uid="{00000000-0005-0000-0000-0000178C0000}"/>
    <cellStyle name="Normal 522 2 3 2" xfId="36111" xr:uid="{00000000-0005-0000-0000-0000188C0000}"/>
    <cellStyle name="Normal 522 2 3 2 2" xfId="36112" xr:uid="{00000000-0005-0000-0000-0000198C0000}"/>
    <cellStyle name="Normal 522 2 3 3" xfId="36113" xr:uid="{00000000-0005-0000-0000-00001A8C0000}"/>
    <cellStyle name="Normal 522 2 4" xfId="36114" xr:uid="{00000000-0005-0000-0000-00001B8C0000}"/>
    <cellStyle name="Normal 522 3" xfId="36115" xr:uid="{00000000-0005-0000-0000-00001C8C0000}"/>
    <cellStyle name="Normal 522 3 2" xfId="36116" xr:uid="{00000000-0005-0000-0000-00001D8C0000}"/>
    <cellStyle name="Normal 522 3 2 2" xfId="36117" xr:uid="{00000000-0005-0000-0000-00001E8C0000}"/>
    <cellStyle name="Normal 522 3 3" xfId="36118" xr:uid="{00000000-0005-0000-0000-00001F8C0000}"/>
    <cellStyle name="Normal 522 4" xfId="36119" xr:uid="{00000000-0005-0000-0000-0000208C0000}"/>
    <cellStyle name="Normal 522 4 2" xfId="36120" xr:uid="{00000000-0005-0000-0000-0000218C0000}"/>
    <cellStyle name="Normal 522 4 2 2" xfId="36121" xr:uid="{00000000-0005-0000-0000-0000228C0000}"/>
    <cellStyle name="Normal 522 4 3" xfId="36122" xr:uid="{00000000-0005-0000-0000-0000238C0000}"/>
    <cellStyle name="Normal 522 5" xfId="36123" xr:uid="{00000000-0005-0000-0000-0000248C0000}"/>
    <cellStyle name="Normal 522 5 2" xfId="36124" xr:uid="{00000000-0005-0000-0000-0000258C0000}"/>
    <cellStyle name="Normal 522 5 2 2" xfId="36125" xr:uid="{00000000-0005-0000-0000-0000268C0000}"/>
    <cellStyle name="Normal 522 5 3" xfId="36126" xr:uid="{00000000-0005-0000-0000-0000278C0000}"/>
    <cellStyle name="Normal 522 6" xfId="36127" xr:uid="{00000000-0005-0000-0000-0000288C0000}"/>
    <cellStyle name="Normal 523" xfId="36128" xr:uid="{00000000-0005-0000-0000-0000298C0000}"/>
    <cellStyle name="Normal 523 2" xfId="36129" xr:uid="{00000000-0005-0000-0000-00002A8C0000}"/>
    <cellStyle name="Normal 523 2 2" xfId="36130" xr:uid="{00000000-0005-0000-0000-00002B8C0000}"/>
    <cellStyle name="Normal 523 2 2 2" xfId="36131" xr:uid="{00000000-0005-0000-0000-00002C8C0000}"/>
    <cellStyle name="Normal 523 2 3" xfId="36132" xr:uid="{00000000-0005-0000-0000-00002D8C0000}"/>
    <cellStyle name="Normal 523 2 3 2" xfId="36133" xr:uid="{00000000-0005-0000-0000-00002E8C0000}"/>
    <cellStyle name="Normal 523 2 3 2 2" xfId="36134" xr:uid="{00000000-0005-0000-0000-00002F8C0000}"/>
    <cellStyle name="Normal 523 2 3 3" xfId="36135" xr:uid="{00000000-0005-0000-0000-0000308C0000}"/>
    <cellStyle name="Normal 523 2 4" xfId="36136" xr:uid="{00000000-0005-0000-0000-0000318C0000}"/>
    <cellStyle name="Normal 523 3" xfId="36137" xr:uid="{00000000-0005-0000-0000-0000328C0000}"/>
    <cellStyle name="Normal 523 3 2" xfId="36138" xr:uid="{00000000-0005-0000-0000-0000338C0000}"/>
    <cellStyle name="Normal 523 3 2 2" xfId="36139" xr:uid="{00000000-0005-0000-0000-0000348C0000}"/>
    <cellStyle name="Normal 523 3 3" xfId="36140" xr:uid="{00000000-0005-0000-0000-0000358C0000}"/>
    <cellStyle name="Normal 523 4" xfId="36141" xr:uid="{00000000-0005-0000-0000-0000368C0000}"/>
    <cellStyle name="Normal 523 4 2" xfId="36142" xr:uid="{00000000-0005-0000-0000-0000378C0000}"/>
    <cellStyle name="Normal 523 4 2 2" xfId="36143" xr:uid="{00000000-0005-0000-0000-0000388C0000}"/>
    <cellStyle name="Normal 523 4 3" xfId="36144" xr:uid="{00000000-0005-0000-0000-0000398C0000}"/>
    <cellStyle name="Normal 523 5" xfId="36145" xr:uid="{00000000-0005-0000-0000-00003A8C0000}"/>
    <cellStyle name="Normal 523 5 2" xfId="36146" xr:uid="{00000000-0005-0000-0000-00003B8C0000}"/>
    <cellStyle name="Normal 523 5 2 2" xfId="36147" xr:uid="{00000000-0005-0000-0000-00003C8C0000}"/>
    <cellStyle name="Normal 523 5 3" xfId="36148" xr:uid="{00000000-0005-0000-0000-00003D8C0000}"/>
    <cellStyle name="Normal 523 6" xfId="36149" xr:uid="{00000000-0005-0000-0000-00003E8C0000}"/>
    <cellStyle name="Normal 524" xfId="36150" xr:uid="{00000000-0005-0000-0000-00003F8C0000}"/>
    <cellStyle name="Normal 524 2" xfId="36151" xr:uid="{00000000-0005-0000-0000-0000408C0000}"/>
    <cellStyle name="Normal 524 2 2" xfId="36152" xr:uid="{00000000-0005-0000-0000-0000418C0000}"/>
    <cellStyle name="Normal 524 2 2 2" xfId="36153" xr:uid="{00000000-0005-0000-0000-0000428C0000}"/>
    <cellStyle name="Normal 524 2 3" xfId="36154" xr:uid="{00000000-0005-0000-0000-0000438C0000}"/>
    <cellStyle name="Normal 524 2 3 2" xfId="36155" xr:uid="{00000000-0005-0000-0000-0000448C0000}"/>
    <cellStyle name="Normal 524 2 3 2 2" xfId="36156" xr:uid="{00000000-0005-0000-0000-0000458C0000}"/>
    <cellStyle name="Normal 524 2 3 3" xfId="36157" xr:uid="{00000000-0005-0000-0000-0000468C0000}"/>
    <cellStyle name="Normal 524 2 4" xfId="36158" xr:uid="{00000000-0005-0000-0000-0000478C0000}"/>
    <cellStyle name="Normal 524 3" xfId="36159" xr:uid="{00000000-0005-0000-0000-0000488C0000}"/>
    <cellStyle name="Normal 524 3 2" xfId="36160" xr:uid="{00000000-0005-0000-0000-0000498C0000}"/>
    <cellStyle name="Normal 524 3 2 2" xfId="36161" xr:uid="{00000000-0005-0000-0000-00004A8C0000}"/>
    <cellStyle name="Normal 524 3 3" xfId="36162" xr:uid="{00000000-0005-0000-0000-00004B8C0000}"/>
    <cellStyle name="Normal 524 4" xfId="36163" xr:uid="{00000000-0005-0000-0000-00004C8C0000}"/>
    <cellStyle name="Normal 524 4 2" xfId="36164" xr:uid="{00000000-0005-0000-0000-00004D8C0000}"/>
    <cellStyle name="Normal 524 4 2 2" xfId="36165" xr:uid="{00000000-0005-0000-0000-00004E8C0000}"/>
    <cellStyle name="Normal 524 4 3" xfId="36166" xr:uid="{00000000-0005-0000-0000-00004F8C0000}"/>
    <cellStyle name="Normal 524 5" xfId="36167" xr:uid="{00000000-0005-0000-0000-0000508C0000}"/>
    <cellStyle name="Normal 524 5 2" xfId="36168" xr:uid="{00000000-0005-0000-0000-0000518C0000}"/>
    <cellStyle name="Normal 524 5 2 2" xfId="36169" xr:uid="{00000000-0005-0000-0000-0000528C0000}"/>
    <cellStyle name="Normal 524 5 3" xfId="36170" xr:uid="{00000000-0005-0000-0000-0000538C0000}"/>
    <cellStyle name="Normal 524 6" xfId="36171" xr:uid="{00000000-0005-0000-0000-0000548C0000}"/>
    <cellStyle name="Normal 525" xfId="36172" xr:uid="{00000000-0005-0000-0000-0000558C0000}"/>
    <cellStyle name="Normal 525 2" xfId="36173" xr:uid="{00000000-0005-0000-0000-0000568C0000}"/>
    <cellStyle name="Normal 525 2 2" xfId="36174" xr:uid="{00000000-0005-0000-0000-0000578C0000}"/>
    <cellStyle name="Normal 525 2 2 2" xfId="36175" xr:uid="{00000000-0005-0000-0000-0000588C0000}"/>
    <cellStyle name="Normal 525 2 3" xfId="36176" xr:uid="{00000000-0005-0000-0000-0000598C0000}"/>
    <cellStyle name="Normal 525 2 3 2" xfId="36177" xr:uid="{00000000-0005-0000-0000-00005A8C0000}"/>
    <cellStyle name="Normal 525 2 3 2 2" xfId="36178" xr:uid="{00000000-0005-0000-0000-00005B8C0000}"/>
    <cellStyle name="Normal 525 2 3 3" xfId="36179" xr:uid="{00000000-0005-0000-0000-00005C8C0000}"/>
    <cellStyle name="Normal 525 2 4" xfId="36180" xr:uid="{00000000-0005-0000-0000-00005D8C0000}"/>
    <cellStyle name="Normal 525 3" xfId="36181" xr:uid="{00000000-0005-0000-0000-00005E8C0000}"/>
    <cellStyle name="Normal 525 3 2" xfId="36182" xr:uid="{00000000-0005-0000-0000-00005F8C0000}"/>
    <cellStyle name="Normal 525 3 2 2" xfId="36183" xr:uid="{00000000-0005-0000-0000-0000608C0000}"/>
    <cellStyle name="Normal 525 3 3" xfId="36184" xr:uid="{00000000-0005-0000-0000-0000618C0000}"/>
    <cellStyle name="Normal 525 4" xfId="36185" xr:uid="{00000000-0005-0000-0000-0000628C0000}"/>
    <cellStyle name="Normal 525 4 2" xfId="36186" xr:uid="{00000000-0005-0000-0000-0000638C0000}"/>
    <cellStyle name="Normal 525 4 2 2" xfId="36187" xr:uid="{00000000-0005-0000-0000-0000648C0000}"/>
    <cellStyle name="Normal 525 4 3" xfId="36188" xr:uid="{00000000-0005-0000-0000-0000658C0000}"/>
    <cellStyle name="Normal 525 5" xfId="36189" xr:uid="{00000000-0005-0000-0000-0000668C0000}"/>
    <cellStyle name="Normal 525 5 2" xfId="36190" xr:uid="{00000000-0005-0000-0000-0000678C0000}"/>
    <cellStyle name="Normal 525 5 2 2" xfId="36191" xr:uid="{00000000-0005-0000-0000-0000688C0000}"/>
    <cellStyle name="Normal 525 5 3" xfId="36192" xr:uid="{00000000-0005-0000-0000-0000698C0000}"/>
    <cellStyle name="Normal 525 6" xfId="36193" xr:uid="{00000000-0005-0000-0000-00006A8C0000}"/>
    <cellStyle name="Normal 526" xfId="36194" xr:uid="{00000000-0005-0000-0000-00006B8C0000}"/>
    <cellStyle name="Normal 526 2" xfId="36195" xr:uid="{00000000-0005-0000-0000-00006C8C0000}"/>
    <cellStyle name="Normal 526 2 2" xfId="36196" xr:uid="{00000000-0005-0000-0000-00006D8C0000}"/>
    <cellStyle name="Normal 526 2 2 2" xfId="36197" xr:uid="{00000000-0005-0000-0000-00006E8C0000}"/>
    <cellStyle name="Normal 526 2 3" xfId="36198" xr:uid="{00000000-0005-0000-0000-00006F8C0000}"/>
    <cellStyle name="Normal 526 2 3 2" xfId="36199" xr:uid="{00000000-0005-0000-0000-0000708C0000}"/>
    <cellStyle name="Normal 526 2 3 2 2" xfId="36200" xr:uid="{00000000-0005-0000-0000-0000718C0000}"/>
    <cellStyle name="Normal 526 2 3 3" xfId="36201" xr:uid="{00000000-0005-0000-0000-0000728C0000}"/>
    <cellStyle name="Normal 526 2 4" xfId="36202" xr:uid="{00000000-0005-0000-0000-0000738C0000}"/>
    <cellStyle name="Normal 526 3" xfId="36203" xr:uid="{00000000-0005-0000-0000-0000748C0000}"/>
    <cellStyle name="Normal 526 3 2" xfId="36204" xr:uid="{00000000-0005-0000-0000-0000758C0000}"/>
    <cellStyle name="Normal 526 3 2 2" xfId="36205" xr:uid="{00000000-0005-0000-0000-0000768C0000}"/>
    <cellStyle name="Normal 526 3 3" xfId="36206" xr:uid="{00000000-0005-0000-0000-0000778C0000}"/>
    <cellStyle name="Normal 526 4" xfId="36207" xr:uid="{00000000-0005-0000-0000-0000788C0000}"/>
    <cellStyle name="Normal 526 4 2" xfId="36208" xr:uid="{00000000-0005-0000-0000-0000798C0000}"/>
    <cellStyle name="Normal 526 4 2 2" xfId="36209" xr:uid="{00000000-0005-0000-0000-00007A8C0000}"/>
    <cellStyle name="Normal 526 4 3" xfId="36210" xr:uid="{00000000-0005-0000-0000-00007B8C0000}"/>
    <cellStyle name="Normal 526 5" xfId="36211" xr:uid="{00000000-0005-0000-0000-00007C8C0000}"/>
    <cellStyle name="Normal 526 5 2" xfId="36212" xr:uid="{00000000-0005-0000-0000-00007D8C0000}"/>
    <cellStyle name="Normal 526 5 2 2" xfId="36213" xr:uid="{00000000-0005-0000-0000-00007E8C0000}"/>
    <cellStyle name="Normal 526 5 3" xfId="36214" xr:uid="{00000000-0005-0000-0000-00007F8C0000}"/>
    <cellStyle name="Normal 526 6" xfId="36215" xr:uid="{00000000-0005-0000-0000-0000808C0000}"/>
    <cellStyle name="Normal 527" xfId="36216" xr:uid="{00000000-0005-0000-0000-0000818C0000}"/>
    <cellStyle name="Normal 527 2" xfId="36217" xr:uid="{00000000-0005-0000-0000-0000828C0000}"/>
    <cellStyle name="Normal 527 2 2" xfId="36218" xr:uid="{00000000-0005-0000-0000-0000838C0000}"/>
    <cellStyle name="Normal 527 2 2 2" xfId="36219" xr:uid="{00000000-0005-0000-0000-0000848C0000}"/>
    <cellStyle name="Normal 527 2 3" xfId="36220" xr:uid="{00000000-0005-0000-0000-0000858C0000}"/>
    <cellStyle name="Normal 527 2 3 2" xfId="36221" xr:uid="{00000000-0005-0000-0000-0000868C0000}"/>
    <cellStyle name="Normal 527 2 3 2 2" xfId="36222" xr:uid="{00000000-0005-0000-0000-0000878C0000}"/>
    <cellStyle name="Normal 527 2 3 3" xfId="36223" xr:uid="{00000000-0005-0000-0000-0000888C0000}"/>
    <cellStyle name="Normal 527 2 4" xfId="36224" xr:uid="{00000000-0005-0000-0000-0000898C0000}"/>
    <cellStyle name="Normal 527 3" xfId="36225" xr:uid="{00000000-0005-0000-0000-00008A8C0000}"/>
    <cellStyle name="Normal 527 3 2" xfId="36226" xr:uid="{00000000-0005-0000-0000-00008B8C0000}"/>
    <cellStyle name="Normal 527 3 2 2" xfId="36227" xr:uid="{00000000-0005-0000-0000-00008C8C0000}"/>
    <cellStyle name="Normal 527 3 3" xfId="36228" xr:uid="{00000000-0005-0000-0000-00008D8C0000}"/>
    <cellStyle name="Normal 527 4" xfId="36229" xr:uid="{00000000-0005-0000-0000-00008E8C0000}"/>
    <cellStyle name="Normal 527 4 2" xfId="36230" xr:uid="{00000000-0005-0000-0000-00008F8C0000}"/>
    <cellStyle name="Normal 527 4 2 2" xfId="36231" xr:uid="{00000000-0005-0000-0000-0000908C0000}"/>
    <cellStyle name="Normal 527 4 3" xfId="36232" xr:uid="{00000000-0005-0000-0000-0000918C0000}"/>
    <cellStyle name="Normal 527 5" xfId="36233" xr:uid="{00000000-0005-0000-0000-0000928C0000}"/>
    <cellStyle name="Normal 527 5 2" xfId="36234" xr:uid="{00000000-0005-0000-0000-0000938C0000}"/>
    <cellStyle name="Normal 527 5 2 2" xfId="36235" xr:uid="{00000000-0005-0000-0000-0000948C0000}"/>
    <cellStyle name="Normal 527 5 3" xfId="36236" xr:uid="{00000000-0005-0000-0000-0000958C0000}"/>
    <cellStyle name="Normal 527 6" xfId="36237" xr:uid="{00000000-0005-0000-0000-0000968C0000}"/>
    <cellStyle name="Normal 528" xfId="36238" xr:uid="{00000000-0005-0000-0000-0000978C0000}"/>
    <cellStyle name="Normal 528 2" xfId="36239" xr:uid="{00000000-0005-0000-0000-0000988C0000}"/>
    <cellStyle name="Normal 528 2 2" xfId="36240" xr:uid="{00000000-0005-0000-0000-0000998C0000}"/>
    <cellStyle name="Normal 528 2 2 2" xfId="36241" xr:uid="{00000000-0005-0000-0000-00009A8C0000}"/>
    <cellStyle name="Normal 528 2 3" xfId="36242" xr:uid="{00000000-0005-0000-0000-00009B8C0000}"/>
    <cellStyle name="Normal 528 2 3 2" xfId="36243" xr:uid="{00000000-0005-0000-0000-00009C8C0000}"/>
    <cellStyle name="Normal 528 2 3 2 2" xfId="36244" xr:uid="{00000000-0005-0000-0000-00009D8C0000}"/>
    <cellStyle name="Normal 528 2 3 3" xfId="36245" xr:uid="{00000000-0005-0000-0000-00009E8C0000}"/>
    <cellStyle name="Normal 528 2 4" xfId="36246" xr:uid="{00000000-0005-0000-0000-00009F8C0000}"/>
    <cellStyle name="Normal 528 3" xfId="36247" xr:uid="{00000000-0005-0000-0000-0000A08C0000}"/>
    <cellStyle name="Normal 528 3 2" xfId="36248" xr:uid="{00000000-0005-0000-0000-0000A18C0000}"/>
    <cellStyle name="Normal 528 3 2 2" xfId="36249" xr:uid="{00000000-0005-0000-0000-0000A28C0000}"/>
    <cellStyle name="Normal 528 3 3" xfId="36250" xr:uid="{00000000-0005-0000-0000-0000A38C0000}"/>
    <cellStyle name="Normal 528 4" xfId="36251" xr:uid="{00000000-0005-0000-0000-0000A48C0000}"/>
    <cellStyle name="Normal 528 4 2" xfId="36252" xr:uid="{00000000-0005-0000-0000-0000A58C0000}"/>
    <cellStyle name="Normal 528 4 2 2" xfId="36253" xr:uid="{00000000-0005-0000-0000-0000A68C0000}"/>
    <cellStyle name="Normal 528 4 3" xfId="36254" xr:uid="{00000000-0005-0000-0000-0000A78C0000}"/>
    <cellStyle name="Normal 528 5" xfId="36255" xr:uid="{00000000-0005-0000-0000-0000A88C0000}"/>
    <cellStyle name="Normal 528 5 2" xfId="36256" xr:uid="{00000000-0005-0000-0000-0000A98C0000}"/>
    <cellStyle name="Normal 528 5 2 2" xfId="36257" xr:uid="{00000000-0005-0000-0000-0000AA8C0000}"/>
    <cellStyle name="Normal 528 5 3" xfId="36258" xr:uid="{00000000-0005-0000-0000-0000AB8C0000}"/>
    <cellStyle name="Normal 528 6" xfId="36259" xr:uid="{00000000-0005-0000-0000-0000AC8C0000}"/>
    <cellStyle name="Normal 529" xfId="36260" xr:uid="{00000000-0005-0000-0000-0000AD8C0000}"/>
    <cellStyle name="Normal 529 2" xfId="36261" xr:uid="{00000000-0005-0000-0000-0000AE8C0000}"/>
    <cellStyle name="Normal 529 2 2" xfId="36262" xr:uid="{00000000-0005-0000-0000-0000AF8C0000}"/>
    <cellStyle name="Normal 529 2 2 2" xfId="36263" xr:uid="{00000000-0005-0000-0000-0000B08C0000}"/>
    <cellStyle name="Normal 529 2 3" xfId="36264" xr:uid="{00000000-0005-0000-0000-0000B18C0000}"/>
    <cellStyle name="Normal 529 2 3 2" xfId="36265" xr:uid="{00000000-0005-0000-0000-0000B28C0000}"/>
    <cellStyle name="Normal 529 2 3 2 2" xfId="36266" xr:uid="{00000000-0005-0000-0000-0000B38C0000}"/>
    <cellStyle name="Normal 529 2 3 3" xfId="36267" xr:uid="{00000000-0005-0000-0000-0000B48C0000}"/>
    <cellStyle name="Normal 529 2 4" xfId="36268" xr:uid="{00000000-0005-0000-0000-0000B58C0000}"/>
    <cellStyle name="Normal 529 3" xfId="36269" xr:uid="{00000000-0005-0000-0000-0000B68C0000}"/>
    <cellStyle name="Normal 529 3 2" xfId="36270" xr:uid="{00000000-0005-0000-0000-0000B78C0000}"/>
    <cellStyle name="Normal 529 3 2 2" xfId="36271" xr:uid="{00000000-0005-0000-0000-0000B88C0000}"/>
    <cellStyle name="Normal 529 3 3" xfId="36272" xr:uid="{00000000-0005-0000-0000-0000B98C0000}"/>
    <cellStyle name="Normal 529 4" xfId="36273" xr:uid="{00000000-0005-0000-0000-0000BA8C0000}"/>
    <cellStyle name="Normal 529 4 2" xfId="36274" xr:uid="{00000000-0005-0000-0000-0000BB8C0000}"/>
    <cellStyle name="Normal 529 4 2 2" xfId="36275" xr:uid="{00000000-0005-0000-0000-0000BC8C0000}"/>
    <cellStyle name="Normal 529 4 3" xfId="36276" xr:uid="{00000000-0005-0000-0000-0000BD8C0000}"/>
    <cellStyle name="Normal 529 5" xfId="36277" xr:uid="{00000000-0005-0000-0000-0000BE8C0000}"/>
    <cellStyle name="Normal 529 5 2" xfId="36278" xr:uid="{00000000-0005-0000-0000-0000BF8C0000}"/>
    <cellStyle name="Normal 529 5 2 2" xfId="36279" xr:uid="{00000000-0005-0000-0000-0000C08C0000}"/>
    <cellStyle name="Normal 529 5 3" xfId="36280" xr:uid="{00000000-0005-0000-0000-0000C18C0000}"/>
    <cellStyle name="Normal 529 6" xfId="36281" xr:uid="{00000000-0005-0000-0000-0000C28C0000}"/>
    <cellStyle name="Normal 53" xfId="36282" xr:uid="{00000000-0005-0000-0000-0000C38C0000}"/>
    <cellStyle name="Normal 53 2" xfId="36283" xr:uid="{00000000-0005-0000-0000-0000C48C0000}"/>
    <cellStyle name="Normal 53 2 2" xfId="36284" xr:uid="{00000000-0005-0000-0000-0000C58C0000}"/>
    <cellStyle name="Normal 53 2 2 2" xfId="36285" xr:uid="{00000000-0005-0000-0000-0000C68C0000}"/>
    <cellStyle name="Normal 53 2 2 2 2" xfId="36286" xr:uid="{00000000-0005-0000-0000-0000C78C0000}"/>
    <cellStyle name="Normal 53 2 2 3" xfId="36287" xr:uid="{00000000-0005-0000-0000-0000C88C0000}"/>
    <cellStyle name="Normal 53 2 2 3 2" xfId="36288" xr:uid="{00000000-0005-0000-0000-0000C98C0000}"/>
    <cellStyle name="Normal 53 2 2 3 2 2" xfId="36289" xr:uid="{00000000-0005-0000-0000-0000CA8C0000}"/>
    <cellStyle name="Normal 53 2 2 3 3" xfId="36290" xr:uid="{00000000-0005-0000-0000-0000CB8C0000}"/>
    <cellStyle name="Normal 53 2 2 4" xfId="36291" xr:uid="{00000000-0005-0000-0000-0000CC8C0000}"/>
    <cellStyle name="Normal 53 2 2 4 2" xfId="36292" xr:uid="{00000000-0005-0000-0000-0000CD8C0000}"/>
    <cellStyle name="Normal 53 2 2 4 2 2" xfId="36293" xr:uid="{00000000-0005-0000-0000-0000CE8C0000}"/>
    <cellStyle name="Normal 53 2 2 4 3" xfId="36294" xr:uid="{00000000-0005-0000-0000-0000CF8C0000}"/>
    <cellStyle name="Normal 53 2 2 5" xfId="36295" xr:uid="{00000000-0005-0000-0000-0000D08C0000}"/>
    <cellStyle name="Normal 53 2 3" xfId="36296" xr:uid="{00000000-0005-0000-0000-0000D18C0000}"/>
    <cellStyle name="Normal 53 2 3 2" xfId="36297" xr:uid="{00000000-0005-0000-0000-0000D28C0000}"/>
    <cellStyle name="Normal 53 2 3 2 2" xfId="36298" xr:uid="{00000000-0005-0000-0000-0000D38C0000}"/>
    <cellStyle name="Normal 53 2 3 3" xfId="36299" xr:uid="{00000000-0005-0000-0000-0000D48C0000}"/>
    <cellStyle name="Normal 53 2 4" xfId="36300" xr:uid="{00000000-0005-0000-0000-0000D58C0000}"/>
    <cellStyle name="Normal 53 2 4 2" xfId="36301" xr:uid="{00000000-0005-0000-0000-0000D68C0000}"/>
    <cellStyle name="Normal 53 2 4 2 2" xfId="36302" xr:uid="{00000000-0005-0000-0000-0000D78C0000}"/>
    <cellStyle name="Normal 53 2 4 3" xfId="36303" xr:uid="{00000000-0005-0000-0000-0000D88C0000}"/>
    <cellStyle name="Normal 53 2 5" xfId="36304" xr:uid="{00000000-0005-0000-0000-0000D98C0000}"/>
    <cellStyle name="Normal 53 2 5 2" xfId="36305" xr:uid="{00000000-0005-0000-0000-0000DA8C0000}"/>
    <cellStyle name="Normal 53 2 5 2 2" xfId="36306" xr:uid="{00000000-0005-0000-0000-0000DB8C0000}"/>
    <cellStyle name="Normal 53 2 5 3" xfId="36307" xr:uid="{00000000-0005-0000-0000-0000DC8C0000}"/>
    <cellStyle name="Normal 53 2 6" xfId="36308" xr:uid="{00000000-0005-0000-0000-0000DD8C0000}"/>
    <cellStyle name="Normal 53 3" xfId="36309" xr:uid="{00000000-0005-0000-0000-0000DE8C0000}"/>
    <cellStyle name="Normal 53 3 2" xfId="36310" xr:uid="{00000000-0005-0000-0000-0000DF8C0000}"/>
    <cellStyle name="Normal 53 3 2 2" xfId="36311" xr:uid="{00000000-0005-0000-0000-0000E08C0000}"/>
    <cellStyle name="Normal 53 3 3" xfId="36312" xr:uid="{00000000-0005-0000-0000-0000E18C0000}"/>
    <cellStyle name="Normal 53 3 3 2" xfId="36313" xr:uid="{00000000-0005-0000-0000-0000E28C0000}"/>
    <cellStyle name="Normal 53 3 3 2 2" xfId="36314" xr:uid="{00000000-0005-0000-0000-0000E38C0000}"/>
    <cellStyle name="Normal 53 3 3 3" xfId="36315" xr:uid="{00000000-0005-0000-0000-0000E48C0000}"/>
    <cellStyle name="Normal 53 3 4" xfId="36316" xr:uid="{00000000-0005-0000-0000-0000E58C0000}"/>
    <cellStyle name="Normal 53 3 4 2" xfId="36317" xr:uid="{00000000-0005-0000-0000-0000E68C0000}"/>
    <cellStyle name="Normal 53 3 4 2 2" xfId="36318" xr:uid="{00000000-0005-0000-0000-0000E78C0000}"/>
    <cellStyle name="Normal 53 3 4 3" xfId="36319" xr:uid="{00000000-0005-0000-0000-0000E88C0000}"/>
    <cellStyle name="Normal 53 3 5" xfId="36320" xr:uid="{00000000-0005-0000-0000-0000E98C0000}"/>
    <cellStyle name="Normal 53 4" xfId="36321" xr:uid="{00000000-0005-0000-0000-0000EA8C0000}"/>
    <cellStyle name="Normal 53 4 2" xfId="36322" xr:uid="{00000000-0005-0000-0000-0000EB8C0000}"/>
    <cellStyle name="Normal 53 4 2 2" xfId="36323" xr:uid="{00000000-0005-0000-0000-0000EC8C0000}"/>
    <cellStyle name="Normal 53 4 3" xfId="36324" xr:uid="{00000000-0005-0000-0000-0000ED8C0000}"/>
    <cellStyle name="Normal 53 5" xfId="36325" xr:uid="{00000000-0005-0000-0000-0000EE8C0000}"/>
    <cellStyle name="Normal 53 5 2" xfId="36326" xr:uid="{00000000-0005-0000-0000-0000EF8C0000}"/>
    <cellStyle name="Normal 53 5 2 2" xfId="36327" xr:uid="{00000000-0005-0000-0000-0000F08C0000}"/>
    <cellStyle name="Normal 53 5 3" xfId="36328" xr:uid="{00000000-0005-0000-0000-0000F18C0000}"/>
    <cellStyle name="Normal 53 6" xfId="36329" xr:uid="{00000000-0005-0000-0000-0000F28C0000}"/>
    <cellStyle name="Normal 53 6 2" xfId="36330" xr:uid="{00000000-0005-0000-0000-0000F38C0000}"/>
    <cellStyle name="Normal 53 6 2 2" xfId="36331" xr:uid="{00000000-0005-0000-0000-0000F48C0000}"/>
    <cellStyle name="Normal 53 6 3" xfId="36332" xr:uid="{00000000-0005-0000-0000-0000F58C0000}"/>
    <cellStyle name="Normal 53 7" xfId="36333" xr:uid="{00000000-0005-0000-0000-0000F68C0000}"/>
    <cellStyle name="Normal 530" xfId="36334" xr:uid="{00000000-0005-0000-0000-0000F78C0000}"/>
    <cellStyle name="Normal 530 2" xfId="36335" xr:uid="{00000000-0005-0000-0000-0000F88C0000}"/>
    <cellStyle name="Normal 530 2 2" xfId="36336" xr:uid="{00000000-0005-0000-0000-0000F98C0000}"/>
    <cellStyle name="Normal 530 2 2 2" xfId="36337" xr:uid="{00000000-0005-0000-0000-0000FA8C0000}"/>
    <cellStyle name="Normal 530 2 3" xfId="36338" xr:uid="{00000000-0005-0000-0000-0000FB8C0000}"/>
    <cellStyle name="Normal 530 2 3 2" xfId="36339" xr:uid="{00000000-0005-0000-0000-0000FC8C0000}"/>
    <cellStyle name="Normal 530 2 3 2 2" xfId="36340" xr:uid="{00000000-0005-0000-0000-0000FD8C0000}"/>
    <cellStyle name="Normal 530 2 3 3" xfId="36341" xr:uid="{00000000-0005-0000-0000-0000FE8C0000}"/>
    <cellStyle name="Normal 530 2 4" xfId="36342" xr:uid="{00000000-0005-0000-0000-0000FF8C0000}"/>
    <cellStyle name="Normal 530 3" xfId="36343" xr:uid="{00000000-0005-0000-0000-0000008D0000}"/>
    <cellStyle name="Normal 530 3 2" xfId="36344" xr:uid="{00000000-0005-0000-0000-0000018D0000}"/>
    <cellStyle name="Normal 530 3 2 2" xfId="36345" xr:uid="{00000000-0005-0000-0000-0000028D0000}"/>
    <cellStyle name="Normal 530 3 3" xfId="36346" xr:uid="{00000000-0005-0000-0000-0000038D0000}"/>
    <cellStyle name="Normal 530 4" xfId="36347" xr:uid="{00000000-0005-0000-0000-0000048D0000}"/>
    <cellStyle name="Normal 530 4 2" xfId="36348" xr:uid="{00000000-0005-0000-0000-0000058D0000}"/>
    <cellStyle name="Normal 530 4 2 2" xfId="36349" xr:uid="{00000000-0005-0000-0000-0000068D0000}"/>
    <cellStyle name="Normal 530 4 3" xfId="36350" xr:uid="{00000000-0005-0000-0000-0000078D0000}"/>
    <cellStyle name="Normal 530 5" xfId="36351" xr:uid="{00000000-0005-0000-0000-0000088D0000}"/>
    <cellStyle name="Normal 530 5 2" xfId="36352" xr:uid="{00000000-0005-0000-0000-0000098D0000}"/>
    <cellStyle name="Normal 530 5 2 2" xfId="36353" xr:uid="{00000000-0005-0000-0000-00000A8D0000}"/>
    <cellStyle name="Normal 530 5 3" xfId="36354" xr:uid="{00000000-0005-0000-0000-00000B8D0000}"/>
    <cellStyle name="Normal 530 6" xfId="36355" xr:uid="{00000000-0005-0000-0000-00000C8D0000}"/>
    <cellStyle name="Normal 531" xfId="36356" xr:uid="{00000000-0005-0000-0000-00000D8D0000}"/>
    <cellStyle name="Normal 531 2" xfId="36357" xr:uid="{00000000-0005-0000-0000-00000E8D0000}"/>
    <cellStyle name="Normal 531 2 2" xfId="36358" xr:uid="{00000000-0005-0000-0000-00000F8D0000}"/>
    <cellStyle name="Normal 531 2 2 2" xfId="36359" xr:uid="{00000000-0005-0000-0000-0000108D0000}"/>
    <cellStyle name="Normal 531 2 3" xfId="36360" xr:uid="{00000000-0005-0000-0000-0000118D0000}"/>
    <cellStyle name="Normal 531 2 3 2" xfId="36361" xr:uid="{00000000-0005-0000-0000-0000128D0000}"/>
    <cellStyle name="Normal 531 2 3 2 2" xfId="36362" xr:uid="{00000000-0005-0000-0000-0000138D0000}"/>
    <cellStyle name="Normal 531 2 3 3" xfId="36363" xr:uid="{00000000-0005-0000-0000-0000148D0000}"/>
    <cellStyle name="Normal 531 2 4" xfId="36364" xr:uid="{00000000-0005-0000-0000-0000158D0000}"/>
    <cellStyle name="Normal 531 3" xfId="36365" xr:uid="{00000000-0005-0000-0000-0000168D0000}"/>
    <cellStyle name="Normal 531 3 2" xfId="36366" xr:uid="{00000000-0005-0000-0000-0000178D0000}"/>
    <cellStyle name="Normal 531 3 2 2" xfId="36367" xr:uid="{00000000-0005-0000-0000-0000188D0000}"/>
    <cellStyle name="Normal 531 3 3" xfId="36368" xr:uid="{00000000-0005-0000-0000-0000198D0000}"/>
    <cellStyle name="Normal 531 4" xfId="36369" xr:uid="{00000000-0005-0000-0000-00001A8D0000}"/>
    <cellStyle name="Normal 531 4 2" xfId="36370" xr:uid="{00000000-0005-0000-0000-00001B8D0000}"/>
    <cellStyle name="Normal 531 4 2 2" xfId="36371" xr:uid="{00000000-0005-0000-0000-00001C8D0000}"/>
    <cellStyle name="Normal 531 4 3" xfId="36372" xr:uid="{00000000-0005-0000-0000-00001D8D0000}"/>
    <cellStyle name="Normal 531 5" xfId="36373" xr:uid="{00000000-0005-0000-0000-00001E8D0000}"/>
    <cellStyle name="Normal 531 5 2" xfId="36374" xr:uid="{00000000-0005-0000-0000-00001F8D0000}"/>
    <cellStyle name="Normal 531 5 2 2" xfId="36375" xr:uid="{00000000-0005-0000-0000-0000208D0000}"/>
    <cellStyle name="Normal 531 5 3" xfId="36376" xr:uid="{00000000-0005-0000-0000-0000218D0000}"/>
    <cellStyle name="Normal 531 6" xfId="36377" xr:uid="{00000000-0005-0000-0000-0000228D0000}"/>
    <cellStyle name="Normal 532" xfId="36378" xr:uid="{00000000-0005-0000-0000-0000238D0000}"/>
    <cellStyle name="Normal 532 2" xfId="36379" xr:uid="{00000000-0005-0000-0000-0000248D0000}"/>
    <cellStyle name="Normal 532 2 2" xfId="36380" xr:uid="{00000000-0005-0000-0000-0000258D0000}"/>
    <cellStyle name="Normal 532 2 2 2" xfId="36381" xr:uid="{00000000-0005-0000-0000-0000268D0000}"/>
    <cellStyle name="Normal 532 2 3" xfId="36382" xr:uid="{00000000-0005-0000-0000-0000278D0000}"/>
    <cellStyle name="Normal 532 2 3 2" xfId="36383" xr:uid="{00000000-0005-0000-0000-0000288D0000}"/>
    <cellStyle name="Normal 532 2 3 2 2" xfId="36384" xr:uid="{00000000-0005-0000-0000-0000298D0000}"/>
    <cellStyle name="Normal 532 2 3 3" xfId="36385" xr:uid="{00000000-0005-0000-0000-00002A8D0000}"/>
    <cellStyle name="Normal 532 2 4" xfId="36386" xr:uid="{00000000-0005-0000-0000-00002B8D0000}"/>
    <cellStyle name="Normal 532 3" xfId="36387" xr:uid="{00000000-0005-0000-0000-00002C8D0000}"/>
    <cellStyle name="Normal 532 3 2" xfId="36388" xr:uid="{00000000-0005-0000-0000-00002D8D0000}"/>
    <cellStyle name="Normal 532 3 2 2" xfId="36389" xr:uid="{00000000-0005-0000-0000-00002E8D0000}"/>
    <cellStyle name="Normal 532 3 3" xfId="36390" xr:uid="{00000000-0005-0000-0000-00002F8D0000}"/>
    <cellStyle name="Normal 532 4" xfId="36391" xr:uid="{00000000-0005-0000-0000-0000308D0000}"/>
    <cellStyle name="Normal 532 4 2" xfId="36392" xr:uid="{00000000-0005-0000-0000-0000318D0000}"/>
    <cellStyle name="Normal 532 4 2 2" xfId="36393" xr:uid="{00000000-0005-0000-0000-0000328D0000}"/>
    <cellStyle name="Normal 532 4 3" xfId="36394" xr:uid="{00000000-0005-0000-0000-0000338D0000}"/>
    <cellStyle name="Normal 532 5" xfId="36395" xr:uid="{00000000-0005-0000-0000-0000348D0000}"/>
    <cellStyle name="Normal 532 5 2" xfId="36396" xr:uid="{00000000-0005-0000-0000-0000358D0000}"/>
    <cellStyle name="Normal 532 5 2 2" xfId="36397" xr:uid="{00000000-0005-0000-0000-0000368D0000}"/>
    <cellStyle name="Normal 532 5 3" xfId="36398" xr:uid="{00000000-0005-0000-0000-0000378D0000}"/>
    <cellStyle name="Normal 532 6" xfId="36399" xr:uid="{00000000-0005-0000-0000-0000388D0000}"/>
    <cellStyle name="Normal 533" xfId="36400" xr:uid="{00000000-0005-0000-0000-0000398D0000}"/>
    <cellStyle name="Normal 533 2" xfId="36401" xr:uid="{00000000-0005-0000-0000-00003A8D0000}"/>
    <cellStyle name="Normal 533 2 2" xfId="36402" xr:uid="{00000000-0005-0000-0000-00003B8D0000}"/>
    <cellStyle name="Normal 533 2 2 2" xfId="36403" xr:uid="{00000000-0005-0000-0000-00003C8D0000}"/>
    <cellStyle name="Normal 533 2 3" xfId="36404" xr:uid="{00000000-0005-0000-0000-00003D8D0000}"/>
    <cellStyle name="Normal 533 2 3 2" xfId="36405" xr:uid="{00000000-0005-0000-0000-00003E8D0000}"/>
    <cellStyle name="Normal 533 2 3 2 2" xfId="36406" xr:uid="{00000000-0005-0000-0000-00003F8D0000}"/>
    <cellStyle name="Normal 533 2 3 3" xfId="36407" xr:uid="{00000000-0005-0000-0000-0000408D0000}"/>
    <cellStyle name="Normal 533 2 4" xfId="36408" xr:uid="{00000000-0005-0000-0000-0000418D0000}"/>
    <cellStyle name="Normal 533 3" xfId="36409" xr:uid="{00000000-0005-0000-0000-0000428D0000}"/>
    <cellStyle name="Normal 533 3 2" xfId="36410" xr:uid="{00000000-0005-0000-0000-0000438D0000}"/>
    <cellStyle name="Normal 533 3 2 2" xfId="36411" xr:uid="{00000000-0005-0000-0000-0000448D0000}"/>
    <cellStyle name="Normal 533 3 3" xfId="36412" xr:uid="{00000000-0005-0000-0000-0000458D0000}"/>
    <cellStyle name="Normal 533 4" xfId="36413" xr:uid="{00000000-0005-0000-0000-0000468D0000}"/>
    <cellStyle name="Normal 533 4 2" xfId="36414" xr:uid="{00000000-0005-0000-0000-0000478D0000}"/>
    <cellStyle name="Normal 533 4 2 2" xfId="36415" xr:uid="{00000000-0005-0000-0000-0000488D0000}"/>
    <cellStyle name="Normal 533 4 3" xfId="36416" xr:uid="{00000000-0005-0000-0000-0000498D0000}"/>
    <cellStyle name="Normal 533 5" xfId="36417" xr:uid="{00000000-0005-0000-0000-00004A8D0000}"/>
    <cellStyle name="Normal 533 5 2" xfId="36418" xr:uid="{00000000-0005-0000-0000-00004B8D0000}"/>
    <cellStyle name="Normal 533 5 2 2" xfId="36419" xr:uid="{00000000-0005-0000-0000-00004C8D0000}"/>
    <cellStyle name="Normal 533 5 3" xfId="36420" xr:uid="{00000000-0005-0000-0000-00004D8D0000}"/>
    <cellStyle name="Normal 533 6" xfId="36421" xr:uid="{00000000-0005-0000-0000-00004E8D0000}"/>
    <cellStyle name="Normal 534" xfId="36422" xr:uid="{00000000-0005-0000-0000-00004F8D0000}"/>
    <cellStyle name="Normal 534 2" xfId="36423" xr:uid="{00000000-0005-0000-0000-0000508D0000}"/>
    <cellStyle name="Normal 534 2 2" xfId="36424" xr:uid="{00000000-0005-0000-0000-0000518D0000}"/>
    <cellStyle name="Normal 534 2 2 2" xfId="36425" xr:uid="{00000000-0005-0000-0000-0000528D0000}"/>
    <cellStyle name="Normal 534 2 3" xfId="36426" xr:uid="{00000000-0005-0000-0000-0000538D0000}"/>
    <cellStyle name="Normal 534 2 3 2" xfId="36427" xr:uid="{00000000-0005-0000-0000-0000548D0000}"/>
    <cellStyle name="Normal 534 2 3 2 2" xfId="36428" xr:uid="{00000000-0005-0000-0000-0000558D0000}"/>
    <cellStyle name="Normal 534 2 3 3" xfId="36429" xr:uid="{00000000-0005-0000-0000-0000568D0000}"/>
    <cellStyle name="Normal 534 2 4" xfId="36430" xr:uid="{00000000-0005-0000-0000-0000578D0000}"/>
    <cellStyle name="Normal 534 3" xfId="36431" xr:uid="{00000000-0005-0000-0000-0000588D0000}"/>
    <cellStyle name="Normal 534 3 2" xfId="36432" xr:uid="{00000000-0005-0000-0000-0000598D0000}"/>
    <cellStyle name="Normal 534 3 2 2" xfId="36433" xr:uid="{00000000-0005-0000-0000-00005A8D0000}"/>
    <cellStyle name="Normal 534 3 3" xfId="36434" xr:uid="{00000000-0005-0000-0000-00005B8D0000}"/>
    <cellStyle name="Normal 534 4" xfId="36435" xr:uid="{00000000-0005-0000-0000-00005C8D0000}"/>
    <cellStyle name="Normal 534 4 2" xfId="36436" xr:uid="{00000000-0005-0000-0000-00005D8D0000}"/>
    <cellStyle name="Normal 534 4 2 2" xfId="36437" xr:uid="{00000000-0005-0000-0000-00005E8D0000}"/>
    <cellStyle name="Normal 534 4 3" xfId="36438" xr:uid="{00000000-0005-0000-0000-00005F8D0000}"/>
    <cellStyle name="Normal 534 5" xfId="36439" xr:uid="{00000000-0005-0000-0000-0000608D0000}"/>
    <cellStyle name="Normal 534 5 2" xfId="36440" xr:uid="{00000000-0005-0000-0000-0000618D0000}"/>
    <cellStyle name="Normal 534 5 2 2" xfId="36441" xr:uid="{00000000-0005-0000-0000-0000628D0000}"/>
    <cellStyle name="Normal 534 5 3" xfId="36442" xr:uid="{00000000-0005-0000-0000-0000638D0000}"/>
    <cellStyle name="Normal 534 6" xfId="36443" xr:uid="{00000000-0005-0000-0000-0000648D0000}"/>
    <cellStyle name="Normal 535" xfId="36444" xr:uid="{00000000-0005-0000-0000-0000658D0000}"/>
    <cellStyle name="Normal 535 2" xfId="36445" xr:uid="{00000000-0005-0000-0000-0000668D0000}"/>
    <cellStyle name="Normal 535 2 2" xfId="36446" xr:uid="{00000000-0005-0000-0000-0000678D0000}"/>
    <cellStyle name="Normal 535 2 2 2" xfId="36447" xr:uid="{00000000-0005-0000-0000-0000688D0000}"/>
    <cellStyle name="Normal 535 2 3" xfId="36448" xr:uid="{00000000-0005-0000-0000-0000698D0000}"/>
    <cellStyle name="Normal 535 2 3 2" xfId="36449" xr:uid="{00000000-0005-0000-0000-00006A8D0000}"/>
    <cellStyle name="Normal 535 2 3 2 2" xfId="36450" xr:uid="{00000000-0005-0000-0000-00006B8D0000}"/>
    <cellStyle name="Normal 535 2 3 3" xfId="36451" xr:uid="{00000000-0005-0000-0000-00006C8D0000}"/>
    <cellStyle name="Normal 535 2 4" xfId="36452" xr:uid="{00000000-0005-0000-0000-00006D8D0000}"/>
    <cellStyle name="Normal 535 3" xfId="36453" xr:uid="{00000000-0005-0000-0000-00006E8D0000}"/>
    <cellStyle name="Normal 535 3 2" xfId="36454" xr:uid="{00000000-0005-0000-0000-00006F8D0000}"/>
    <cellStyle name="Normal 535 3 2 2" xfId="36455" xr:uid="{00000000-0005-0000-0000-0000708D0000}"/>
    <cellStyle name="Normal 535 3 3" xfId="36456" xr:uid="{00000000-0005-0000-0000-0000718D0000}"/>
    <cellStyle name="Normal 535 4" xfId="36457" xr:uid="{00000000-0005-0000-0000-0000728D0000}"/>
    <cellStyle name="Normal 535 4 2" xfId="36458" xr:uid="{00000000-0005-0000-0000-0000738D0000}"/>
    <cellStyle name="Normal 535 4 2 2" xfId="36459" xr:uid="{00000000-0005-0000-0000-0000748D0000}"/>
    <cellStyle name="Normal 535 4 3" xfId="36460" xr:uid="{00000000-0005-0000-0000-0000758D0000}"/>
    <cellStyle name="Normal 535 5" xfId="36461" xr:uid="{00000000-0005-0000-0000-0000768D0000}"/>
    <cellStyle name="Normal 535 5 2" xfId="36462" xr:uid="{00000000-0005-0000-0000-0000778D0000}"/>
    <cellStyle name="Normal 535 5 2 2" xfId="36463" xr:uid="{00000000-0005-0000-0000-0000788D0000}"/>
    <cellStyle name="Normal 535 5 3" xfId="36464" xr:uid="{00000000-0005-0000-0000-0000798D0000}"/>
    <cellStyle name="Normal 535 6" xfId="36465" xr:uid="{00000000-0005-0000-0000-00007A8D0000}"/>
    <cellStyle name="Normal 536" xfId="36466" xr:uid="{00000000-0005-0000-0000-00007B8D0000}"/>
    <cellStyle name="Normal 536 2" xfId="36467" xr:uid="{00000000-0005-0000-0000-00007C8D0000}"/>
    <cellStyle name="Normal 536 2 2" xfId="36468" xr:uid="{00000000-0005-0000-0000-00007D8D0000}"/>
    <cellStyle name="Normal 536 2 2 2" xfId="36469" xr:uid="{00000000-0005-0000-0000-00007E8D0000}"/>
    <cellStyle name="Normal 536 2 3" xfId="36470" xr:uid="{00000000-0005-0000-0000-00007F8D0000}"/>
    <cellStyle name="Normal 536 2 3 2" xfId="36471" xr:uid="{00000000-0005-0000-0000-0000808D0000}"/>
    <cellStyle name="Normal 536 2 3 2 2" xfId="36472" xr:uid="{00000000-0005-0000-0000-0000818D0000}"/>
    <cellStyle name="Normal 536 2 3 3" xfId="36473" xr:uid="{00000000-0005-0000-0000-0000828D0000}"/>
    <cellStyle name="Normal 536 2 4" xfId="36474" xr:uid="{00000000-0005-0000-0000-0000838D0000}"/>
    <cellStyle name="Normal 536 3" xfId="36475" xr:uid="{00000000-0005-0000-0000-0000848D0000}"/>
    <cellStyle name="Normal 536 3 2" xfId="36476" xr:uid="{00000000-0005-0000-0000-0000858D0000}"/>
    <cellStyle name="Normal 536 3 2 2" xfId="36477" xr:uid="{00000000-0005-0000-0000-0000868D0000}"/>
    <cellStyle name="Normal 536 3 3" xfId="36478" xr:uid="{00000000-0005-0000-0000-0000878D0000}"/>
    <cellStyle name="Normal 536 4" xfId="36479" xr:uid="{00000000-0005-0000-0000-0000888D0000}"/>
    <cellStyle name="Normal 536 4 2" xfId="36480" xr:uid="{00000000-0005-0000-0000-0000898D0000}"/>
    <cellStyle name="Normal 536 4 2 2" xfId="36481" xr:uid="{00000000-0005-0000-0000-00008A8D0000}"/>
    <cellStyle name="Normal 536 4 3" xfId="36482" xr:uid="{00000000-0005-0000-0000-00008B8D0000}"/>
    <cellStyle name="Normal 536 5" xfId="36483" xr:uid="{00000000-0005-0000-0000-00008C8D0000}"/>
    <cellStyle name="Normal 536 5 2" xfId="36484" xr:uid="{00000000-0005-0000-0000-00008D8D0000}"/>
    <cellStyle name="Normal 536 5 2 2" xfId="36485" xr:uid="{00000000-0005-0000-0000-00008E8D0000}"/>
    <cellStyle name="Normal 536 5 3" xfId="36486" xr:uid="{00000000-0005-0000-0000-00008F8D0000}"/>
    <cellStyle name="Normal 536 6" xfId="36487" xr:uid="{00000000-0005-0000-0000-0000908D0000}"/>
    <cellStyle name="Normal 537" xfId="36488" xr:uid="{00000000-0005-0000-0000-0000918D0000}"/>
    <cellStyle name="Normal 537 2" xfId="36489" xr:uid="{00000000-0005-0000-0000-0000928D0000}"/>
    <cellStyle name="Normal 537 2 2" xfId="36490" xr:uid="{00000000-0005-0000-0000-0000938D0000}"/>
    <cellStyle name="Normal 537 2 2 2" xfId="36491" xr:uid="{00000000-0005-0000-0000-0000948D0000}"/>
    <cellStyle name="Normal 537 2 3" xfId="36492" xr:uid="{00000000-0005-0000-0000-0000958D0000}"/>
    <cellStyle name="Normal 537 2 3 2" xfId="36493" xr:uid="{00000000-0005-0000-0000-0000968D0000}"/>
    <cellStyle name="Normal 537 2 3 2 2" xfId="36494" xr:uid="{00000000-0005-0000-0000-0000978D0000}"/>
    <cellStyle name="Normal 537 2 3 3" xfId="36495" xr:uid="{00000000-0005-0000-0000-0000988D0000}"/>
    <cellStyle name="Normal 537 2 4" xfId="36496" xr:uid="{00000000-0005-0000-0000-0000998D0000}"/>
    <cellStyle name="Normal 537 3" xfId="36497" xr:uid="{00000000-0005-0000-0000-00009A8D0000}"/>
    <cellStyle name="Normal 537 3 2" xfId="36498" xr:uid="{00000000-0005-0000-0000-00009B8D0000}"/>
    <cellStyle name="Normal 537 3 2 2" xfId="36499" xr:uid="{00000000-0005-0000-0000-00009C8D0000}"/>
    <cellStyle name="Normal 537 3 3" xfId="36500" xr:uid="{00000000-0005-0000-0000-00009D8D0000}"/>
    <cellStyle name="Normal 537 4" xfId="36501" xr:uid="{00000000-0005-0000-0000-00009E8D0000}"/>
    <cellStyle name="Normal 537 4 2" xfId="36502" xr:uid="{00000000-0005-0000-0000-00009F8D0000}"/>
    <cellStyle name="Normal 537 4 2 2" xfId="36503" xr:uid="{00000000-0005-0000-0000-0000A08D0000}"/>
    <cellStyle name="Normal 537 4 3" xfId="36504" xr:uid="{00000000-0005-0000-0000-0000A18D0000}"/>
    <cellStyle name="Normal 537 5" xfId="36505" xr:uid="{00000000-0005-0000-0000-0000A28D0000}"/>
    <cellStyle name="Normal 537 5 2" xfId="36506" xr:uid="{00000000-0005-0000-0000-0000A38D0000}"/>
    <cellStyle name="Normal 537 5 2 2" xfId="36507" xr:uid="{00000000-0005-0000-0000-0000A48D0000}"/>
    <cellStyle name="Normal 537 5 3" xfId="36508" xr:uid="{00000000-0005-0000-0000-0000A58D0000}"/>
    <cellStyle name="Normal 537 6" xfId="36509" xr:uid="{00000000-0005-0000-0000-0000A68D0000}"/>
    <cellStyle name="Normal 538" xfId="36510" xr:uid="{00000000-0005-0000-0000-0000A78D0000}"/>
    <cellStyle name="Normal 538 2" xfId="36511" xr:uid="{00000000-0005-0000-0000-0000A88D0000}"/>
    <cellStyle name="Normal 538 2 2" xfId="36512" xr:uid="{00000000-0005-0000-0000-0000A98D0000}"/>
    <cellStyle name="Normal 538 2 2 2" xfId="36513" xr:uid="{00000000-0005-0000-0000-0000AA8D0000}"/>
    <cellStyle name="Normal 538 2 3" xfId="36514" xr:uid="{00000000-0005-0000-0000-0000AB8D0000}"/>
    <cellStyle name="Normal 538 2 3 2" xfId="36515" xr:uid="{00000000-0005-0000-0000-0000AC8D0000}"/>
    <cellStyle name="Normal 538 2 3 2 2" xfId="36516" xr:uid="{00000000-0005-0000-0000-0000AD8D0000}"/>
    <cellStyle name="Normal 538 2 3 3" xfId="36517" xr:uid="{00000000-0005-0000-0000-0000AE8D0000}"/>
    <cellStyle name="Normal 538 2 4" xfId="36518" xr:uid="{00000000-0005-0000-0000-0000AF8D0000}"/>
    <cellStyle name="Normal 538 3" xfId="36519" xr:uid="{00000000-0005-0000-0000-0000B08D0000}"/>
    <cellStyle name="Normal 538 3 2" xfId="36520" xr:uid="{00000000-0005-0000-0000-0000B18D0000}"/>
    <cellStyle name="Normal 538 3 2 2" xfId="36521" xr:uid="{00000000-0005-0000-0000-0000B28D0000}"/>
    <cellStyle name="Normal 538 3 3" xfId="36522" xr:uid="{00000000-0005-0000-0000-0000B38D0000}"/>
    <cellStyle name="Normal 538 4" xfId="36523" xr:uid="{00000000-0005-0000-0000-0000B48D0000}"/>
    <cellStyle name="Normal 538 4 2" xfId="36524" xr:uid="{00000000-0005-0000-0000-0000B58D0000}"/>
    <cellStyle name="Normal 538 4 2 2" xfId="36525" xr:uid="{00000000-0005-0000-0000-0000B68D0000}"/>
    <cellStyle name="Normal 538 4 3" xfId="36526" xr:uid="{00000000-0005-0000-0000-0000B78D0000}"/>
    <cellStyle name="Normal 538 5" xfId="36527" xr:uid="{00000000-0005-0000-0000-0000B88D0000}"/>
    <cellStyle name="Normal 538 5 2" xfId="36528" xr:uid="{00000000-0005-0000-0000-0000B98D0000}"/>
    <cellStyle name="Normal 538 5 2 2" xfId="36529" xr:uid="{00000000-0005-0000-0000-0000BA8D0000}"/>
    <cellStyle name="Normal 538 5 3" xfId="36530" xr:uid="{00000000-0005-0000-0000-0000BB8D0000}"/>
    <cellStyle name="Normal 538 6" xfId="36531" xr:uid="{00000000-0005-0000-0000-0000BC8D0000}"/>
    <cellStyle name="Normal 539" xfId="36532" xr:uid="{00000000-0005-0000-0000-0000BD8D0000}"/>
    <cellStyle name="Normal 539 2" xfId="36533" xr:uid="{00000000-0005-0000-0000-0000BE8D0000}"/>
    <cellStyle name="Normal 539 2 2" xfId="36534" xr:uid="{00000000-0005-0000-0000-0000BF8D0000}"/>
    <cellStyle name="Normal 539 2 2 2" xfId="36535" xr:uid="{00000000-0005-0000-0000-0000C08D0000}"/>
    <cellStyle name="Normal 539 2 3" xfId="36536" xr:uid="{00000000-0005-0000-0000-0000C18D0000}"/>
    <cellStyle name="Normal 539 2 3 2" xfId="36537" xr:uid="{00000000-0005-0000-0000-0000C28D0000}"/>
    <cellStyle name="Normal 539 2 3 2 2" xfId="36538" xr:uid="{00000000-0005-0000-0000-0000C38D0000}"/>
    <cellStyle name="Normal 539 2 3 3" xfId="36539" xr:uid="{00000000-0005-0000-0000-0000C48D0000}"/>
    <cellStyle name="Normal 539 2 4" xfId="36540" xr:uid="{00000000-0005-0000-0000-0000C58D0000}"/>
    <cellStyle name="Normal 539 3" xfId="36541" xr:uid="{00000000-0005-0000-0000-0000C68D0000}"/>
    <cellStyle name="Normal 539 3 2" xfId="36542" xr:uid="{00000000-0005-0000-0000-0000C78D0000}"/>
    <cellStyle name="Normal 539 3 2 2" xfId="36543" xr:uid="{00000000-0005-0000-0000-0000C88D0000}"/>
    <cellStyle name="Normal 539 3 3" xfId="36544" xr:uid="{00000000-0005-0000-0000-0000C98D0000}"/>
    <cellStyle name="Normal 539 4" xfId="36545" xr:uid="{00000000-0005-0000-0000-0000CA8D0000}"/>
    <cellStyle name="Normal 539 4 2" xfId="36546" xr:uid="{00000000-0005-0000-0000-0000CB8D0000}"/>
    <cellStyle name="Normal 539 4 2 2" xfId="36547" xr:uid="{00000000-0005-0000-0000-0000CC8D0000}"/>
    <cellStyle name="Normal 539 4 3" xfId="36548" xr:uid="{00000000-0005-0000-0000-0000CD8D0000}"/>
    <cellStyle name="Normal 539 5" xfId="36549" xr:uid="{00000000-0005-0000-0000-0000CE8D0000}"/>
    <cellStyle name="Normal 539 5 2" xfId="36550" xr:uid="{00000000-0005-0000-0000-0000CF8D0000}"/>
    <cellStyle name="Normal 539 5 2 2" xfId="36551" xr:uid="{00000000-0005-0000-0000-0000D08D0000}"/>
    <cellStyle name="Normal 539 5 3" xfId="36552" xr:uid="{00000000-0005-0000-0000-0000D18D0000}"/>
    <cellStyle name="Normal 539 6" xfId="36553" xr:uid="{00000000-0005-0000-0000-0000D28D0000}"/>
    <cellStyle name="Normal 54" xfId="36554" xr:uid="{00000000-0005-0000-0000-0000D38D0000}"/>
    <cellStyle name="Normal 54 2" xfId="36555" xr:uid="{00000000-0005-0000-0000-0000D48D0000}"/>
    <cellStyle name="Normal 54 2 2" xfId="36556" xr:uid="{00000000-0005-0000-0000-0000D58D0000}"/>
    <cellStyle name="Normal 54 2 2 2" xfId="36557" xr:uid="{00000000-0005-0000-0000-0000D68D0000}"/>
    <cellStyle name="Normal 54 2 2 2 2" xfId="36558" xr:uid="{00000000-0005-0000-0000-0000D78D0000}"/>
    <cellStyle name="Normal 54 2 2 3" xfId="36559" xr:uid="{00000000-0005-0000-0000-0000D88D0000}"/>
    <cellStyle name="Normal 54 2 2 3 2" xfId="36560" xr:uid="{00000000-0005-0000-0000-0000D98D0000}"/>
    <cellStyle name="Normal 54 2 2 3 2 2" xfId="36561" xr:uid="{00000000-0005-0000-0000-0000DA8D0000}"/>
    <cellStyle name="Normal 54 2 2 3 3" xfId="36562" xr:uid="{00000000-0005-0000-0000-0000DB8D0000}"/>
    <cellStyle name="Normal 54 2 2 4" xfId="36563" xr:uid="{00000000-0005-0000-0000-0000DC8D0000}"/>
    <cellStyle name="Normal 54 2 2 4 2" xfId="36564" xr:uid="{00000000-0005-0000-0000-0000DD8D0000}"/>
    <cellStyle name="Normal 54 2 2 4 2 2" xfId="36565" xr:uid="{00000000-0005-0000-0000-0000DE8D0000}"/>
    <cellStyle name="Normal 54 2 2 4 3" xfId="36566" xr:uid="{00000000-0005-0000-0000-0000DF8D0000}"/>
    <cellStyle name="Normal 54 2 2 5" xfId="36567" xr:uid="{00000000-0005-0000-0000-0000E08D0000}"/>
    <cellStyle name="Normal 54 2 3" xfId="36568" xr:uid="{00000000-0005-0000-0000-0000E18D0000}"/>
    <cellStyle name="Normal 54 2 3 2" xfId="36569" xr:uid="{00000000-0005-0000-0000-0000E28D0000}"/>
    <cellStyle name="Normal 54 2 3 2 2" xfId="36570" xr:uid="{00000000-0005-0000-0000-0000E38D0000}"/>
    <cellStyle name="Normal 54 2 3 3" xfId="36571" xr:uid="{00000000-0005-0000-0000-0000E48D0000}"/>
    <cellStyle name="Normal 54 2 4" xfId="36572" xr:uid="{00000000-0005-0000-0000-0000E58D0000}"/>
    <cellStyle name="Normal 54 2 4 2" xfId="36573" xr:uid="{00000000-0005-0000-0000-0000E68D0000}"/>
    <cellStyle name="Normal 54 2 4 2 2" xfId="36574" xr:uid="{00000000-0005-0000-0000-0000E78D0000}"/>
    <cellStyle name="Normal 54 2 4 3" xfId="36575" xr:uid="{00000000-0005-0000-0000-0000E88D0000}"/>
    <cellStyle name="Normal 54 2 5" xfId="36576" xr:uid="{00000000-0005-0000-0000-0000E98D0000}"/>
    <cellStyle name="Normal 54 2 5 2" xfId="36577" xr:uid="{00000000-0005-0000-0000-0000EA8D0000}"/>
    <cellStyle name="Normal 54 2 5 2 2" xfId="36578" xr:uid="{00000000-0005-0000-0000-0000EB8D0000}"/>
    <cellStyle name="Normal 54 2 5 3" xfId="36579" xr:uid="{00000000-0005-0000-0000-0000EC8D0000}"/>
    <cellStyle name="Normal 54 2 6" xfId="36580" xr:uid="{00000000-0005-0000-0000-0000ED8D0000}"/>
    <cellStyle name="Normal 54 3" xfId="36581" xr:uid="{00000000-0005-0000-0000-0000EE8D0000}"/>
    <cellStyle name="Normal 54 3 2" xfId="36582" xr:uid="{00000000-0005-0000-0000-0000EF8D0000}"/>
    <cellStyle name="Normal 54 3 2 2" xfId="36583" xr:uid="{00000000-0005-0000-0000-0000F08D0000}"/>
    <cellStyle name="Normal 54 3 3" xfId="36584" xr:uid="{00000000-0005-0000-0000-0000F18D0000}"/>
    <cellStyle name="Normal 54 3 3 2" xfId="36585" xr:uid="{00000000-0005-0000-0000-0000F28D0000}"/>
    <cellStyle name="Normal 54 3 3 2 2" xfId="36586" xr:uid="{00000000-0005-0000-0000-0000F38D0000}"/>
    <cellStyle name="Normal 54 3 3 3" xfId="36587" xr:uid="{00000000-0005-0000-0000-0000F48D0000}"/>
    <cellStyle name="Normal 54 3 4" xfId="36588" xr:uid="{00000000-0005-0000-0000-0000F58D0000}"/>
    <cellStyle name="Normal 54 3 4 2" xfId="36589" xr:uid="{00000000-0005-0000-0000-0000F68D0000}"/>
    <cellStyle name="Normal 54 3 4 2 2" xfId="36590" xr:uid="{00000000-0005-0000-0000-0000F78D0000}"/>
    <cellStyle name="Normal 54 3 4 3" xfId="36591" xr:uid="{00000000-0005-0000-0000-0000F88D0000}"/>
    <cellStyle name="Normal 54 3 5" xfId="36592" xr:uid="{00000000-0005-0000-0000-0000F98D0000}"/>
    <cellStyle name="Normal 54 4" xfId="36593" xr:uid="{00000000-0005-0000-0000-0000FA8D0000}"/>
    <cellStyle name="Normal 54 4 2" xfId="36594" xr:uid="{00000000-0005-0000-0000-0000FB8D0000}"/>
    <cellStyle name="Normal 54 4 2 2" xfId="36595" xr:uid="{00000000-0005-0000-0000-0000FC8D0000}"/>
    <cellStyle name="Normal 54 4 3" xfId="36596" xr:uid="{00000000-0005-0000-0000-0000FD8D0000}"/>
    <cellStyle name="Normal 54 5" xfId="36597" xr:uid="{00000000-0005-0000-0000-0000FE8D0000}"/>
    <cellStyle name="Normal 54 5 2" xfId="36598" xr:uid="{00000000-0005-0000-0000-0000FF8D0000}"/>
    <cellStyle name="Normal 54 5 2 2" xfId="36599" xr:uid="{00000000-0005-0000-0000-0000008E0000}"/>
    <cellStyle name="Normal 54 5 3" xfId="36600" xr:uid="{00000000-0005-0000-0000-0000018E0000}"/>
    <cellStyle name="Normal 54 6" xfId="36601" xr:uid="{00000000-0005-0000-0000-0000028E0000}"/>
    <cellStyle name="Normal 54 6 2" xfId="36602" xr:uid="{00000000-0005-0000-0000-0000038E0000}"/>
    <cellStyle name="Normal 54 6 2 2" xfId="36603" xr:uid="{00000000-0005-0000-0000-0000048E0000}"/>
    <cellStyle name="Normal 54 6 3" xfId="36604" xr:uid="{00000000-0005-0000-0000-0000058E0000}"/>
    <cellStyle name="Normal 54 7" xfId="36605" xr:uid="{00000000-0005-0000-0000-0000068E0000}"/>
    <cellStyle name="Normal 540" xfId="36606" xr:uid="{00000000-0005-0000-0000-0000078E0000}"/>
    <cellStyle name="Normal 540 2" xfId="36607" xr:uid="{00000000-0005-0000-0000-0000088E0000}"/>
    <cellStyle name="Normal 540 2 2" xfId="36608" xr:uid="{00000000-0005-0000-0000-0000098E0000}"/>
    <cellStyle name="Normal 540 2 2 2" xfId="36609" xr:uid="{00000000-0005-0000-0000-00000A8E0000}"/>
    <cellStyle name="Normal 540 2 3" xfId="36610" xr:uid="{00000000-0005-0000-0000-00000B8E0000}"/>
    <cellStyle name="Normal 540 2 3 2" xfId="36611" xr:uid="{00000000-0005-0000-0000-00000C8E0000}"/>
    <cellStyle name="Normal 540 2 3 2 2" xfId="36612" xr:uid="{00000000-0005-0000-0000-00000D8E0000}"/>
    <cellStyle name="Normal 540 2 3 3" xfId="36613" xr:uid="{00000000-0005-0000-0000-00000E8E0000}"/>
    <cellStyle name="Normal 540 2 4" xfId="36614" xr:uid="{00000000-0005-0000-0000-00000F8E0000}"/>
    <cellStyle name="Normal 540 3" xfId="36615" xr:uid="{00000000-0005-0000-0000-0000108E0000}"/>
    <cellStyle name="Normal 540 3 2" xfId="36616" xr:uid="{00000000-0005-0000-0000-0000118E0000}"/>
    <cellStyle name="Normal 540 3 2 2" xfId="36617" xr:uid="{00000000-0005-0000-0000-0000128E0000}"/>
    <cellStyle name="Normal 540 3 3" xfId="36618" xr:uid="{00000000-0005-0000-0000-0000138E0000}"/>
    <cellStyle name="Normal 540 4" xfId="36619" xr:uid="{00000000-0005-0000-0000-0000148E0000}"/>
    <cellStyle name="Normal 540 4 2" xfId="36620" xr:uid="{00000000-0005-0000-0000-0000158E0000}"/>
    <cellStyle name="Normal 540 4 2 2" xfId="36621" xr:uid="{00000000-0005-0000-0000-0000168E0000}"/>
    <cellStyle name="Normal 540 4 3" xfId="36622" xr:uid="{00000000-0005-0000-0000-0000178E0000}"/>
    <cellStyle name="Normal 540 5" xfId="36623" xr:uid="{00000000-0005-0000-0000-0000188E0000}"/>
    <cellStyle name="Normal 540 5 2" xfId="36624" xr:uid="{00000000-0005-0000-0000-0000198E0000}"/>
    <cellStyle name="Normal 540 5 2 2" xfId="36625" xr:uid="{00000000-0005-0000-0000-00001A8E0000}"/>
    <cellStyle name="Normal 540 5 3" xfId="36626" xr:uid="{00000000-0005-0000-0000-00001B8E0000}"/>
    <cellStyle name="Normal 540 6" xfId="36627" xr:uid="{00000000-0005-0000-0000-00001C8E0000}"/>
    <cellStyle name="Normal 541" xfId="36628" xr:uid="{00000000-0005-0000-0000-00001D8E0000}"/>
    <cellStyle name="Normal 541 2" xfId="36629" xr:uid="{00000000-0005-0000-0000-00001E8E0000}"/>
    <cellStyle name="Normal 541 2 2" xfId="36630" xr:uid="{00000000-0005-0000-0000-00001F8E0000}"/>
    <cellStyle name="Normal 541 2 2 2" xfId="36631" xr:uid="{00000000-0005-0000-0000-0000208E0000}"/>
    <cellStyle name="Normal 541 2 3" xfId="36632" xr:uid="{00000000-0005-0000-0000-0000218E0000}"/>
    <cellStyle name="Normal 541 2 3 2" xfId="36633" xr:uid="{00000000-0005-0000-0000-0000228E0000}"/>
    <cellStyle name="Normal 541 2 3 2 2" xfId="36634" xr:uid="{00000000-0005-0000-0000-0000238E0000}"/>
    <cellStyle name="Normal 541 2 3 3" xfId="36635" xr:uid="{00000000-0005-0000-0000-0000248E0000}"/>
    <cellStyle name="Normal 541 2 4" xfId="36636" xr:uid="{00000000-0005-0000-0000-0000258E0000}"/>
    <cellStyle name="Normal 541 3" xfId="36637" xr:uid="{00000000-0005-0000-0000-0000268E0000}"/>
    <cellStyle name="Normal 541 3 2" xfId="36638" xr:uid="{00000000-0005-0000-0000-0000278E0000}"/>
    <cellStyle name="Normal 541 3 2 2" xfId="36639" xr:uid="{00000000-0005-0000-0000-0000288E0000}"/>
    <cellStyle name="Normal 541 3 3" xfId="36640" xr:uid="{00000000-0005-0000-0000-0000298E0000}"/>
    <cellStyle name="Normal 541 4" xfId="36641" xr:uid="{00000000-0005-0000-0000-00002A8E0000}"/>
    <cellStyle name="Normal 541 4 2" xfId="36642" xr:uid="{00000000-0005-0000-0000-00002B8E0000}"/>
    <cellStyle name="Normal 541 4 2 2" xfId="36643" xr:uid="{00000000-0005-0000-0000-00002C8E0000}"/>
    <cellStyle name="Normal 541 4 3" xfId="36644" xr:uid="{00000000-0005-0000-0000-00002D8E0000}"/>
    <cellStyle name="Normal 541 5" xfId="36645" xr:uid="{00000000-0005-0000-0000-00002E8E0000}"/>
    <cellStyle name="Normal 541 5 2" xfId="36646" xr:uid="{00000000-0005-0000-0000-00002F8E0000}"/>
    <cellStyle name="Normal 541 5 2 2" xfId="36647" xr:uid="{00000000-0005-0000-0000-0000308E0000}"/>
    <cellStyle name="Normal 541 5 3" xfId="36648" xr:uid="{00000000-0005-0000-0000-0000318E0000}"/>
    <cellStyle name="Normal 541 6" xfId="36649" xr:uid="{00000000-0005-0000-0000-0000328E0000}"/>
    <cellStyle name="Normal 542" xfId="36650" xr:uid="{00000000-0005-0000-0000-0000338E0000}"/>
    <cellStyle name="Normal 542 2" xfId="36651" xr:uid="{00000000-0005-0000-0000-0000348E0000}"/>
    <cellStyle name="Normal 542 2 2" xfId="36652" xr:uid="{00000000-0005-0000-0000-0000358E0000}"/>
    <cellStyle name="Normal 542 2 2 2" xfId="36653" xr:uid="{00000000-0005-0000-0000-0000368E0000}"/>
    <cellStyle name="Normal 542 2 3" xfId="36654" xr:uid="{00000000-0005-0000-0000-0000378E0000}"/>
    <cellStyle name="Normal 542 2 3 2" xfId="36655" xr:uid="{00000000-0005-0000-0000-0000388E0000}"/>
    <cellStyle name="Normal 542 2 3 2 2" xfId="36656" xr:uid="{00000000-0005-0000-0000-0000398E0000}"/>
    <cellStyle name="Normal 542 2 3 3" xfId="36657" xr:uid="{00000000-0005-0000-0000-00003A8E0000}"/>
    <cellStyle name="Normal 542 2 4" xfId="36658" xr:uid="{00000000-0005-0000-0000-00003B8E0000}"/>
    <cellStyle name="Normal 542 3" xfId="36659" xr:uid="{00000000-0005-0000-0000-00003C8E0000}"/>
    <cellStyle name="Normal 542 3 2" xfId="36660" xr:uid="{00000000-0005-0000-0000-00003D8E0000}"/>
    <cellStyle name="Normal 542 3 2 2" xfId="36661" xr:uid="{00000000-0005-0000-0000-00003E8E0000}"/>
    <cellStyle name="Normal 542 3 3" xfId="36662" xr:uid="{00000000-0005-0000-0000-00003F8E0000}"/>
    <cellStyle name="Normal 542 4" xfId="36663" xr:uid="{00000000-0005-0000-0000-0000408E0000}"/>
    <cellStyle name="Normal 542 4 2" xfId="36664" xr:uid="{00000000-0005-0000-0000-0000418E0000}"/>
    <cellStyle name="Normal 542 4 2 2" xfId="36665" xr:uid="{00000000-0005-0000-0000-0000428E0000}"/>
    <cellStyle name="Normal 542 4 3" xfId="36666" xr:uid="{00000000-0005-0000-0000-0000438E0000}"/>
    <cellStyle name="Normal 542 5" xfId="36667" xr:uid="{00000000-0005-0000-0000-0000448E0000}"/>
    <cellStyle name="Normal 542 5 2" xfId="36668" xr:uid="{00000000-0005-0000-0000-0000458E0000}"/>
    <cellStyle name="Normal 542 5 2 2" xfId="36669" xr:uid="{00000000-0005-0000-0000-0000468E0000}"/>
    <cellStyle name="Normal 542 5 3" xfId="36670" xr:uid="{00000000-0005-0000-0000-0000478E0000}"/>
    <cellStyle name="Normal 542 6" xfId="36671" xr:uid="{00000000-0005-0000-0000-0000488E0000}"/>
    <cellStyle name="Normal 543" xfId="36672" xr:uid="{00000000-0005-0000-0000-0000498E0000}"/>
    <cellStyle name="Normal 543 2" xfId="36673" xr:uid="{00000000-0005-0000-0000-00004A8E0000}"/>
    <cellStyle name="Normal 543 2 2" xfId="36674" xr:uid="{00000000-0005-0000-0000-00004B8E0000}"/>
    <cellStyle name="Normal 543 2 2 2" xfId="36675" xr:uid="{00000000-0005-0000-0000-00004C8E0000}"/>
    <cellStyle name="Normal 543 2 3" xfId="36676" xr:uid="{00000000-0005-0000-0000-00004D8E0000}"/>
    <cellStyle name="Normal 543 2 3 2" xfId="36677" xr:uid="{00000000-0005-0000-0000-00004E8E0000}"/>
    <cellStyle name="Normal 543 2 3 2 2" xfId="36678" xr:uid="{00000000-0005-0000-0000-00004F8E0000}"/>
    <cellStyle name="Normal 543 2 3 3" xfId="36679" xr:uid="{00000000-0005-0000-0000-0000508E0000}"/>
    <cellStyle name="Normal 543 2 4" xfId="36680" xr:uid="{00000000-0005-0000-0000-0000518E0000}"/>
    <cellStyle name="Normal 543 3" xfId="36681" xr:uid="{00000000-0005-0000-0000-0000528E0000}"/>
    <cellStyle name="Normal 543 3 2" xfId="36682" xr:uid="{00000000-0005-0000-0000-0000538E0000}"/>
    <cellStyle name="Normal 543 3 2 2" xfId="36683" xr:uid="{00000000-0005-0000-0000-0000548E0000}"/>
    <cellStyle name="Normal 543 3 3" xfId="36684" xr:uid="{00000000-0005-0000-0000-0000558E0000}"/>
    <cellStyle name="Normal 543 4" xfId="36685" xr:uid="{00000000-0005-0000-0000-0000568E0000}"/>
    <cellStyle name="Normal 543 4 2" xfId="36686" xr:uid="{00000000-0005-0000-0000-0000578E0000}"/>
    <cellStyle name="Normal 543 4 2 2" xfId="36687" xr:uid="{00000000-0005-0000-0000-0000588E0000}"/>
    <cellStyle name="Normal 543 4 3" xfId="36688" xr:uid="{00000000-0005-0000-0000-0000598E0000}"/>
    <cellStyle name="Normal 543 5" xfId="36689" xr:uid="{00000000-0005-0000-0000-00005A8E0000}"/>
    <cellStyle name="Normal 543 5 2" xfId="36690" xr:uid="{00000000-0005-0000-0000-00005B8E0000}"/>
    <cellStyle name="Normal 543 5 2 2" xfId="36691" xr:uid="{00000000-0005-0000-0000-00005C8E0000}"/>
    <cellStyle name="Normal 543 5 3" xfId="36692" xr:uid="{00000000-0005-0000-0000-00005D8E0000}"/>
    <cellStyle name="Normal 543 6" xfId="36693" xr:uid="{00000000-0005-0000-0000-00005E8E0000}"/>
    <cellStyle name="Normal 544" xfId="36694" xr:uid="{00000000-0005-0000-0000-00005F8E0000}"/>
    <cellStyle name="Normal 544 2" xfId="36695" xr:uid="{00000000-0005-0000-0000-0000608E0000}"/>
    <cellStyle name="Normal 544 2 2" xfId="36696" xr:uid="{00000000-0005-0000-0000-0000618E0000}"/>
    <cellStyle name="Normal 544 2 2 2" xfId="36697" xr:uid="{00000000-0005-0000-0000-0000628E0000}"/>
    <cellStyle name="Normal 544 2 3" xfId="36698" xr:uid="{00000000-0005-0000-0000-0000638E0000}"/>
    <cellStyle name="Normal 544 2 3 2" xfId="36699" xr:uid="{00000000-0005-0000-0000-0000648E0000}"/>
    <cellStyle name="Normal 544 2 3 2 2" xfId="36700" xr:uid="{00000000-0005-0000-0000-0000658E0000}"/>
    <cellStyle name="Normal 544 2 3 3" xfId="36701" xr:uid="{00000000-0005-0000-0000-0000668E0000}"/>
    <cellStyle name="Normal 544 2 4" xfId="36702" xr:uid="{00000000-0005-0000-0000-0000678E0000}"/>
    <cellStyle name="Normal 544 3" xfId="36703" xr:uid="{00000000-0005-0000-0000-0000688E0000}"/>
    <cellStyle name="Normal 544 3 2" xfId="36704" xr:uid="{00000000-0005-0000-0000-0000698E0000}"/>
    <cellStyle name="Normal 544 3 2 2" xfId="36705" xr:uid="{00000000-0005-0000-0000-00006A8E0000}"/>
    <cellStyle name="Normal 544 3 3" xfId="36706" xr:uid="{00000000-0005-0000-0000-00006B8E0000}"/>
    <cellStyle name="Normal 544 4" xfId="36707" xr:uid="{00000000-0005-0000-0000-00006C8E0000}"/>
    <cellStyle name="Normal 544 4 2" xfId="36708" xr:uid="{00000000-0005-0000-0000-00006D8E0000}"/>
    <cellStyle name="Normal 544 4 2 2" xfId="36709" xr:uid="{00000000-0005-0000-0000-00006E8E0000}"/>
    <cellStyle name="Normal 544 4 3" xfId="36710" xr:uid="{00000000-0005-0000-0000-00006F8E0000}"/>
    <cellStyle name="Normal 544 5" xfId="36711" xr:uid="{00000000-0005-0000-0000-0000708E0000}"/>
    <cellStyle name="Normal 544 5 2" xfId="36712" xr:uid="{00000000-0005-0000-0000-0000718E0000}"/>
    <cellStyle name="Normal 544 5 2 2" xfId="36713" xr:uid="{00000000-0005-0000-0000-0000728E0000}"/>
    <cellStyle name="Normal 544 5 3" xfId="36714" xr:uid="{00000000-0005-0000-0000-0000738E0000}"/>
    <cellStyle name="Normal 544 6" xfId="36715" xr:uid="{00000000-0005-0000-0000-0000748E0000}"/>
    <cellStyle name="Normal 545" xfId="36716" xr:uid="{00000000-0005-0000-0000-0000758E0000}"/>
    <cellStyle name="Normal 545 2" xfId="36717" xr:uid="{00000000-0005-0000-0000-0000768E0000}"/>
    <cellStyle name="Normal 545 2 2" xfId="36718" xr:uid="{00000000-0005-0000-0000-0000778E0000}"/>
    <cellStyle name="Normal 545 2 2 2" xfId="36719" xr:uid="{00000000-0005-0000-0000-0000788E0000}"/>
    <cellStyle name="Normal 545 2 3" xfId="36720" xr:uid="{00000000-0005-0000-0000-0000798E0000}"/>
    <cellStyle name="Normal 545 2 3 2" xfId="36721" xr:uid="{00000000-0005-0000-0000-00007A8E0000}"/>
    <cellStyle name="Normal 545 2 3 2 2" xfId="36722" xr:uid="{00000000-0005-0000-0000-00007B8E0000}"/>
    <cellStyle name="Normal 545 2 3 3" xfId="36723" xr:uid="{00000000-0005-0000-0000-00007C8E0000}"/>
    <cellStyle name="Normal 545 2 4" xfId="36724" xr:uid="{00000000-0005-0000-0000-00007D8E0000}"/>
    <cellStyle name="Normal 545 3" xfId="36725" xr:uid="{00000000-0005-0000-0000-00007E8E0000}"/>
    <cellStyle name="Normal 545 3 2" xfId="36726" xr:uid="{00000000-0005-0000-0000-00007F8E0000}"/>
    <cellStyle name="Normal 545 3 2 2" xfId="36727" xr:uid="{00000000-0005-0000-0000-0000808E0000}"/>
    <cellStyle name="Normal 545 3 3" xfId="36728" xr:uid="{00000000-0005-0000-0000-0000818E0000}"/>
    <cellStyle name="Normal 545 4" xfId="36729" xr:uid="{00000000-0005-0000-0000-0000828E0000}"/>
    <cellStyle name="Normal 545 4 2" xfId="36730" xr:uid="{00000000-0005-0000-0000-0000838E0000}"/>
    <cellStyle name="Normal 545 4 2 2" xfId="36731" xr:uid="{00000000-0005-0000-0000-0000848E0000}"/>
    <cellStyle name="Normal 545 4 3" xfId="36732" xr:uid="{00000000-0005-0000-0000-0000858E0000}"/>
    <cellStyle name="Normal 545 5" xfId="36733" xr:uid="{00000000-0005-0000-0000-0000868E0000}"/>
    <cellStyle name="Normal 545 5 2" xfId="36734" xr:uid="{00000000-0005-0000-0000-0000878E0000}"/>
    <cellStyle name="Normal 545 5 2 2" xfId="36735" xr:uid="{00000000-0005-0000-0000-0000888E0000}"/>
    <cellStyle name="Normal 545 5 3" xfId="36736" xr:uid="{00000000-0005-0000-0000-0000898E0000}"/>
    <cellStyle name="Normal 545 6" xfId="36737" xr:uid="{00000000-0005-0000-0000-00008A8E0000}"/>
    <cellStyle name="Normal 546" xfId="36738" xr:uid="{00000000-0005-0000-0000-00008B8E0000}"/>
    <cellStyle name="Normal 546 2" xfId="36739" xr:uid="{00000000-0005-0000-0000-00008C8E0000}"/>
    <cellStyle name="Normal 546 2 2" xfId="36740" xr:uid="{00000000-0005-0000-0000-00008D8E0000}"/>
    <cellStyle name="Normal 546 2 2 2" xfId="36741" xr:uid="{00000000-0005-0000-0000-00008E8E0000}"/>
    <cellStyle name="Normal 546 2 3" xfId="36742" xr:uid="{00000000-0005-0000-0000-00008F8E0000}"/>
    <cellStyle name="Normal 546 2 3 2" xfId="36743" xr:uid="{00000000-0005-0000-0000-0000908E0000}"/>
    <cellStyle name="Normal 546 2 3 2 2" xfId="36744" xr:uid="{00000000-0005-0000-0000-0000918E0000}"/>
    <cellStyle name="Normal 546 2 3 3" xfId="36745" xr:uid="{00000000-0005-0000-0000-0000928E0000}"/>
    <cellStyle name="Normal 546 2 4" xfId="36746" xr:uid="{00000000-0005-0000-0000-0000938E0000}"/>
    <cellStyle name="Normal 546 3" xfId="36747" xr:uid="{00000000-0005-0000-0000-0000948E0000}"/>
    <cellStyle name="Normal 546 3 2" xfId="36748" xr:uid="{00000000-0005-0000-0000-0000958E0000}"/>
    <cellStyle name="Normal 546 3 2 2" xfId="36749" xr:uid="{00000000-0005-0000-0000-0000968E0000}"/>
    <cellStyle name="Normal 546 3 3" xfId="36750" xr:uid="{00000000-0005-0000-0000-0000978E0000}"/>
    <cellStyle name="Normal 546 4" xfId="36751" xr:uid="{00000000-0005-0000-0000-0000988E0000}"/>
    <cellStyle name="Normal 546 4 2" xfId="36752" xr:uid="{00000000-0005-0000-0000-0000998E0000}"/>
    <cellStyle name="Normal 546 4 2 2" xfId="36753" xr:uid="{00000000-0005-0000-0000-00009A8E0000}"/>
    <cellStyle name="Normal 546 4 3" xfId="36754" xr:uid="{00000000-0005-0000-0000-00009B8E0000}"/>
    <cellStyle name="Normal 546 5" xfId="36755" xr:uid="{00000000-0005-0000-0000-00009C8E0000}"/>
    <cellStyle name="Normal 546 5 2" xfId="36756" xr:uid="{00000000-0005-0000-0000-00009D8E0000}"/>
    <cellStyle name="Normal 546 5 2 2" xfId="36757" xr:uid="{00000000-0005-0000-0000-00009E8E0000}"/>
    <cellStyle name="Normal 546 5 3" xfId="36758" xr:uid="{00000000-0005-0000-0000-00009F8E0000}"/>
    <cellStyle name="Normal 546 6" xfId="36759" xr:uid="{00000000-0005-0000-0000-0000A08E0000}"/>
    <cellStyle name="Normal 547" xfId="36760" xr:uid="{00000000-0005-0000-0000-0000A18E0000}"/>
    <cellStyle name="Normal 547 2" xfId="36761" xr:uid="{00000000-0005-0000-0000-0000A28E0000}"/>
    <cellStyle name="Normal 547 2 2" xfId="36762" xr:uid="{00000000-0005-0000-0000-0000A38E0000}"/>
    <cellStyle name="Normal 547 2 2 2" xfId="36763" xr:uid="{00000000-0005-0000-0000-0000A48E0000}"/>
    <cellStyle name="Normal 547 2 3" xfId="36764" xr:uid="{00000000-0005-0000-0000-0000A58E0000}"/>
    <cellStyle name="Normal 547 2 3 2" xfId="36765" xr:uid="{00000000-0005-0000-0000-0000A68E0000}"/>
    <cellStyle name="Normal 547 2 3 2 2" xfId="36766" xr:uid="{00000000-0005-0000-0000-0000A78E0000}"/>
    <cellStyle name="Normal 547 2 3 3" xfId="36767" xr:uid="{00000000-0005-0000-0000-0000A88E0000}"/>
    <cellStyle name="Normal 547 2 4" xfId="36768" xr:uid="{00000000-0005-0000-0000-0000A98E0000}"/>
    <cellStyle name="Normal 547 3" xfId="36769" xr:uid="{00000000-0005-0000-0000-0000AA8E0000}"/>
    <cellStyle name="Normal 547 3 2" xfId="36770" xr:uid="{00000000-0005-0000-0000-0000AB8E0000}"/>
    <cellStyle name="Normal 547 3 2 2" xfId="36771" xr:uid="{00000000-0005-0000-0000-0000AC8E0000}"/>
    <cellStyle name="Normal 547 3 3" xfId="36772" xr:uid="{00000000-0005-0000-0000-0000AD8E0000}"/>
    <cellStyle name="Normal 547 4" xfId="36773" xr:uid="{00000000-0005-0000-0000-0000AE8E0000}"/>
    <cellStyle name="Normal 547 4 2" xfId="36774" xr:uid="{00000000-0005-0000-0000-0000AF8E0000}"/>
    <cellStyle name="Normal 547 4 2 2" xfId="36775" xr:uid="{00000000-0005-0000-0000-0000B08E0000}"/>
    <cellStyle name="Normal 547 4 3" xfId="36776" xr:uid="{00000000-0005-0000-0000-0000B18E0000}"/>
    <cellStyle name="Normal 547 5" xfId="36777" xr:uid="{00000000-0005-0000-0000-0000B28E0000}"/>
    <cellStyle name="Normal 547 5 2" xfId="36778" xr:uid="{00000000-0005-0000-0000-0000B38E0000}"/>
    <cellStyle name="Normal 547 5 2 2" xfId="36779" xr:uid="{00000000-0005-0000-0000-0000B48E0000}"/>
    <cellStyle name="Normal 547 5 3" xfId="36780" xr:uid="{00000000-0005-0000-0000-0000B58E0000}"/>
    <cellStyle name="Normal 547 6" xfId="36781" xr:uid="{00000000-0005-0000-0000-0000B68E0000}"/>
    <cellStyle name="Normal 548" xfId="36782" xr:uid="{00000000-0005-0000-0000-0000B78E0000}"/>
    <cellStyle name="Normal 548 2" xfId="36783" xr:uid="{00000000-0005-0000-0000-0000B88E0000}"/>
    <cellStyle name="Normal 548 2 2" xfId="36784" xr:uid="{00000000-0005-0000-0000-0000B98E0000}"/>
    <cellStyle name="Normal 548 2 2 2" xfId="36785" xr:uid="{00000000-0005-0000-0000-0000BA8E0000}"/>
    <cellStyle name="Normal 548 2 3" xfId="36786" xr:uid="{00000000-0005-0000-0000-0000BB8E0000}"/>
    <cellStyle name="Normal 548 2 3 2" xfId="36787" xr:uid="{00000000-0005-0000-0000-0000BC8E0000}"/>
    <cellStyle name="Normal 548 2 3 2 2" xfId="36788" xr:uid="{00000000-0005-0000-0000-0000BD8E0000}"/>
    <cellStyle name="Normal 548 2 3 3" xfId="36789" xr:uid="{00000000-0005-0000-0000-0000BE8E0000}"/>
    <cellStyle name="Normal 548 2 4" xfId="36790" xr:uid="{00000000-0005-0000-0000-0000BF8E0000}"/>
    <cellStyle name="Normal 548 3" xfId="36791" xr:uid="{00000000-0005-0000-0000-0000C08E0000}"/>
    <cellStyle name="Normal 548 3 2" xfId="36792" xr:uid="{00000000-0005-0000-0000-0000C18E0000}"/>
    <cellStyle name="Normal 548 3 2 2" xfId="36793" xr:uid="{00000000-0005-0000-0000-0000C28E0000}"/>
    <cellStyle name="Normal 548 3 3" xfId="36794" xr:uid="{00000000-0005-0000-0000-0000C38E0000}"/>
    <cellStyle name="Normal 548 4" xfId="36795" xr:uid="{00000000-0005-0000-0000-0000C48E0000}"/>
    <cellStyle name="Normal 548 4 2" xfId="36796" xr:uid="{00000000-0005-0000-0000-0000C58E0000}"/>
    <cellStyle name="Normal 548 4 2 2" xfId="36797" xr:uid="{00000000-0005-0000-0000-0000C68E0000}"/>
    <cellStyle name="Normal 548 4 3" xfId="36798" xr:uid="{00000000-0005-0000-0000-0000C78E0000}"/>
    <cellStyle name="Normal 548 5" xfId="36799" xr:uid="{00000000-0005-0000-0000-0000C88E0000}"/>
    <cellStyle name="Normal 548 5 2" xfId="36800" xr:uid="{00000000-0005-0000-0000-0000C98E0000}"/>
    <cellStyle name="Normal 548 5 2 2" xfId="36801" xr:uid="{00000000-0005-0000-0000-0000CA8E0000}"/>
    <cellStyle name="Normal 548 5 3" xfId="36802" xr:uid="{00000000-0005-0000-0000-0000CB8E0000}"/>
    <cellStyle name="Normal 548 6" xfId="36803" xr:uid="{00000000-0005-0000-0000-0000CC8E0000}"/>
    <cellStyle name="Normal 549" xfId="36804" xr:uid="{00000000-0005-0000-0000-0000CD8E0000}"/>
    <cellStyle name="Normal 549 2" xfId="36805" xr:uid="{00000000-0005-0000-0000-0000CE8E0000}"/>
    <cellStyle name="Normal 549 2 2" xfId="36806" xr:uid="{00000000-0005-0000-0000-0000CF8E0000}"/>
    <cellStyle name="Normal 549 2 2 2" xfId="36807" xr:uid="{00000000-0005-0000-0000-0000D08E0000}"/>
    <cellStyle name="Normal 549 2 3" xfId="36808" xr:uid="{00000000-0005-0000-0000-0000D18E0000}"/>
    <cellStyle name="Normal 549 2 3 2" xfId="36809" xr:uid="{00000000-0005-0000-0000-0000D28E0000}"/>
    <cellStyle name="Normal 549 2 3 2 2" xfId="36810" xr:uid="{00000000-0005-0000-0000-0000D38E0000}"/>
    <cellStyle name="Normal 549 2 3 3" xfId="36811" xr:uid="{00000000-0005-0000-0000-0000D48E0000}"/>
    <cellStyle name="Normal 549 2 4" xfId="36812" xr:uid="{00000000-0005-0000-0000-0000D58E0000}"/>
    <cellStyle name="Normal 549 3" xfId="36813" xr:uid="{00000000-0005-0000-0000-0000D68E0000}"/>
    <cellStyle name="Normal 549 3 2" xfId="36814" xr:uid="{00000000-0005-0000-0000-0000D78E0000}"/>
    <cellStyle name="Normal 549 3 2 2" xfId="36815" xr:uid="{00000000-0005-0000-0000-0000D88E0000}"/>
    <cellStyle name="Normal 549 3 3" xfId="36816" xr:uid="{00000000-0005-0000-0000-0000D98E0000}"/>
    <cellStyle name="Normal 549 4" xfId="36817" xr:uid="{00000000-0005-0000-0000-0000DA8E0000}"/>
    <cellStyle name="Normal 549 4 2" xfId="36818" xr:uid="{00000000-0005-0000-0000-0000DB8E0000}"/>
    <cellStyle name="Normal 549 4 2 2" xfId="36819" xr:uid="{00000000-0005-0000-0000-0000DC8E0000}"/>
    <cellStyle name="Normal 549 4 3" xfId="36820" xr:uid="{00000000-0005-0000-0000-0000DD8E0000}"/>
    <cellStyle name="Normal 549 5" xfId="36821" xr:uid="{00000000-0005-0000-0000-0000DE8E0000}"/>
    <cellStyle name="Normal 549 5 2" xfId="36822" xr:uid="{00000000-0005-0000-0000-0000DF8E0000}"/>
    <cellStyle name="Normal 549 5 2 2" xfId="36823" xr:uid="{00000000-0005-0000-0000-0000E08E0000}"/>
    <cellStyle name="Normal 549 5 3" xfId="36824" xr:uid="{00000000-0005-0000-0000-0000E18E0000}"/>
    <cellStyle name="Normal 549 6" xfId="36825" xr:uid="{00000000-0005-0000-0000-0000E28E0000}"/>
    <cellStyle name="Normal 55" xfId="36826" xr:uid="{00000000-0005-0000-0000-0000E38E0000}"/>
    <cellStyle name="Normal 55 2" xfId="36827" xr:uid="{00000000-0005-0000-0000-0000E48E0000}"/>
    <cellStyle name="Normal 55 2 2" xfId="36828" xr:uid="{00000000-0005-0000-0000-0000E58E0000}"/>
    <cellStyle name="Normal 55 2 2 2" xfId="36829" xr:uid="{00000000-0005-0000-0000-0000E68E0000}"/>
    <cellStyle name="Normal 55 2 3" xfId="36830" xr:uid="{00000000-0005-0000-0000-0000E78E0000}"/>
    <cellStyle name="Normal 55 2 3 2" xfId="36831" xr:uid="{00000000-0005-0000-0000-0000E88E0000}"/>
    <cellStyle name="Normal 55 2 3 2 2" xfId="36832" xr:uid="{00000000-0005-0000-0000-0000E98E0000}"/>
    <cellStyle name="Normal 55 2 3 3" xfId="36833" xr:uid="{00000000-0005-0000-0000-0000EA8E0000}"/>
    <cellStyle name="Normal 55 2 4" xfId="36834" xr:uid="{00000000-0005-0000-0000-0000EB8E0000}"/>
    <cellStyle name="Normal 55 2 4 2" xfId="36835" xr:uid="{00000000-0005-0000-0000-0000EC8E0000}"/>
    <cellStyle name="Normal 55 2 4 2 2" xfId="36836" xr:uid="{00000000-0005-0000-0000-0000ED8E0000}"/>
    <cellStyle name="Normal 55 2 4 3" xfId="36837" xr:uid="{00000000-0005-0000-0000-0000EE8E0000}"/>
    <cellStyle name="Normal 55 2 5" xfId="36838" xr:uid="{00000000-0005-0000-0000-0000EF8E0000}"/>
    <cellStyle name="Normal 55 3" xfId="36839" xr:uid="{00000000-0005-0000-0000-0000F08E0000}"/>
    <cellStyle name="Normal 55 3 2" xfId="36840" xr:uid="{00000000-0005-0000-0000-0000F18E0000}"/>
    <cellStyle name="Normal 55 3 2 2" xfId="36841" xr:uid="{00000000-0005-0000-0000-0000F28E0000}"/>
    <cellStyle name="Normal 55 3 2 2 2" xfId="36842" xr:uid="{00000000-0005-0000-0000-0000F38E0000}"/>
    <cellStyle name="Normal 55 3 2 3" xfId="36843" xr:uid="{00000000-0005-0000-0000-0000F48E0000}"/>
    <cellStyle name="Normal 55 3 2 3 2" xfId="36844" xr:uid="{00000000-0005-0000-0000-0000F58E0000}"/>
    <cellStyle name="Normal 55 3 2 3 2 2" xfId="36845" xr:uid="{00000000-0005-0000-0000-0000F68E0000}"/>
    <cellStyle name="Normal 55 3 2 3 3" xfId="36846" xr:uid="{00000000-0005-0000-0000-0000F78E0000}"/>
    <cellStyle name="Normal 55 3 2 4" xfId="36847" xr:uid="{00000000-0005-0000-0000-0000F88E0000}"/>
    <cellStyle name="Normal 55 3 3" xfId="36848" xr:uid="{00000000-0005-0000-0000-0000F98E0000}"/>
    <cellStyle name="Normal 55 3 3 2" xfId="36849" xr:uid="{00000000-0005-0000-0000-0000FA8E0000}"/>
    <cellStyle name="Normal 55 3 3 2 2" xfId="36850" xr:uid="{00000000-0005-0000-0000-0000FB8E0000}"/>
    <cellStyle name="Normal 55 3 3 3" xfId="36851" xr:uid="{00000000-0005-0000-0000-0000FC8E0000}"/>
    <cellStyle name="Normal 55 3 4" xfId="36852" xr:uid="{00000000-0005-0000-0000-0000FD8E0000}"/>
    <cellStyle name="Normal 55 3 4 2" xfId="36853" xr:uid="{00000000-0005-0000-0000-0000FE8E0000}"/>
    <cellStyle name="Normal 55 3 4 2 2" xfId="36854" xr:uid="{00000000-0005-0000-0000-0000FF8E0000}"/>
    <cellStyle name="Normal 55 3 4 3" xfId="36855" xr:uid="{00000000-0005-0000-0000-0000008F0000}"/>
    <cellStyle name="Normal 55 3 5" xfId="36856" xr:uid="{00000000-0005-0000-0000-0000018F0000}"/>
    <cellStyle name="Normal 55 3 5 2" xfId="36857" xr:uid="{00000000-0005-0000-0000-0000028F0000}"/>
    <cellStyle name="Normal 55 3 5 2 2" xfId="36858" xr:uid="{00000000-0005-0000-0000-0000038F0000}"/>
    <cellStyle name="Normal 55 3 5 3" xfId="36859" xr:uid="{00000000-0005-0000-0000-0000048F0000}"/>
    <cellStyle name="Normal 55 3 6" xfId="36860" xr:uid="{00000000-0005-0000-0000-0000058F0000}"/>
    <cellStyle name="Normal 55 4" xfId="36861" xr:uid="{00000000-0005-0000-0000-0000068F0000}"/>
    <cellStyle name="Normal 55 4 2" xfId="36862" xr:uid="{00000000-0005-0000-0000-0000078F0000}"/>
    <cellStyle name="Normal 55 4 2 2" xfId="36863" xr:uid="{00000000-0005-0000-0000-0000088F0000}"/>
    <cellStyle name="Normal 55 4 3" xfId="36864" xr:uid="{00000000-0005-0000-0000-0000098F0000}"/>
    <cellStyle name="Normal 55 5" xfId="36865" xr:uid="{00000000-0005-0000-0000-00000A8F0000}"/>
    <cellStyle name="Normal 55 5 2" xfId="36866" xr:uid="{00000000-0005-0000-0000-00000B8F0000}"/>
    <cellStyle name="Normal 55 5 2 2" xfId="36867" xr:uid="{00000000-0005-0000-0000-00000C8F0000}"/>
    <cellStyle name="Normal 55 5 3" xfId="36868" xr:uid="{00000000-0005-0000-0000-00000D8F0000}"/>
    <cellStyle name="Normal 55 6" xfId="36869" xr:uid="{00000000-0005-0000-0000-00000E8F0000}"/>
    <cellStyle name="Normal 55 6 2" xfId="36870" xr:uid="{00000000-0005-0000-0000-00000F8F0000}"/>
    <cellStyle name="Normal 55 6 2 2" xfId="36871" xr:uid="{00000000-0005-0000-0000-0000108F0000}"/>
    <cellStyle name="Normal 55 6 3" xfId="36872" xr:uid="{00000000-0005-0000-0000-0000118F0000}"/>
    <cellStyle name="Normal 55 7" xfId="36873" xr:uid="{00000000-0005-0000-0000-0000128F0000}"/>
    <cellStyle name="Normal 550" xfId="36874" xr:uid="{00000000-0005-0000-0000-0000138F0000}"/>
    <cellStyle name="Normal 550 2" xfId="36875" xr:uid="{00000000-0005-0000-0000-0000148F0000}"/>
    <cellStyle name="Normal 550 2 2" xfId="36876" xr:uid="{00000000-0005-0000-0000-0000158F0000}"/>
    <cellStyle name="Normal 550 2 2 2" xfId="36877" xr:uid="{00000000-0005-0000-0000-0000168F0000}"/>
    <cellStyle name="Normal 550 2 3" xfId="36878" xr:uid="{00000000-0005-0000-0000-0000178F0000}"/>
    <cellStyle name="Normal 550 2 3 2" xfId="36879" xr:uid="{00000000-0005-0000-0000-0000188F0000}"/>
    <cellStyle name="Normal 550 2 3 2 2" xfId="36880" xr:uid="{00000000-0005-0000-0000-0000198F0000}"/>
    <cellStyle name="Normal 550 2 3 3" xfId="36881" xr:uid="{00000000-0005-0000-0000-00001A8F0000}"/>
    <cellStyle name="Normal 550 2 4" xfId="36882" xr:uid="{00000000-0005-0000-0000-00001B8F0000}"/>
    <cellStyle name="Normal 550 3" xfId="36883" xr:uid="{00000000-0005-0000-0000-00001C8F0000}"/>
    <cellStyle name="Normal 550 3 2" xfId="36884" xr:uid="{00000000-0005-0000-0000-00001D8F0000}"/>
    <cellStyle name="Normal 550 3 2 2" xfId="36885" xr:uid="{00000000-0005-0000-0000-00001E8F0000}"/>
    <cellStyle name="Normal 550 3 3" xfId="36886" xr:uid="{00000000-0005-0000-0000-00001F8F0000}"/>
    <cellStyle name="Normal 550 4" xfId="36887" xr:uid="{00000000-0005-0000-0000-0000208F0000}"/>
    <cellStyle name="Normal 550 4 2" xfId="36888" xr:uid="{00000000-0005-0000-0000-0000218F0000}"/>
    <cellStyle name="Normal 550 4 2 2" xfId="36889" xr:uid="{00000000-0005-0000-0000-0000228F0000}"/>
    <cellStyle name="Normal 550 4 3" xfId="36890" xr:uid="{00000000-0005-0000-0000-0000238F0000}"/>
    <cellStyle name="Normal 550 5" xfId="36891" xr:uid="{00000000-0005-0000-0000-0000248F0000}"/>
    <cellStyle name="Normal 550 5 2" xfId="36892" xr:uid="{00000000-0005-0000-0000-0000258F0000}"/>
    <cellStyle name="Normal 550 5 2 2" xfId="36893" xr:uid="{00000000-0005-0000-0000-0000268F0000}"/>
    <cellStyle name="Normal 550 5 3" xfId="36894" xr:uid="{00000000-0005-0000-0000-0000278F0000}"/>
    <cellStyle name="Normal 550 6" xfId="36895" xr:uid="{00000000-0005-0000-0000-0000288F0000}"/>
    <cellStyle name="Normal 551" xfId="36896" xr:uid="{00000000-0005-0000-0000-0000298F0000}"/>
    <cellStyle name="Normal 551 2" xfId="36897" xr:uid="{00000000-0005-0000-0000-00002A8F0000}"/>
    <cellStyle name="Normal 551 2 2" xfId="36898" xr:uid="{00000000-0005-0000-0000-00002B8F0000}"/>
    <cellStyle name="Normal 551 2 2 2" xfId="36899" xr:uid="{00000000-0005-0000-0000-00002C8F0000}"/>
    <cellStyle name="Normal 551 2 3" xfId="36900" xr:uid="{00000000-0005-0000-0000-00002D8F0000}"/>
    <cellStyle name="Normal 551 2 3 2" xfId="36901" xr:uid="{00000000-0005-0000-0000-00002E8F0000}"/>
    <cellStyle name="Normal 551 2 3 2 2" xfId="36902" xr:uid="{00000000-0005-0000-0000-00002F8F0000}"/>
    <cellStyle name="Normal 551 2 3 3" xfId="36903" xr:uid="{00000000-0005-0000-0000-0000308F0000}"/>
    <cellStyle name="Normal 551 2 4" xfId="36904" xr:uid="{00000000-0005-0000-0000-0000318F0000}"/>
    <cellStyle name="Normal 551 3" xfId="36905" xr:uid="{00000000-0005-0000-0000-0000328F0000}"/>
    <cellStyle name="Normal 551 3 2" xfId="36906" xr:uid="{00000000-0005-0000-0000-0000338F0000}"/>
    <cellStyle name="Normal 551 3 2 2" xfId="36907" xr:uid="{00000000-0005-0000-0000-0000348F0000}"/>
    <cellStyle name="Normal 551 3 3" xfId="36908" xr:uid="{00000000-0005-0000-0000-0000358F0000}"/>
    <cellStyle name="Normal 551 4" xfId="36909" xr:uid="{00000000-0005-0000-0000-0000368F0000}"/>
    <cellStyle name="Normal 551 4 2" xfId="36910" xr:uid="{00000000-0005-0000-0000-0000378F0000}"/>
    <cellStyle name="Normal 551 4 2 2" xfId="36911" xr:uid="{00000000-0005-0000-0000-0000388F0000}"/>
    <cellStyle name="Normal 551 4 3" xfId="36912" xr:uid="{00000000-0005-0000-0000-0000398F0000}"/>
    <cellStyle name="Normal 551 5" xfId="36913" xr:uid="{00000000-0005-0000-0000-00003A8F0000}"/>
    <cellStyle name="Normal 551 5 2" xfId="36914" xr:uid="{00000000-0005-0000-0000-00003B8F0000}"/>
    <cellStyle name="Normal 551 5 2 2" xfId="36915" xr:uid="{00000000-0005-0000-0000-00003C8F0000}"/>
    <cellStyle name="Normal 551 5 3" xfId="36916" xr:uid="{00000000-0005-0000-0000-00003D8F0000}"/>
    <cellStyle name="Normal 551 6" xfId="36917" xr:uid="{00000000-0005-0000-0000-00003E8F0000}"/>
    <cellStyle name="Normal 552" xfId="36918" xr:uid="{00000000-0005-0000-0000-00003F8F0000}"/>
    <cellStyle name="Normal 552 2" xfId="36919" xr:uid="{00000000-0005-0000-0000-0000408F0000}"/>
    <cellStyle name="Normal 552 2 2" xfId="36920" xr:uid="{00000000-0005-0000-0000-0000418F0000}"/>
    <cellStyle name="Normal 552 2 2 2" xfId="36921" xr:uid="{00000000-0005-0000-0000-0000428F0000}"/>
    <cellStyle name="Normal 552 2 3" xfId="36922" xr:uid="{00000000-0005-0000-0000-0000438F0000}"/>
    <cellStyle name="Normal 552 2 3 2" xfId="36923" xr:uid="{00000000-0005-0000-0000-0000448F0000}"/>
    <cellStyle name="Normal 552 2 3 2 2" xfId="36924" xr:uid="{00000000-0005-0000-0000-0000458F0000}"/>
    <cellStyle name="Normal 552 2 3 3" xfId="36925" xr:uid="{00000000-0005-0000-0000-0000468F0000}"/>
    <cellStyle name="Normal 552 2 4" xfId="36926" xr:uid="{00000000-0005-0000-0000-0000478F0000}"/>
    <cellStyle name="Normal 552 3" xfId="36927" xr:uid="{00000000-0005-0000-0000-0000488F0000}"/>
    <cellStyle name="Normal 552 3 2" xfId="36928" xr:uid="{00000000-0005-0000-0000-0000498F0000}"/>
    <cellStyle name="Normal 552 3 2 2" xfId="36929" xr:uid="{00000000-0005-0000-0000-00004A8F0000}"/>
    <cellStyle name="Normal 552 3 3" xfId="36930" xr:uid="{00000000-0005-0000-0000-00004B8F0000}"/>
    <cellStyle name="Normal 552 4" xfId="36931" xr:uid="{00000000-0005-0000-0000-00004C8F0000}"/>
    <cellStyle name="Normal 552 4 2" xfId="36932" xr:uid="{00000000-0005-0000-0000-00004D8F0000}"/>
    <cellStyle name="Normal 552 4 2 2" xfId="36933" xr:uid="{00000000-0005-0000-0000-00004E8F0000}"/>
    <cellStyle name="Normal 552 4 3" xfId="36934" xr:uid="{00000000-0005-0000-0000-00004F8F0000}"/>
    <cellStyle name="Normal 552 5" xfId="36935" xr:uid="{00000000-0005-0000-0000-0000508F0000}"/>
    <cellStyle name="Normal 552 5 2" xfId="36936" xr:uid="{00000000-0005-0000-0000-0000518F0000}"/>
    <cellStyle name="Normal 552 5 2 2" xfId="36937" xr:uid="{00000000-0005-0000-0000-0000528F0000}"/>
    <cellStyle name="Normal 552 5 3" xfId="36938" xr:uid="{00000000-0005-0000-0000-0000538F0000}"/>
    <cellStyle name="Normal 552 6" xfId="36939" xr:uid="{00000000-0005-0000-0000-0000548F0000}"/>
    <cellStyle name="Normal 553" xfId="36940" xr:uid="{00000000-0005-0000-0000-0000558F0000}"/>
    <cellStyle name="Normal 553 2" xfId="36941" xr:uid="{00000000-0005-0000-0000-0000568F0000}"/>
    <cellStyle name="Normal 553 2 2" xfId="36942" xr:uid="{00000000-0005-0000-0000-0000578F0000}"/>
    <cellStyle name="Normal 553 2 2 2" xfId="36943" xr:uid="{00000000-0005-0000-0000-0000588F0000}"/>
    <cellStyle name="Normal 553 2 3" xfId="36944" xr:uid="{00000000-0005-0000-0000-0000598F0000}"/>
    <cellStyle name="Normal 553 2 3 2" xfId="36945" xr:uid="{00000000-0005-0000-0000-00005A8F0000}"/>
    <cellStyle name="Normal 553 2 3 2 2" xfId="36946" xr:uid="{00000000-0005-0000-0000-00005B8F0000}"/>
    <cellStyle name="Normal 553 2 3 3" xfId="36947" xr:uid="{00000000-0005-0000-0000-00005C8F0000}"/>
    <cellStyle name="Normal 553 2 4" xfId="36948" xr:uid="{00000000-0005-0000-0000-00005D8F0000}"/>
    <cellStyle name="Normal 553 3" xfId="36949" xr:uid="{00000000-0005-0000-0000-00005E8F0000}"/>
    <cellStyle name="Normal 553 3 2" xfId="36950" xr:uid="{00000000-0005-0000-0000-00005F8F0000}"/>
    <cellStyle name="Normal 553 3 2 2" xfId="36951" xr:uid="{00000000-0005-0000-0000-0000608F0000}"/>
    <cellStyle name="Normal 553 3 3" xfId="36952" xr:uid="{00000000-0005-0000-0000-0000618F0000}"/>
    <cellStyle name="Normal 553 4" xfId="36953" xr:uid="{00000000-0005-0000-0000-0000628F0000}"/>
    <cellStyle name="Normal 553 4 2" xfId="36954" xr:uid="{00000000-0005-0000-0000-0000638F0000}"/>
    <cellStyle name="Normal 553 4 2 2" xfId="36955" xr:uid="{00000000-0005-0000-0000-0000648F0000}"/>
    <cellStyle name="Normal 553 4 3" xfId="36956" xr:uid="{00000000-0005-0000-0000-0000658F0000}"/>
    <cellStyle name="Normal 553 5" xfId="36957" xr:uid="{00000000-0005-0000-0000-0000668F0000}"/>
    <cellStyle name="Normal 553 5 2" xfId="36958" xr:uid="{00000000-0005-0000-0000-0000678F0000}"/>
    <cellStyle name="Normal 553 5 2 2" xfId="36959" xr:uid="{00000000-0005-0000-0000-0000688F0000}"/>
    <cellStyle name="Normal 553 5 3" xfId="36960" xr:uid="{00000000-0005-0000-0000-0000698F0000}"/>
    <cellStyle name="Normal 553 6" xfId="36961" xr:uid="{00000000-0005-0000-0000-00006A8F0000}"/>
    <cellStyle name="Normal 554" xfId="36962" xr:uid="{00000000-0005-0000-0000-00006B8F0000}"/>
    <cellStyle name="Normal 554 2" xfId="36963" xr:uid="{00000000-0005-0000-0000-00006C8F0000}"/>
    <cellStyle name="Normal 554 2 2" xfId="36964" xr:uid="{00000000-0005-0000-0000-00006D8F0000}"/>
    <cellStyle name="Normal 554 2 2 2" xfId="36965" xr:uid="{00000000-0005-0000-0000-00006E8F0000}"/>
    <cellStyle name="Normal 554 2 3" xfId="36966" xr:uid="{00000000-0005-0000-0000-00006F8F0000}"/>
    <cellStyle name="Normal 554 2 3 2" xfId="36967" xr:uid="{00000000-0005-0000-0000-0000708F0000}"/>
    <cellStyle name="Normal 554 2 3 2 2" xfId="36968" xr:uid="{00000000-0005-0000-0000-0000718F0000}"/>
    <cellStyle name="Normal 554 2 3 3" xfId="36969" xr:uid="{00000000-0005-0000-0000-0000728F0000}"/>
    <cellStyle name="Normal 554 2 4" xfId="36970" xr:uid="{00000000-0005-0000-0000-0000738F0000}"/>
    <cellStyle name="Normal 554 3" xfId="36971" xr:uid="{00000000-0005-0000-0000-0000748F0000}"/>
    <cellStyle name="Normal 554 3 2" xfId="36972" xr:uid="{00000000-0005-0000-0000-0000758F0000}"/>
    <cellStyle name="Normal 554 3 2 2" xfId="36973" xr:uid="{00000000-0005-0000-0000-0000768F0000}"/>
    <cellStyle name="Normal 554 3 3" xfId="36974" xr:uid="{00000000-0005-0000-0000-0000778F0000}"/>
    <cellStyle name="Normal 554 4" xfId="36975" xr:uid="{00000000-0005-0000-0000-0000788F0000}"/>
    <cellStyle name="Normal 554 4 2" xfId="36976" xr:uid="{00000000-0005-0000-0000-0000798F0000}"/>
    <cellStyle name="Normal 554 4 2 2" xfId="36977" xr:uid="{00000000-0005-0000-0000-00007A8F0000}"/>
    <cellStyle name="Normal 554 4 3" xfId="36978" xr:uid="{00000000-0005-0000-0000-00007B8F0000}"/>
    <cellStyle name="Normal 554 5" xfId="36979" xr:uid="{00000000-0005-0000-0000-00007C8F0000}"/>
    <cellStyle name="Normal 554 5 2" xfId="36980" xr:uid="{00000000-0005-0000-0000-00007D8F0000}"/>
    <cellStyle name="Normal 554 5 2 2" xfId="36981" xr:uid="{00000000-0005-0000-0000-00007E8F0000}"/>
    <cellStyle name="Normal 554 5 3" xfId="36982" xr:uid="{00000000-0005-0000-0000-00007F8F0000}"/>
    <cellStyle name="Normal 554 6" xfId="36983" xr:uid="{00000000-0005-0000-0000-0000808F0000}"/>
    <cellStyle name="Normal 555" xfId="36984" xr:uid="{00000000-0005-0000-0000-0000818F0000}"/>
    <cellStyle name="Normal 555 2" xfId="36985" xr:uid="{00000000-0005-0000-0000-0000828F0000}"/>
    <cellStyle name="Normal 555 2 2" xfId="36986" xr:uid="{00000000-0005-0000-0000-0000838F0000}"/>
    <cellStyle name="Normal 555 2 2 2" xfId="36987" xr:uid="{00000000-0005-0000-0000-0000848F0000}"/>
    <cellStyle name="Normal 555 2 3" xfId="36988" xr:uid="{00000000-0005-0000-0000-0000858F0000}"/>
    <cellStyle name="Normal 555 2 3 2" xfId="36989" xr:uid="{00000000-0005-0000-0000-0000868F0000}"/>
    <cellStyle name="Normal 555 2 3 2 2" xfId="36990" xr:uid="{00000000-0005-0000-0000-0000878F0000}"/>
    <cellStyle name="Normal 555 2 3 3" xfId="36991" xr:uid="{00000000-0005-0000-0000-0000888F0000}"/>
    <cellStyle name="Normal 555 2 4" xfId="36992" xr:uid="{00000000-0005-0000-0000-0000898F0000}"/>
    <cellStyle name="Normal 555 3" xfId="36993" xr:uid="{00000000-0005-0000-0000-00008A8F0000}"/>
    <cellStyle name="Normal 555 3 2" xfId="36994" xr:uid="{00000000-0005-0000-0000-00008B8F0000}"/>
    <cellStyle name="Normal 555 3 2 2" xfId="36995" xr:uid="{00000000-0005-0000-0000-00008C8F0000}"/>
    <cellStyle name="Normal 555 3 3" xfId="36996" xr:uid="{00000000-0005-0000-0000-00008D8F0000}"/>
    <cellStyle name="Normal 555 4" xfId="36997" xr:uid="{00000000-0005-0000-0000-00008E8F0000}"/>
    <cellStyle name="Normal 555 4 2" xfId="36998" xr:uid="{00000000-0005-0000-0000-00008F8F0000}"/>
    <cellStyle name="Normal 555 4 2 2" xfId="36999" xr:uid="{00000000-0005-0000-0000-0000908F0000}"/>
    <cellStyle name="Normal 555 4 3" xfId="37000" xr:uid="{00000000-0005-0000-0000-0000918F0000}"/>
    <cellStyle name="Normal 555 5" xfId="37001" xr:uid="{00000000-0005-0000-0000-0000928F0000}"/>
    <cellStyle name="Normal 555 5 2" xfId="37002" xr:uid="{00000000-0005-0000-0000-0000938F0000}"/>
    <cellStyle name="Normal 555 5 2 2" xfId="37003" xr:uid="{00000000-0005-0000-0000-0000948F0000}"/>
    <cellStyle name="Normal 555 5 3" xfId="37004" xr:uid="{00000000-0005-0000-0000-0000958F0000}"/>
    <cellStyle name="Normal 555 6" xfId="37005" xr:uid="{00000000-0005-0000-0000-0000968F0000}"/>
    <cellStyle name="Normal 556" xfId="37006" xr:uid="{00000000-0005-0000-0000-0000978F0000}"/>
    <cellStyle name="Normal 556 2" xfId="37007" xr:uid="{00000000-0005-0000-0000-0000988F0000}"/>
    <cellStyle name="Normal 556 2 2" xfId="37008" xr:uid="{00000000-0005-0000-0000-0000998F0000}"/>
    <cellStyle name="Normal 556 2 2 2" xfId="37009" xr:uid="{00000000-0005-0000-0000-00009A8F0000}"/>
    <cellStyle name="Normal 556 2 3" xfId="37010" xr:uid="{00000000-0005-0000-0000-00009B8F0000}"/>
    <cellStyle name="Normal 556 2 3 2" xfId="37011" xr:uid="{00000000-0005-0000-0000-00009C8F0000}"/>
    <cellStyle name="Normal 556 2 3 2 2" xfId="37012" xr:uid="{00000000-0005-0000-0000-00009D8F0000}"/>
    <cellStyle name="Normal 556 2 3 3" xfId="37013" xr:uid="{00000000-0005-0000-0000-00009E8F0000}"/>
    <cellStyle name="Normal 556 2 4" xfId="37014" xr:uid="{00000000-0005-0000-0000-00009F8F0000}"/>
    <cellStyle name="Normal 556 3" xfId="37015" xr:uid="{00000000-0005-0000-0000-0000A08F0000}"/>
    <cellStyle name="Normal 556 3 2" xfId="37016" xr:uid="{00000000-0005-0000-0000-0000A18F0000}"/>
    <cellStyle name="Normal 556 3 2 2" xfId="37017" xr:uid="{00000000-0005-0000-0000-0000A28F0000}"/>
    <cellStyle name="Normal 556 3 3" xfId="37018" xr:uid="{00000000-0005-0000-0000-0000A38F0000}"/>
    <cellStyle name="Normal 556 4" xfId="37019" xr:uid="{00000000-0005-0000-0000-0000A48F0000}"/>
    <cellStyle name="Normal 556 4 2" xfId="37020" xr:uid="{00000000-0005-0000-0000-0000A58F0000}"/>
    <cellStyle name="Normal 556 4 2 2" xfId="37021" xr:uid="{00000000-0005-0000-0000-0000A68F0000}"/>
    <cellStyle name="Normal 556 4 3" xfId="37022" xr:uid="{00000000-0005-0000-0000-0000A78F0000}"/>
    <cellStyle name="Normal 556 5" xfId="37023" xr:uid="{00000000-0005-0000-0000-0000A88F0000}"/>
    <cellStyle name="Normal 556 5 2" xfId="37024" xr:uid="{00000000-0005-0000-0000-0000A98F0000}"/>
    <cellStyle name="Normal 556 5 2 2" xfId="37025" xr:uid="{00000000-0005-0000-0000-0000AA8F0000}"/>
    <cellStyle name="Normal 556 5 3" xfId="37026" xr:uid="{00000000-0005-0000-0000-0000AB8F0000}"/>
    <cellStyle name="Normal 556 6" xfId="37027" xr:uid="{00000000-0005-0000-0000-0000AC8F0000}"/>
    <cellStyle name="Normal 557" xfId="37028" xr:uid="{00000000-0005-0000-0000-0000AD8F0000}"/>
    <cellStyle name="Normal 557 2" xfId="37029" xr:uid="{00000000-0005-0000-0000-0000AE8F0000}"/>
    <cellStyle name="Normal 557 2 2" xfId="37030" xr:uid="{00000000-0005-0000-0000-0000AF8F0000}"/>
    <cellStyle name="Normal 557 2 2 2" xfId="37031" xr:uid="{00000000-0005-0000-0000-0000B08F0000}"/>
    <cellStyle name="Normal 557 2 3" xfId="37032" xr:uid="{00000000-0005-0000-0000-0000B18F0000}"/>
    <cellStyle name="Normal 557 2 3 2" xfId="37033" xr:uid="{00000000-0005-0000-0000-0000B28F0000}"/>
    <cellStyle name="Normal 557 2 3 2 2" xfId="37034" xr:uid="{00000000-0005-0000-0000-0000B38F0000}"/>
    <cellStyle name="Normal 557 2 3 3" xfId="37035" xr:uid="{00000000-0005-0000-0000-0000B48F0000}"/>
    <cellStyle name="Normal 557 2 4" xfId="37036" xr:uid="{00000000-0005-0000-0000-0000B58F0000}"/>
    <cellStyle name="Normal 557 3" xfId="37037" xr:uid="{00000000-0005-0000-0000-0000B68F0000}"/>
    <cellStyle name="Normal 557 3 2" xfId="37038" xr:uid="{00000000-0005-0000-0000-0000B78F0000}"/>
    <cellStyle name="Normal 557 3 2 2" xfId="37039" xr:uid="{00000000-0005-0000-0000-0000B88F0000}"/>
    <cellStyle name="Normal 557 3 3" xfId="37040" xr:uid="{00000000-0005-0000-0000-0000B98F0000}"/>
    <cellStyle name="Normal 557 4" xfId="37041" xr:uid="{00000000-0005-0000-0000-0000BA8F0000}"/>
    <cellStyle name="Normal 557 4 2" xfId="37042" xr:uid="{00000000-0005-0000-0000-0000BB8F0000}"/>
    <cellStyle name="Normal 557 4 2 2" xfId="37043" xr:uid="{00000000-0005-0000-0000-0000BC8F0000}"/>
    <cellStyle name="Normal 557 4 3" xfId="37044" xr:uid="{00000000-0005-0000-0000-0000BD8F0000}"/>
    <cellStyle name="Normal 557 5" xfId="37045" xr:uid="{00000000-0005-0000-0000-0000BE8F0000}"/>
    <cellStyle name="Normal 557 5 2" xfId="37046" xr:uid="{00000000-0005-0000-0000-0000BF8F0000}"/>
    <cellStyle name="Normal 557 5 2 2" xfId="37047" xr:uid="{00000000-0005-0000-0000-0000C08F0000}"/>
    <cellStyle name="Normal 557 5 3" xfId="37048" xr:uid="{00000000-0005-0000-0000-0000C18F0000}"/>
    <cellStyle name="Normal 557 6" xfId="37049" xr:uid="{00000000-0005-0000-0000-0000C28F0000}"/>
    <cellStyle name="Normal 558" xfId="37050" xr:uid="{00000000-0005-0000-0000-0000C38F0000}"/>
    <cellStyle name="Normal 558 2" xfId="37051" xr:uid="{00000000-0005-0000-0000-0000C48F0000}"/>
    <cellStyle name="Normal 558 2 2" xfId="37052" xr:uid="{00000000-0005-0000-0000-0000C58F0000}"/>
    <cellStyle name="Normal 558 2 2 2" xfId="37053" xr:uid="{00000000-0005-0000-0000-0000C68F0000}"/>
    <cellStyle name="Normal 558 2 3" xfId="37054" xr:uid="{00000000-0005-0000-0000-0000C78F0000}"/>
    <cellStyle name="Normal 558 2 3 2" xfId="37055" xr:uid="{00000000-0005-0000-0000-0000C88F0000}"/>
    <cellStyle name="Normal 558 2 3 2 2" xfId="37056" xr:uid="{00000000-0005-0000-0000-0000C98F0000}"/>
    <cellStyle name="Normal 558 2 3 3" xfId="37057" xr:uid="{00000000-0005-0000-0000-0000CA8F0000}"/>
    <cellStyle name="Normal 558 2 4" xfId="37058" xr:uid="{00000000-0005-0000-0000-0000CB8F0000}"/>
    <cellStyle name="Normal 558 3" xfId="37059" xr:uid="{00000000-0005-0000-0000-0000CC8F0000}"/>
    <cellStyle name="Normal 558 3 2" xfId="37060" xr:uid="{00000000-0005-0000-0000-0000CD8F0000}"/>
    <cellStyle name="Normal 558 3 2 2" xfId="37061" xr:uid="{00000000-0005-0000-0000-0000CE8F0000}"/>
    <cellStyle name="Normal 558 3 3" xfId="37062" xr:uid="{00000000-0005-0000-0000-0000CF8F0000}"/>
    <cellStyle name="Normal 558 4" xfId="37063" xr:uid="{00000000-0005-0000-0000-0000D08F0000}"/>
    <cellStyle name="Normal 558 4 2" xfId="37064" xr:uid="{00000000-0005-0000-0000-0000D18F0000}"/>
    <cellStyle name="Normal 558 4 2 2" xfId="37065" xr:uid="{00000000-0005-0000-0000-0000D28F0000}"/>
    <cellStyle name="Normal 558 4 3" xfId="37066" xr:uid="{00000000-0005-0000-0000-0000D38F0000}"/>
    <cellStyle name="Normal 558 5" xfId="37067" xr:uid="{00000000-0005-0000-0000-0000D48F0000}"/>
    <cellStyle name="Normal 558 5 2" xfId="37068" xr:uid="{00000000-0005-0000-0000-0000D58F0000}"/>
    <cellStyle name="Normal 558 5 2 2" xfId="37069" xr:uid="{00000000-0005-0000-0000-0000D68F0000}"/>
    <cellStyle name="Normal 558 5 3" xfId="37070" xr:uid="{00000000-0005-0000-0000-0000D78F0000}"/>
    <cellStyle name="Normal 558 6" xfId="37071" xr:uid="{00000000-0005-0000-0000-0000D88F0000}"/>
    <cellStyle name="Normal 559" xfId="37072" xr:uid="{00000000-0005-0000-0000-0000D98F0000}"/>
    <cellStyle name="Normal 559 2" xfId="37073" xr:uid="{00000000-0005-0000-0000-0000DA8F0000}"/>
    <cellStyle name="Normal 559 2 2" xfId="37074" xr:uid="{00000000-0005-0000-0000-0000DB8F0000}"/>
    <cellStyle name="Normal 559 2 2 2" xfId="37075" xr:uid="{00000000-0005-0000-0000-0000DC8F0000}"/>
    <cellStyle name="Normal 559 2 3" xfId="37076" xr:uid="{00000000-0005-0000-0000-0000DD8F0000}"/>
    <cellStyle name="Normal 559 2 3 2" xfId="37077" xr:uid="{00000000-0005-0000-0000-0000DE8F0000}"/>
    <cellStyle name="Normal 559 2 3 2 2" xfId="37078" xr:uid="{00000000-0005-0000-0000-0000DF8F0000}"/>
    <cellStyle name="Normal 559 2 3 3" xfId="37079" xr:uid="{00000000-0005-0000-0000-0000E08F0000}"/>
    <cellStyle name="Normal 559 2 4" xfId="37080" xr:uid="{00000000-0005-0000-0000-0000E18F0000}"/>
    <cellStyle name="Normal 559 3" xfId="37081" xr:uid="{00000000-0005-0000-0000-0000E28F0000}"/>
    <cellStyle name="Normal 559 3 2" xfId="37082" xr:uid="{00000000-0005-0000-0000-0000E38F0000}"/>
    <cellStyle name="Normal 559 3 2 2" xfId="37083" xr:uid="{00000000-0005-0000-0000-0000E48F0000}"/>
    <cellStyle name="Normal 559 3 3" xfId="37084" xr:uid="{00000000-0005-0000-0000-0000E58F0000}"/>
    <cellStyle name="Normal 559 4" xfId="37085" xr:uid="{00000000-0005-0000-0000-0000E68F0000}"/>
    <cellStyle name="Normal 559 4 2" xfId="37086" xr:uid="{00000000-0005-0000-0000-0000E78F0000}"/>
    <cellStyle name="Normal 559 4 2 2" xfId="37087" xr:uid="{00000000-0005-0000-0000-0000E88F0000}"/>
    <cellStyle name="Normal 559 4 3" xfId="37088" xr:uid="{00000000-0005-0000-0000-0000E98F0000}"/>
    <cellStyle name="Normal 559 5" xfId="37089" xr:uid="{00000000-0005-0000-0000-0000EA8F0000}"/>
    <cellStyle name="Normal 559 5 2" xfId="37090" xr:uid="{00000000-0005-0000-0000-0000EB8F0000}"/>
    <cellStyle name="Normal 559 5 2 2" xfId="37091" xr:uid="{00000000-0005-0000-0000-0000EC8F0000}"/>
    <cellStyle name="Normal 559 5 3" xfId="37092" xr:uid="{00000000-0005-0000-0000-0000ED8F0000}"/>
    <cellStyle name="Normal 559 6" xfId="37093" xr:uid="{00000000-0005-0000-0000-0000EE8F0000}"/>
    <cellStyle name="Normal 56" xfId="37094" xr:uid="{00000000-0005-0000-0000-0000EF8F0000}"/>
    <cellStyle name="Normal 56 2" xfId="37095" xr:uid="{00000000-0005-0000-0000-0000F08F0000}"/>
    <cellStyle name="Normal 56 2 2" xfId="37096" xr:uid="{00000000-0005-0000-0000-0000F18F0000}"/>
    <cellStyle name="Normal 56 2 2 2" xfId="37097" xr:uid="{00000000-0005-0000-0000-0000F28F0000}"/>
    <cellStyle name="Normal 56 2 3" xfId="37098" xr:uid="{00000000-0005-0000-0000-0000F38F0000}"/>
    <cellStyle name="Normal 56 2 3 2" xfId="37099" xr:uid="{00000000-0005-0000-0000-0000F48F0000}"/>
    <cellStyle name="Normal 56 2 3 2 2" xfId="37100" xr:uid="{00000000-0005-0000-0000-0000F58F0000}"/>
    <cellStyle name="Normal 56 2 3 3" xfId="37101" xr:uid="{00000000-0005-0000-0000-0000F68F0000}"/>
    <cellStyle name="Normal 56 2 4" xfId="37102" xr:uid="{00000000-0005-0000-0000-0000F78F0000}"/>
    <cellStyle name="Normal 56 2 4 2" xfId="37103" xr:uid="{00000000-0005-0000-0000-0000F88F0000}"/>
    <cellStyle name="Normal 56 2 4 2 2" xfId="37104" xr:uid="{00000000-0005-0000-0000-0000F98F0000}"/>
    <cellStyle name="Normal 56 2 4 3" xfId="37105" xr:uid="{00000000-0005-0000-0000-0000FA8F0000}"/>
    <cellStyle name="Normal 56 2 5" xfId="37106" xr:uid="{00000000-0005-0000-0000-0000FB8F0000}"/>
    <cellStyle name="Normal 56 3" xfId="37107" xr:uid="{00000000-0005-0000-0000-0000FC8F0000}"/>
    <cellStyle name="Normal 56 3 2" xfId="37108" xr:uid="{00000000-0005-0000-0000-0000FD8F0000}"/>
    <cellStyle name="Normal 56 3 2 2" xfId="37109" xr:uid="{00000000-0005-0000-0000-0000FE8F0000}"/>
    <cellStyle name="Normal 56 3 2 2 2" xfId="37110" xr:uid="{00000000-0005-0000-0000-0000FF8F0000}"/>
    <cellStyle name="Normal 56 3 2 3" xfId="37111" xr:uid="{00000000-0005-0000-0000-000000900000}"/>
    <cellStyle name="Normal 56 3 2 3 2" xfId="37112" xr:uid="{00000000-0005-0000-0000-000001900000}"/>
    <cellStyle name="Normal 56 3 2 3 2 2" xfId="37113" xr:uid="{00000000-0005-0000-0000-000002900000}"/>
    <cellStyle name="Normal 56 3 2 3 3" xfId="37114" xr:uid="{00000000-0005-0000-0000-000003900000}"/>
    <cellStyle name="Normal 56 3 2 4" xfId="37115" xr:uid="{00000000-0005-0000-0000-000004900000}"/>
    <cellStyle name="Normal 56 3 3" xfId="37116" xr:uid="{00000000-0005-0000-0000-000005900000}"/>
    <cellStyle name="Normal 56 3 3 2" xfId="37117" xr:uid="{00000000-0005-0000-0000-000006900000}"/>
    <cellStyle name="Normal 56 3 3 2 2" xfId="37118" xr:uid="{00000000-0005-0000-0000-000007900000}"/>
    <cellStyle name="Normal 56 3 3 3" xfId="37119" xr:uid="{00000000-0005-0000-0000-000008900000}"/>
    <cellStyle name="Normal 56 3 4" xfId="37120" xr:uid="{00000000-0005-0000-0000-000009900000}"/>
    <cellStyle name="Normal 56 3 4 2" xfId="37121" xr:uid="{00000000-0005-0000-0000-00000A900000}"/>
    <cellStyle name="Normal 56 3 4 2 2" xfId="37122" xr:uid="{00000000-0005-0000-0000-00000B900000}"/>
    <cellStyle name="Normal 56 3 4 3" xfId="37123" xr:uid="{00000000-0005-0000-0000-00000C900000}"/>
    <cellStyle name="Normal 56 3 5" xfId="37124" xr:uid="{00000000-0005-0000-0000-00000D900000}"/>
    <cellStyle name="Normal 56 3 5 2" xfId="37125" xr:uid="{00000000-0005-0000-0000-00000E900000}"/>
    <cellStyle name="Normal 56 3 5 2 2" xfId="37126" xr:uid="{00000000-0005-0000-0000-00000F900000}"/>
    <cellStyle name="Normal 56 3 5 3" xfId="37127" xr:uid="{00000000-0005-0000-0000-000010900000}"/>
    <cellStyle name="Normal 56 3 6" xfId="37128" xr:uid="{00000000-0005-0000-0000-000011900000}"/>
    <cellStyle name="Normal 56 4" xfId="37129" xr:uid="{00000000-0005-0000-0000-000012900000}"/>
    <cellStyle name="Normal 56 4 2" xfId="37130" xr:uid="{00000000-0005-0000-0000-000013900000}"/>
    <cellStyle name="Normal 56 4 2 2" xfId="37131" xr:uid="{00000000-0005-0000-0000-000014900000}"/>
    <cellStyle name="Normal 56 4 3" xfId="37132" xr:uid="{00000000-0005-0000-0000-000015900000}"/>
    <cellStyle name="Normal 56 5" xfId="37133" xr:uid="{00000000-0005-0000-0000-000016900000}"/>
    <cellStyle name="Normal 56 5 2" xfId="37134" xr:uid="{00000000-0005-0000-0000-000017900000}"/>
    <cellStyle name="Normal 56 5 2 2" xfId="37135" xr:uid="{00000000-0005-0000-0000-000018900000}"/>
    <cellStyle name="Normal 56 5 3" xfId="37136" xr:uid="{00000000-0005-0000-0000-000019900000}"/>
    <cellStyle name="Normal 56 6" xfId="37137" xr:uid="{00000000-0005-0000-0000-00001A900000}"/>
    <cellStyle name="Normal 56 6 2" xfId="37138" xr:uid="{00000000-0005-0000-0000-00001B900000}"/>
    <cellStyle name="Normal 56 6 2 2" xfId="37139" xr:uid="{00000000-0005-0000-0000-00001C900000}"/>
    <cellStyle name="Normal 56 6 3" xfId="37140" xr:uid="{00000000-0005-0000-0000-00001D900000}"/>
    <cellStyle name="Normal 56 7" xfId="37141" xr:uid="{00000000-0005-0000-0000-00001E900000}"/>
    <cellStyle name="Normal 560" xfId="37142" xr:uid="{00000000-0005-0000-0000-00001F900000}"/>
    <cellStyle name="Normal 560 2" xfId="37143" xr:uid="{00000000-0005-0000-0000-000020900000}"/>
    <cellStyle name="Normal 560 2 2" xfId="37144" xr:uid="{00000000-0005-0000-0000-000021900000}"/>
    <cellStyle name="Normal 560 2 2 2" xfId="37145" xr:uid="{00000000-0005-0000-0000-000022900000}"/>
    <cellStyle name="Normal 560 2 3" xfId="37146" xr:uid="{00000000-0005-0000-0000-000023900000}"/>
    <cellStyle name="Normal 560 2 3 2" xfId="37147" xr:uid="{00000000-0005-0000-0000-000024900000}"/>
    <cellStyle name="Normal 560 2 3 2 2" xfId="37148" xr:uid="{00000000-0005-0000-0000-000025900000}"/>
    <cellStyle name="Normal 560 2 3 3" xfId="37149" xr:uid="{00000000-0005-0000-0000-000026900000}"/>
    <cellStyle name="Normal 560 2 4" xfId="37150" xr:uid="{00000000-0005-0000-0000-000027900000}"/>
    <cellStyle name="Normal 560 3" xfId="37151" xr:uid="{00000000-0005-0000-0000-000028900000}"/>
    <cellStyle name="Normal 560 3 2" xfId="37152" xr:uid="{00000000-0005-0000-0000-000029900000}"/>
    <cellStyle name="Normal 560 3 2 2" xfId="37153" xr:uid="{00000000-0005-0000-0000-00002A900000}"/>
    <cellStyle name="Normal 560 3 3" xfId="37154" xr:uid="{00000000-0005-0000-0000-00002B900000}"/>
    <cellStyle name="Normal 560 4" xfId="37155" xr:uid="{00000000-0005-0000-0000-00002C900000}"/>
    <cellStyle name="Normal 560 4 2" xfId="37156" xr:uid="{00000000-0005-0000-0000-00002D900000}"/>
    <cellStyle name="Normal 560 4 2 2" xfId="37157" xr:uid="{00000000-0005-0000-0000-00002E900000}"/>
    <cellStyle name="Normal 560 4 3" xfId="37158" xr:uid="{00000000-0005-0000-0000-00002F900000}"/>
    <cellStyle name="Normal 560 5" xfId="37159" xr:uid="{00000000-0005-0000-0000-000030900000}"/>
    <cellStyle name="Normal 560 5 2" xfId="37160" xr:uid="{00000000-0005-0000-0000-000031900000}"/>
    <cellStyle name="Normal 560 5 2 2" xfId="37161" xr:uid="{00000000-0005-0000-0000-000032900000}"/>
    <cellStyle name="Normal 560 5 3" xfId="37162" xr:uid="{00000000-0005-0000-0000-000033900000}"/>
    <cellStyle name="Normal 560 6" xfId="37163" xr:uid="{00000000-0005-0000-0000-000034900000}"/>
    <cellStyle name="Normal 561" xfId="37164" xr:uid="{00000000-0005-0000-0000-000035900000}"/>
    <cellStyle name="Normal 561 2" xfId="37165" xr:uid="{00000000-0005-0000-0000-000036900000}"/>
    <cellStyle name="Normal 561 2 2" xfId="37166" xr:uid="{00000000-0005-0000-0000-000037900000}"/>
    <cellStyle name="Normal 561 2 2 2" xfId="37167" xr:uid="{00000000-0005-0000-0000-000038900000}"/>
    <cellStyle name="Normal 561 2 3" xfId="37168" xr:uid="{00000000-0005-0000-0000-000039900000}"/>
    <cellStyle name="Normal 561 2 3 2" xfId="37169" xr:uid="{00000000-0005-0000-0000-00003A900000}"/>
    <cellStyle name="Normal 561 2 3 2 2" xfId="37170" xr:uid="{00000000-0005-0000-0000-00003B900000}"/>
    <cellStyle name="Normal 561 2 3 3" xfId="37171" xr:uid="{00000000-0005-0000-0000-00003C900000}"/>
    <cellStyle name="Normal 561 2 4" xfId="37172" xr:uid="{00000000-0005-0000-0000-00003D900000}"/>
    <cellStyle name="Normal 561 3" xfId="37173" xr:uid="{00000000-0005-0000-0000-00003E900000}"/>
    <cellStyle name="Normal 561 3 2" xfId="37174" xr:uid="{00000000-0005-0000-0000-00003F900000}"/>
    <cellStyle name="Normal 561 3 2 2" xfId="37175" xr:uid="{00000000-0005-0000-0000-000040900000}"/>
    <cellStyle name="Normal 561 3 3" xfId="37176" xr:uid="{00000000-0005-0000-0000-000041900000}"/>
    <cellStyle name="Normal 561 4" xfId="37177" xr:uid="{00000000-0005-0000-0000-000042900000}"/>
    <cellStyle name="Normal 561 4 2" xfId="37178" xr:uid="{00000000-0005-0000-0000-000043900000}"/>
    <cellStyle name="Normal 561 4 2 2" xfId="37179" xr:uid="{00000000-0005-0000-0000-000044900000}"/>
    <cellStyle name="Normal 561 4 3" xfId="37180" xr:uid="{00000000-0005-0000-0000-000045900000}"/>
    <cellStyle name="Normal 561 5" xfId="37181" xr:uid="{00000000-0005-0000-0000-000046900000}"/>
    <cellStyle name="Normal 561 5 2" xfId="37182" xr:uid="{00000000-0005-0000-0000-000047900000}"/>
    <cellStyle name="Normal 561 5 2 2" xfId="37183" xr:uid="{00000000-0005-0000-0000-000048900000}"/>
    <cellStyle name="Normal 561 5 3" xfId="37184" xr:uid="{00000000-0005-0000-0000-000049900000}"/>
    <cellStyle name="Normal 561 6" xfId="37185" xr:uid="{00000000-0005-0000-0000-00004A900000}"/>
    <cellStyle name="Normal 562" xfId="37186" xr:uid="{00000000-0005-0000-0000-00004B900000}"/>
    <cellStyle name="Normal 562 2" xfId="37187" xr:uid="{00000000-0005-0000-0000-00004C900000}"/>
    <cellStyle name="Normal 562 2 2" xfId="37188" xr:uid="{00000000-0005-0000-0000-00004D900000}"/>
    <cellStyle name="Normal 562 2 2 2" xfId="37189" xr:uid="{00000000-0005-0000-0000-00004E900000}"/>
    <cellStyle name="Normal 562 2 3" xfId="37190" xr:uid="{00000000-0005-0000-0000-00004F900000}"/>
    <cellStyle name="Normal 562 2 3 2" xfId="37191" xr:uid="{00000000-0005-0000-0000-000050900000}"/>
    <cellStyle name="Normal 562 2 3 2 2" xfId="37192" xr:uid="{00000000-0005-0000-0000-000051900000}"/>
    <cellStyle name="Normal 562 2 3 3" xfId="37193" xr:uid="{00000000-0005-0000-0000-000052900000}"/>
    <cellStyle name="Normal 562 2 4" xfId="37194" xr:uid="{00000000-0005-0000-0000-000053900000}"/>
    <cellStyle name="Normal 562 3" xfId="37195" xr:uid="{00000000-0005-0000-0000-000054900000}"/>
    <cellStyle name="Normal 562 3 2" xfId="37196" xr:uid="{00000000-0005-0000-0000-000055900000}"/>
    <cellStyle name="Normal 562 3 2 2" xfId="37197" xr:uid="{00000000-0005-0000-0000-000056900000}"/>
    <cellStyle name="Normal 562 3 3" xfId="37198" xr:uid="{00000000-0005-0000-0000-000057900000}"/>
    <cellStyle name="Normal 562 4" xfId="37199" xr:uid="{00000000-0005-0000-0000-000058900000}"/>
    <cellStyle name="Normal 562 4 2" xfId="37200" xr:uid="{00000000-0005-0000-0000-000059900000}"/>
    <cellStyle name="Normal 562 4 2 2" xfId="37201" xr:uid="{00000000-0005-0000-0000-00005A900000}"/>
    <cellStyle name="Normal 562 4 3" xfId="37202" xr:uid="{00000000-0005-0000-0000-00005B900000}"/>
    <cellStyle name="Normal 562 5" xfId="37203" xr:uid="{00000000-0005-0000-0000-00005C900000}"/>
    <cellStyle name="Normal 562 5 2" xfId="37204" xr:uid="{00000000-0005-0000-0000-00005D900000}"/>
    <cellStyle name="Normal 562 5 2 2" xfId="37205" xr:uid="{00000000-0005-0000-0000-00005E900000}"/>
    <cellStyle name="Normal 562 5 3" xfId="37206" xr:uid="{00000000-0005-0000-0000-00005F900000}"/>
    <cellStyle name="Normal 562 6" xfId="37207" xr:uid="{00000000-0005-0000-0000-000060900000}"/>
    <cellStyle name="Normal 563" xfId="37208" xr:uid="{00000000-0005-0000-0000-000061900000}"/>
    <cellStyle name="Normal 563 2" xfId="37209" xr:uid="{00000000-0005-0000-0000-000062900000}"/>
    <cellStyle name="Normal 563 2 2" xfId="37210" xr:uid="{00000000-0005-0000-0000-000063900000}"/>
    <cellStyle name="Normal 563 2 2 2" xfId="37211" xr:uid="{00000000-0005-0000-0000-000064900000}"/>
    <cellStyle name="Normal 563 2 3" xfId="37212" xr:uid="{00000000-0005-0000-0000-000065900000}"/>
    <cellStyle name="Normal 563 2 3 2" xfId="37213" xr:uid="{00000000-0005-0000-0000-000066900000}"/>
    <cellStyle name="Normal 563 2 3 2 2" xfId="37214" xr:uid="{00000000-0005-0000-0000-000067900000}"/>
    <cellStyle name="Normal 563 2 3 3" xfId="37215" xr:uid="{00000000-0005-0000-0000-000068900000}"/>
    <cellStyle name="Normal 563 2 4" xfId="37216" xr:uid="{00000000-0005-0000-0000-000069900000}"/>
    <cellStyle name="Normal 563 3" xfId="37217" xr:uid="{00000000-0005-0000-0000-00006A900000}"/>
    <cellStyle name="Normal 563 3 2" xfId="37218" xr:uid="{00000000-0005-0000-0000-00006B900000}"/>
    <cellStyle name="Normal 563 3 2 2" xfId="37219" xr:uid="{00000000-0005-0000-0000-00006C900000}"/>
    <cellStyle name="Normal 563 3 3" xfId="37220" xr:uid="{00000000-0005-0000-0000-00006D900000}"/>
    <cellStyle name="Normal 563 4" xfId="37221" xr:uid="{00000000-0005-0000-0000-00006E900000}"/>
    <cellStyle name="Normal 563 4 2" xfId="37222" xr:uid="{00000000-0005-0000-0000-00006F900000}"/>
    <cellStyle name="Normal 563 4 2 2" xfId="37223" xr:uid="{00000000-0005-0000-0000-000070900000}"/>
    <cellStyle name="Normal 563 4 3" xfId="37224" xr:uid="{00000000-0005-0000-0000-000071900000}"/>
    <cellStyle name="Normal 563 5" xfId="37225" xr:uid="{00000000-0005-0000-0000-000072900000}"/>
    <cellStyle name="Normal 563 5 2" xfId="37226" xr:uid="{00000000-0005-0000-0000-000073900000}"/>
    <cellStyle name="Normal 563 5 2 2" xfId="37227" xr:uid="{00000000-0005-0000-0000-000074900000}"/>
    <cellStyle name="Normal 563 5 3" xfId="37228" xr:uid="{00000000-0005-0000-0000-000075900000}"/>
    <cellStyle name="Normal 563 6" xfId="37229" xr:uid="{00000000-0005-0000-0000-000076900000}"/>
    <cellStyle name="Normal 564" xfId="37230" xr:uid="{00000000-0005-0000-0000-000077900000}"/>
    <cellStyle name="Normal 564 2" xfId="37231" xr:uid="{00000000-0005-0000-0000-000078900000}"/>
    <cellStyle name="Normal 564 2 2" xfId="37232" xr:uid="{00000000-0005-0000-0000-000079900000}"/>
    <cellStyle name="Normal 564 2 2 2" xfId="37233" xr:uid="{00000000-0005-0000-0000-00007A900000}"/>
    <cellStyle name="Normal 564 2 3" xfId="37234" xr:uid="{00000000-0005-0000-0000-00007B900000}"/>
    <cellStyle name="Normal 564 2 3 2" xfId="37235" xr:uid="{00000000-0005-0000-0000-00007C900000}"/>
    <cellStyle name="Normal 564 2 3 2 2" xfId="37236" xr:uid="{00000000-0005-0000-0000-00007D900000}"/>
    <cellStyle name="Normal 564 2 3 3" xfId="37237" xr:uid="{00000000-0005-0000-0000-00007E900000}"/>
    <cellStyle name="Normal 564 2 4" xfId="37238" xr:uid="{00000000-0005-0000-0000-00007F900000}"/>
    <cellStyle name="Normal 564 3" xfId="37239" xr:uid="{00000000-0005-0000-0000-000080900000}"/>
    <cellStyle name="Normal 564 3 2" xfId="37240" xr:uid="{00000000-0005-0000-0000-000081900000}"/>
    <cellStyle name="Normal 564 3 2 2" xfId="37241" xr:uid="{00000000-0005-0000-0000-000082900000}"/>
    <cellStyle name="Normal 564 3 3" xfId="37242" xr:uid="{00000000-0005-0000-0000-000083900000}"/>
    <cellStyle name="Normal 564 4" xfId="37243" xr:uid="{00000000-0005-0000-0000-000084900000}"/>
    <cellStyle name="Normal 564 4 2" xfId="37244" xr:uid="{00000000-0005-0000-0000-000085900000}"/>
    <cellStyle name="Normal 564 4 2 2" xfId="37245" xr:uid="{00000000-0005-0000-0000-000086900000}"/>
    <cellStyle name="Normal 564 4 3" xfId="37246" xr:uid="{00000000-0005-0000-0000-000087900000}"/>
    <cellStyle name="Normal 564 5" xfId="37247" xr:uid="{00000000-0005-0000-0000-000088900000}"/>
    <cellStyle name="Normal 564 5 2" xfId="37248" xr:uid="{00000000-0005-0000-0000-000089900000}"/>
    <cellStyle name="Normal 564 5 2 2" xfId="37249" xr:uid="{00000000-0005-0000-0000-00008A900000}"/>
    <cellStyle name="Normal 564 5 3" xfId="37250" xr:uid="{00000000-0005-0000-0000-00008B900000}"/>
    <cellStyle name="Normal 564 6" xfId="37251" xr:uid="{00000000-0005-0000-0000-00008C900000}"/>
    <cellStyle name="Normal 565" xfId="37252" xr:uid="{00000000-0005-0000-0000-00008D900000}"/>
    <cellStyle name="Normal 565 2" xfId="37253" xr:uid="{00000000-0005-0000-0000-00008E900000}"/>
    <cellStyle name="Normal 565 2 2" xfId="37254" xr:uid="{00000000-0005-0000-0000-00008F900000}"/>
    <cellStyle name="Normal 565 2 2 2" xfId="37255" xr:uid="{00000000-0005-0000-0000-000090900000}"/>
    <cellStyle name="Normal 565 2 2 2 2" xfId="37256" xr:uid="{00000000-0005-0000-0000-000091900000}"/>
    <cellStyle name="Normal 565 2 2 3" xfId="37257" xr:uid="{00000000-0005-0000-0000-000092900000}"/>
    <cellStyle name="Normal 565 2 2 3 2" xfId="37258" xr:uid="{00000000-0005-0000-0000-000093900000}"/>
    <cellStyle name="Normal 565 2 2 3 2 2" xfId="37259" xr:uid="{00000000-0005-0000-0000-000094900000}"/>
    <cellStyle name="Normal 565 2 2 3 3" xfId="37260" xr:uid="{00000000-0005-0000-0000-000095900000}"/>
    <cellStyle name="Normal 565 2 2 4" xfId="37261" xr:uid="{00000000-0005-0000-0000-000096900000}"/>
    <cellStyle name="Normal 565 2 3" xfId="37262" xr:uid="{00000000-0005-0000-0000-000097900000}"/>
    <cellStyle name="Normal 565 2 3 2" xfId="37263" xr:uid="{00000000-0005-0000-0000-000098900000}"/>
    <cellStyle name="Normal 565 2 3 2 2" xfId="37264" xr:uid="{00000000-0005-0000-0000-000099900000}"/>
    <cellStyle name="Normal 565 2 3 3" xfId="37265" xr:uid="{00000000-0005-0000-0000-00009A900000}"/>
    <cellStyle name="Normal 565 2 4" xfId="37266" xr:uid="{00000000-0005-0000-0000-00009B900000}"/>
    <cellStyle name="Normal 565 2 4 2" xfId="37267" xr:uid="{00000000-0005-0000-0000-00009C900000}"/>
    <cellStyle name="Normal 565 2 4 2 2" xfId="37268" xr:uid="{00000000-0005-0000-0000-00009D900000}"/>
    <cellStyle name="Normal 565 2 4 3" xfId="37269" xr:uid="{00000000-0005-0000-0000-00009E900000}"/>
    <cellStyle name="Normal 565 2 5" xfId="37270" xr:uid="{00000000-0005-0000-0000-00009F900000}"/>
    <cellStyle name="Normal 565 2 5 2" xfId="37271" xr:uid="{00000000-0005-0000-0000-0000A0900000}"/>
    <cellStyle name="Normal 565 2 5 2 2" xfId="37272" xr:uid="{00000000-0005-0000-0000-0000A1900000}"/>
    <cellStyle name="Normal 565 2 5 3" xfId="37273" xr:uid="{00000000-0005-0000-0000-0000A2900000}"/>
    <cellStyle name="Normal 565 2 6" xfId="37274" xr:uid="{00000000-0005-0000-0000-0000A3900000}"/>
    <cellStyle name="Normal 565 3" xfId="37275" xr:uid="{00000000-0005-0000-0000-0000A4900000}"/>
    <cellStyle name="Normal 565 3 2" xfId="37276" xr:uid="{00000000-0005-0000-0000-0000A5900000}"/>
    <cellStyle name="Normal 565 3 2 2" xfId="37277" xr:uid="{00000000-0005-0000-0000-0000A6900000}"/>
    <cellStyle name="Normal 565 3 3" xfId="37278" xr:uid="{00000000-0005-0000-0000-0000A7900000}"/>
    <cellStyle name="Normal 565 3 3 2" xfId="37279" xr:uid="{00000000-0005-0000-0000-0000A8900000}"/>
    <cellStyle name="Normal 565 3 3 2 2" xfId="37280" xr:uid="{00000000-0005-0000-0000-0000A9900000}"/>
    <cellStyle name="Normal 565 3 3 3" xfId="37281" xr:uid="{00000000-0005-0000-0000-0000AA900000}"/>
    <cellStyle name="Normal 565 3 4" xfId="37282" xr:uid="{00000000-0005-0000-0000-0000AB900000}"/>
    <cellStyle name="Normal 565 3 4 2" xfId="37283" xr:uid="{00000000-0005-0000-0000-0000AC900000}"/>
    <cellStyle name="Normal 565 3 4 2 2" xfId="37284" xr:uid="{00000000-0005-0000-0000-0000AD900000}"/>
    <cellStyle name="Normal 565 3 4 3" xfId="37285" xr:uid="{00000000-0005-0000-0000-0000AE900000}"/>
    <cellStyle name="Normal 565 3 5" xfId="37286" xr:uid="{00000000-0005-0000-0000-0000AF900000}"/>
    <cellStyle name="Normal 565 4" xfId="37287" xr:uid="{00000000-0005-0000-0000-0000B0900000}"/>
    <cellStyle name="Normal 565 4 2" xfId="37288" xr:uid="{00000000-0005-0000-0000-0000B1900000}"/>
    <cellStyle name="Normal 565 4 2 2" xfId="37289" xr:uid="{00000000-0005-0000-0000-0000B2900000}"/>
    <cellStyle name="Normal 565 4 3" xfId="37290" xr:uid="{00000000-0005-0000-0000-0000B3900000}"/>
    <cellStyle name="Normal 565 4 3 2" xfId="37291" xr:uid="{00000000-0005-0000-0000-0000B4900000}"/>
    <cellStyle name="Normal 565 4 3 2 2" xfId="37292" xr:uid="{00000000-0005-0000-0000-0000B5900000}"/>
    <cellStyle name="Normal 565 4 3 3" xfId="37293" xr:uid="{00000000-0005-0000-0000-0000B6900000}"/>
    <cellStyle name="Normal 565 4 4" xfId="37294" xr:uid="{00000000-0005-0000-0000-0000B7900000}"/>
    <cellStyle name="Normal 565 4 4 2" xfId="37295" xr:uid="{00000000-0005-0000-0000-0000B8900000}"/>
    <cellStyle name="Normal 565 4 4 2 2" xfId="37296" xr:uid="{00000000-0005-0000-0000-0000B9900000}"/>
    <cellStyle name="Normal 565 4 4 3" xfId="37297" xr:uid="{00000000-0005-0000-0000-0000BA900000}"/>
    <cellStyle name="Normal 565 4 5" xfId="37298" xr:uid="{00000000-0005-0000-0000-0000BB900000}"/>
    <cellStyle name="Normal 565 5" xfId="37299" xr:uid="{00000000-0005-0000-0000-0000BC900000}"/>
    <cellStyle name="Normal 565 5 2" xfId="37300" xr:uid="{00000000-0005-0000-0000-0000BD900000}"/>
    <cellStyle name="Normal 565 6" xfId="37301" xr:uid="{00000000-0005-0000-0000-0000BE900000}"/>
    <cellStyle name="Normal 565 6 2" xfId="37302" xr:uid="{00000000-0005-0000-0000-0000BF900000}"/>
    <cellStyle name="Normal 565 6 2 2" xfId="37303" xr:uid="{00000000-0005-0000-0000-0000C0900000}"/>
    <cellStyle name="Normal 565 6 3" xfId="37304" xr:uid="{00000000-0005-0000-0000-0000C1900000}"/>
    <cellStyle name="Normal 565 7" xfId="37305" xr:uid="{00000000-0005-0000-0000-0000C2900000}"/>
    <cellStyle name="Normal 565 7 2" xfId="37306" xr:uid="{00000000-0005-0000-0000-0000C3900000}"/>
    <cellStyle name="Normal 565 7 2 2" xfId="37307" xr:uid="{00000000-0005-0000-0000-0000C4900000}"/>
    <cellStyle name="Normal 565 7 3" xfId="37308" xr:uid="{00000000-0005-0000-0000-0000C5900000}"/>
    <cellStyle name="Normal 565 8" xfId="37309" xr:uid="{00000000-0005-0000-0000-0000C6900000}"/>
    <cellStyle name="Normal 566" xfId="37310" xr:uid="{00000000-0005-0000-0000-0000C7900000}"/>
    <cellStyle name="Normal 566 2" xfId="37311" xr:uid="{00000000-0005-0000-0000-0000C8900000}"/>
    <cellStyle name="Normal 566 2 2" xfId="37312" xr:uid="{00000000-0005-0000-0000-0000C9900000}"/>
    <cellStyle name="Normal 566 3" xfId="37313" xr:uid="{00000000-0005-0000-0000-0000CA900000}"/>
    <cellStyle name="Normal 566 3 2" xfId="37314" xr:uid="{00000000-0005-0000-0000-0000CB900000}"/>
    <cellStyle name="Normal 566 3 2 2" xfId="37315" xr:uid="{00000000-0005-0000-0000-0000CC900000}"/>
    <cellStyle name="Normal 566 3 3" xfId="37316" xr:uid="{00000000-0005-0000-0000-0000CD900000}"/>
    <cellStyle name="Normal 566 4" xfId="37317" xr:uid="{00000000-0005-0000-0000-0000CE900000}"/>
    <cellStyle name="Normal 566 4 2" xfId="37318" xr:uid="{00000000-0005-0000-0000-0000CF900000}"/>
    <cellStyle name="Normal 566 4 2 2" xfId="37319" xr:uid="{00000000-0005-0000-0000-0000D0900000}"/>
    <cellStyle name="Normal 566 4 3" xfId="37320" xr:uid="{00000000-0005-0000-0000-0000D1900000}"/>
    <cellStyle name="Normal 566 5" xfId="37321" xr:uid="{00000000-0005-0000-0000-0000D2900000}"/>
    <cellStyle name="Normal 567" xfId="37322" xr:uid="{00000000-0005-0000-0000-0000D3900000}"/>
    <cellStyle name="Normal 567 2" xfId="37323" xr:uid="{00000000-0005-0000-0000-0000D4900000}"/>
    <cellStyle name="Normal 567 2 2" xfId="37324" xr:uid="{00000000-0005-0000-0000-0000D5900000}"/>
    <cellStyle name="Normal 567 2 2 2" xfId="37325" xr:uid="{00000000-0005-0000-0000-0000D6900000}"/>
    <cellStyle name="Normal 567 2 3" xfId="37326" xr:uid="{00000000-0005-0000-0000-0000D7900000}"/>
    <cellStyle name="Normal 567 2 3 2" xfId="37327" xr:uid="{00000000-0005-0000-0000-0000D8900000}"/>
    <cellStyle name="Normal 567 2 3 2 2" xfId="37328" xr:uid="{00000000-0005-0000-0000-0000D9900000}"/>
    <cellStyle name="Normal 567 2 3 3" xfId="37329" xr:uid="{00000000-0005-0000-0000-0000DA900000}"/>
    <cellStyle name="Normal 567 2 4" xfId="37330" xr:uid="{00000000-0005-0000-0000-0000DB900000}"/>
    <cellStyle name="Normal 567 3" xfId="37331" xr:uid="{00000000-0005-0000-0000-0000DC900000}"/>
    <cellStyle name="Normal 567 3 2" xfId="37332" xr:uid="{00000000-0005-0000-0000-0000DD900000}"/>
    <cellStyle name="Normal 567 3 2 2" xfId="37333" xr:uid="{00000000-0005-0000-0000-0000DE900000}"/>
    <cellStyle name="Normal 567 3 3" xfId="37334" xr:uid="{00000000-0005-0000-0000-0000DF900000}"/>
    <cellStyle name="Normal 567 4" xfId="37335" xr:uid="{00000000-0005-0000-0000-0000E0900000}"/>
    <cellStyle name="Normal 567 4 2" xfId="37336" xr:uid="{00000000-0005-0000-0000-0000E1900000}"/>
    <cellStyle name="Normal 567 4 2 2" xfId="37337" xr:uid="{00000000-0005-0000-0000-0000E2900000}"/>
    <cellStyle name="Normal 567 4 3" xfId="37338" xr:uid="{00000000-0005-0000-0000-0000E3900000}"/>
    <cellStyle name="Normal 567 5" xfId="37339" xr:uid="{00000000-0005-0000-0000-0000E4900000}"/>
    <cellStyle name="Normal 567 5 2" xfId="37340" xr:uid="{00000000-0005-0000-0000-0000E5900000}"/>
    <cellStyle name="Normal 567 5 2 2" xfId="37341" xr:uid="{00000000-0005-0000-0000-0000E6900000}"/>
    <cellStyle name="Normal 567 5 3" xfId="37342" xr:uid="{00000000-0005-0000-0000-0000E7900000}"/>
    <cellStyle name="Normal 567 6" xfId="37343" xr:uid="{00000000-0005-0000-0000-0000E8900000}"/>
    <cellStyle name="Normal 568" xfId="37344" xr:uid="{00000000-0005-0000-0000-0000E9900000}"/>
    <cellStyle name="Normal 568 2" xfId="37345" xr:uid="{00000000-0005-0000-0000-0000EA900000}"/>
    <cellStyle name="Normal 568 2 2" xfId="37346" xr:uid="{00000000-0005-0000-0000-0000EB900000}"/>
    <cellStyle name="Normal 568 2 2 2" xfId="37347" xr:uid="{00000000-0005-0000-0000-0000EC900000}"/>
    <cellStyle name="Normal 568 2 3" xfId="37348" xr:uid="{00000000-0005-0000-0000-0000ED900000}"/>
    <cellStyle name="Normal 568 2 3 2" xfId="37349" xr:uid="{00000000-0005-0000-0000-0000EE900000}"/>
    <cellStyle name="Normal 568 2 3 2 2" xfId="37350" xr:uid="{00000000-0005-0000-0000-0000EF900000}"/>
    <cellStyle name="Normal 568 2 3 3" xfId="37351" xr:uid="{00000000-0005-0000-0000-0000F0900000}"/>
    <cellStyle name="Normal 568 2 4" xfId="37352" xr:uid="{00000000-0005-0000-0000-0000F1900000}"/>
    <cellStyle name="Normal 568 3" xfId="37353" xr:uid="{00000000-0005-0000-0000-0000F2900000}"/>
    <cellStyle name="Normal 568 3 2" xfId="37354" xr:uid="{00000000-0005-0000-0000-0000F3900000}"/>
    <cellStyle name="Normal 568 3 2 2" xfId="37355" xr:uid="{00000000-0005-0000-0000-0000F4900000}"/>
    <cellStyle name="Normal 568 3 3" xfId="37356" xr:uid="{00000000-0005-0000-0000-0000F5900000}"/>
    <cellStyle name="Normal 568 4" xfId="37357" xr:uid="{00000000-0005-0000-0000-0000F6900000}"/>
    <cellStyle name="Normal 568 4 2" xfId="37358" xr:uid="{00000000-0005-0000-0000-0000F7900000}"/>
    <cellStyle name="Normal 568 4 2 2" xfId="37359" xr:uid="{00000000-0005-0000-0000-0000F8900000}"/>
    <cellStyle name="Normal 568 4 3" xfId="37360" xr:uid="{00000000-0005-0000-0000-0000F9900000}"/>
    <cellStyle name="Normal 568 5" xfId="37361" xr:uid="{00000000-0005-0000-0000-0000FA900000}"/>
    <cellStyle name="Normal 568 5 2" xfId="37362" xr:uid="{00000000-0005-0000-0000-0000FB900000}"/>
    <cellStyle name="Normal 568 5 2 2" xfId="37363" xr:uid="{00000000-0005-0000-0000-0000FC900000}"/>
    <cellStyle name="Normal 568 5 3" xfId="37364" xr:uid="{00000000-0005-0000-0000-0000FD900000}"/>
    <cellStyle name="Normal 568 6" xfId="37365" xr:uid="{00000000-0005-0000-0000-0000FE900000}"/>
    <cellStyle name="Normal 569" xfId="37366" xr:uid="{00000000-0005-0000-0000-0000FF900000}"/>
    <cellStyle name="Normal 569 2" xfId="37367" xr:uid="{00000000-0005-0000-0000-000000910000}"/>
    <cellStyle name="Normal 569 2 2" xfId="37368" xr:uid="{00000000-0005-0000-0000-000001910000}"/>
    <cellStyle name="Normal 569 2 2 2" xfId="37369" xr:uid="{00000000-0005-0000-0000-000002910000}"/>
    <cellStyle name="Normal 569 2 3" xfId="37370" xr:uid="{00000000-0005-0000-0000-000003910000}"/>
    <cellStyle name="Normal 569 2 3 2" xfId="37371" xr:uid="{00000000-0005-0000-0000-000004910000}"/>
    <cellStyle name="Normal 569 2 3 2 2" xfId="37372" xr:uid="{00000000-0005-0000-0000-000005910000}"/>
    <cellStyle name="Normal 569 2 3 3" xfId="37373" xr:uid="{00000000-0005-0000-0000-000006910000}"/>
    <cellStyle name="Normal 569 2 4" xfId="37374" xr:uid="{00000000-0005-0000-0000-000007910000}"/>
    <cellStyle name="Normal 569 3" xfId="37375" xr:uid="{00000000-0005-0000-0000-000008910000}"/>
    <cellStyle name="Normal 569 3 2" xfId="37376" xr:uid="{00000000-0005-0000-0000-000009910000}"/>
    <cellStyle name="Normal 569 3 2 2" xfId="37377" xr:uid="{00000000-0005-0000-0000-00000A910000}"/>
    <cellStyle name="Normal 569 3 3" xfId="37378" xr:uid="{00000000-0005-0000-0000-00000B910000}"/>
    <cellStyle name="Normal 569 4" xfId="37379" xr:uid="{00000000-0005-0000-0000-00000C910000}"/>
    <cellStyle name="Normal 569 4 2" xfId="37380" xr:uid="{00000000-0005-0000-0000-00000D910000}"/>
    <cellStyle name="Normal 569 4 2 2" xfId="37381" xr:uid="{00000000-0005-0000-0000-00000E910000}"/>
    <cellStyle name="Normal 569 4 3" xfId="37382" xr:uid="{00000000-0005-0000-0000-00000F910000}"/>
    <cellStyle name="Normal 569 5" xfId="37383" xr:uid="{00000000-0005-0000-0000-000010910000}"/>
    <cellStyle name="Normal 57" xfId="37384" xr:uid="{00000000-0005-0000-0000-000011910000}"/>
    <cellStyle name="Normal 57 2" xfId="37385" xr:uid="{00000000-0005-0000-0000-000012910000}"/>
    <cellStyle name="Normal 57 2 2" xfId="37386" xr:uid="{00000000-0005-0000-0000-000013910000}"/>
    <cellStyle name="Normal 57 2 2 2" xfId="37387" xr:uid="{00000000-0005-0000-0000-000014910000}"/>
    <cellStyle name="Normal 57 2 3" xfId="37388" xr:uid="{00000000-0005-0000-0000-000015910000}"/>
    <cellStyle name="Normal 57 2 3 2" xfId="37389" xr:uid="{00000000-0005-0000-0000-000016910000}"/>
    <cellStyle name="Normal 57 2 3 2 2" xfId="37390" xr:uid="{00000000-0005-0000-0000-000017910000}"/>
    <cellStyle name="Normal 57 2 3 3" xfId="37391" xr:uid="{00000000-0005-0000-0000-000018910000}"/>
    <cellStyle name="Normal 57 2 4" xfId="37392" xr:uid="{00000000-0005-0000-0000-000019910000}"/>
    <cellStyle name="Normal 57 2 4 2" xfId="37393" xr:uid="{00000000-0005-0000-0000-00001A910000}"/>
    <cellStyle name="Normal 57 2 4 2 2" xfId="37394" xr:uid="{00000000-0005-0000-0000-00001B910000}"/>
    <cellStyle name="Normal 57 2 4 3" xfId="37395" xr:uid="{00000000-0005-0000-0000-00001C910000}"/>
    <cellStyle name="Normal 57 2 5" xfId="37396" xr:uid="{00000000-0005-0000-0000-00001D910000}"/>
    <cellStyle name="Normal 57 3" xfId="37397" xr:uid="{00000000-0005-0000-0000-00001E910000}"/>
    <cellStyle name="Normal 57 3 2" xfId="37398" xr:uid="{00000000-0005-0000-0000-00001F910000}"/>
    <cellStyle name="Normal 57 3 2 2" xfId="37399" xr:uid="{00000000-0005-0000-0000-000020910000}"/>
    <cellStyle name="Normal 57 3 2 2 2" xfId="37400" xr:uid="{00000000-0005-0000-0000-000021910000}"/>
    <cellStyle name="Normal 57 3 2 3" xfId="37401" xr:uid="{00000000-0005-0000-0000-000022910000}"/>
    <cellStyle name="Normal 57 3 2 3 2" xfId="37402" xr:uid="{00000000-0005-0000-0000-000023910000}"/>
    <cellStyle name="Normal 57 3 2 3 2 2" xfId="37403" xr:uid="{00000000-0005-0000-0000-000024910000}"/>
    <cellStyle name="Normal 57 3 2 3 3" xfId="37404" xr:uid="{00000000-0005-0000-0000-000025910000}"/>
    <cellStyle name="Normal 57 3 2 4" xfId="37405" xr:uid="{00000000-0005-0000-0000-000026910000}"/>
    <cellStyle name="Normal 57 3 3" xfId="37406" xr:uid="{00000000-0005-0000-0000-000027910000}"/>
    <cellStyle name="Normal 57 3 3 2" xfId="37407" xr:uid="{00000000-0005-0000-0000-000028910000}"/>
    <cellStyle name="Normal 57 3 3 2 2" xfId="37408" xr:uid="{00000000-0005-0000-0000-000029910000}"/>
    <cellStyle name="Normal 57 3 3 3" xfId="37409" xr:uid="{00000000-0005-0000-0000-00002A910000}"/>
    <cellStyle name="Normal 57 3 4" xfId="37410" xr:uid="{00000000-0005-0000-0000-00002B910000}"/>
    <cellStyle name="Normal 57 3 4 2" xfId="37411" xr:uid="{00000000-0005-0000-0000-00002C910000}"/>
    <cellStyle name="Normal 57 3 4 2 2" xfId="37412" xr:uid="{00000000-0005-0000-0000-00002D910000}"/>
    <cellStyle name="Normal 57 3 4 3" xfId="37413" xr:uid="{00000000-0005-0000-0000-00002E910000}"/>
    <cellStyle name="Normal 57 3 5" xfId="37414" xr:uid="{00000000-0005-0000-0000-00002F910000}"/>
    <cellStyle name="Normal 57 3 5 2" xfId="37415" xr:uid="{00000000-0005-0000-0000-000030910000}"/>
    <cellStyle name="Normal 57 3 5 2 2" xfId="37416" xr:uid="{00000000-0005-0000-0000-000031910000}"/>
    <cellStyle name="Normal 57 3 5 3" xfId="37417" xr:uid="{00000000-0005-0000-0000-000032910000}"/>
    <cellStyle name="Normal 57 3 6" xfId="37418" xr:uid="{00000000-0005-0000-0000-000033910000}"/>
    <cellStyle name="Normal 57 4" xfId="37419" xr:uid="{00000000-0005-0000-0000-000034910000}"/>
    <cellStyle name="Normal 57 4 2" xfId="37420" xr:uid="{00000000-0005-0000-0000-000035910000}"/>
    <cellStyle name="Normal 57 4 2 2" xfId="37421" xr:uid="{00000000-0005-0000-0000-000036910000}"/>
    <cellStyle name="Normal 57 4 3" xfId="37422" xr:uid="{00000000-0005-0000-0000-000037910000}"/>
    <cellStyle name="Normal 57 5" xfId="37423" xr:uid="{00000000-0005-0000-0000-000038910000}"/>
    <cellStyle name="Normal 57 5 2" xfId="37424" xr:uid="{00000000-0005-0000-0000-000039910000}"/>
    <cellStyle name="Normal 57 5 2 2" xfId="37425" xr:uid="{00000000-0005-0000-0000-00003A910000}"/>
    <cellStyle name="Normal 57 5 3" xfId="37426" xr:uid="{00000000-0005-0000-0000-00003B910000}"/>
    <cellStyle name="Normal 57 6" xfId="37427" xr:uid="{00000000-0005-0000-0000-00003C910000}"/>
    <cellStyle name="Normal 57 6 2" xfId="37428" xr:uid="{00000000-0005-0000-0000-00003D910000}"/>
    <cellStyle name="Normal 57 6 2 2" xfId="37429" xr:uid="{00000000-0005-0000-0000-00003E910000}"/>
    <cellStyle name="Normal 57 6 3" xfId="37430" xr:uid="{00000000-0005-0000-0000-00003F910000}"/>
    <cellStyle name="Normal 57 7" xfId="37431" xr:uid="{00000000-0005-0000-0000-000040910000}"/>
    <cellStyle name="Normal 570" xfId="37432" xr:uid="{00000000-0005-0000-0000-000041910000}"/>
    <cellStyle name="Normal 570 2" xfId="37433" xr:uid="{00000000-0005-0000-0000-000042910000}"/>
    <cellStyle name="Normal 570 2 2" xfId="37434" xr:uid="{00000000-0005-0000-0000-000043910000}"/>
    <cellStyle name="Normal 570 2 2 2" xfId="37435" xr:uid="{00000000-0005-0000-0000-000044910000}"/>
    <cellStyle name="Normal 570 2 3" xfId="37436" xr:uid="{00000000-0005-0000-0000-000045910000}"/>
    <cellStyle name="Normal 570 2 3 2" xfId="37437" xr:uid="{00000000-0005-0000-0000-000046910000}"/>
    <cellStyle name="Normal 570 2 3 2 2" xfId="37438" xr:uid="{00000000-0005-0000-0000-000047910000}"/>
    <cellStyle name="Normal 570 2 3 3" xfId="37439" xr:uid="{00000000-0005-0000-0000-000048910000}"/>
    <cellStyle name="Normal 570 2 4" xfId="37440" xr:uid="{00000000-0005-0000-0000-000049910000}"/>
    <cellStyle name="Normal 570 3" xfId="37441" xr:uid="{00000000-0005-0000-0000-00004A910000}"/>
    <cellStyle name="Normal 570 3 2" xfId="37442" xr:uid="{00000000-0005-0000-0000-00004B910000}"/>
    <cellStyle name="Normal 570 3 2 2" xfId="37443" xr:uid="{00000000-0005-0000-0000-00004C910000}"/>
    <cellStyle name="Normal 570 3 3" xfId="37444" xr:uid="{00000000-0005-0000-0000-00004D910000}"/>
    <cellStyle name="Normal 570 4" xfId="37445" xr:uid="{00000000-0005-0000-0000-00004E910000}"/>
    <cellStyle name="Normal 570 4 2" xfId="37446" xr:uid="{00000000-0005-0000-0000-00004F910000}"/>
    <cellStyle name="Normal 570 4 2 2" xfId="37447" xr:uid="{00000000-0005-0000-0000-000050910000}"/>
    <cellStyle name="Normal 570 4 3" xfId="37448" xr:uid="{00000000-0005-0000-0000-000051910000}"/>
    <cellStyle name="Normal 570 5" xfId="37449" xr:uid="{00000000-0005-0000-0000-000052910000}"/>
    <cellStyle name="Normal 571" xfId="37450" xr:uid="{00000000-0005-0000-0000-000053910000}"/>
    <cellStyle name="Normal 571 2" xfId="37451" xr:uid="{00000000-0005-0000-0000-000054910000}"/>
    <cellStyle name="Normal 571 2 2" xfId="37452" xr:uid="{00000000-0005-0000-0000-000055910000}"/>
    <cellStyle name="Normal 571 2 2 2" xfId="37453" xr:uid="{00000000-0005-0000-0000-000056910000}"/>
    <cellStyle name="Normal 571 2 3" xfId="37454" xr:uid="{00000000-0005-0000-0000-000057910000}"/>
    <cellStyle name="Normal 571 2 3 2" xfId="37455" xr:uid="{00000000-0005-0000-0000-000058910000}"/>
    <cellStyle name="Normal 571 2 3 2 2" xfId="37456" xr:uid="{00000000-0005-0000-0000-000059910000}"/>
    <cellStyle name="Normal 571 2 3 3" xfId="37457" xr:uid="{00000000-0005-0000-0000-00005A910000}"/>
    <cellStyle name="Normal 571 2 4" xfId="37458" xr:uid="{00000000-0005-0000-0000-00005B910000}"/>
    <cellStyle name="Normal 571 3" xfId="37459" xr:uid="{00000000-0005-0000-0000-00005C910000}"/>
    <cellStyle name="Normal 571 3 2" xfId="37460" xr:uid="{00000000-0005-0000-0000-00005D910000}"/>
    <cellStyle name="Normal 571 3 2 2" xfId="37461" xr:uid="{00000000-0005-0000-0000-00005E910000}"/>
    <cellStyle name="Normal 571 3 3" xfId="37462" xr:uid="{00000000-0005-0000-0000-00005F910000}"/>
    <cellStyle name="Normal 571 4" xfId="37463" xr:uid="{00000000-0005-0000-0000-000060910000}"/>
    <cellStyle name="Normal 571 4 2" xfId="37464" xr:uid="{00000000-0005-0000-0000-000061910000}"/>
    <cellStyle name="Normal 571 4 2 2" xfId="37465" xr:uid="{00000000-0005-0000-0000-000062910000}"/>
    <cellStyle name="Normal 571 4 3" xfId="37466" xr:uid="{00000000-0005-0000-0000-000063910000}"/>
    <cellStyle name="Normal 571 5" xfId="37467" xr:uid="{00000000-0005-0000-0000-000064910000}"/>
    <cellStyle name="Normal 572" xfId="37468" xr:uid="{00000000-0005-0000-0000-000065910000}"/>
    <cellStyle name="Normal 572 2" xfId="37469" xr:uid="{00000000-0005-0000-0000-000066910000}"/>
    <cellStyle name="Normal 572 2 2" xfId="37470" xr:uid="{00000000-0005-0000-0000-000067910000}"/>
    <cellStyle name="Normal 572 2 2 2" xfId="37471" xr:uid="{00000000-0005-0000-0000-000068910000}"/>
    <cellStyle name="Normal 572 2 3" xfId="37472" xr:uid="{00000000-0005-0000-0000-000069910000}"/>
    <cellStyle name="Normal 572 2 3 2" xfId="37473" xr:uid="{00000000-0005-0000-0000-00006A910000}"/>
    <cellStyle name="Normal 572 2 3 2 2" xfId="37474" xr:uid="{00000000-0005-0000-0000-00006B910000}"/>
    <cellStyle name="Normal 572 2 3 3" xfId="37475" xr:uid="{00000000-0005-0000-0000-00006C910000}"/>
    <cellStyle name="Normal 572 2 4" xfId="37476" xr:uid="{00000000-0005-0000-0000-00006D910000}"/>
    <cellStyle name="Normal 572 3" xfId="37477" xr:uid="{00000000-0005-0000-0000-00006E910000}"/>
    <cellStyle name="Normal 572 3 2" xfId="37478" xr:uid="{00000000-0005-0000-0000-00006F910000}"/>
    <cellStyle name="Normal 572 3 2 2" xfId="37479" xr:uid="{00000000-0005-0000-0000-000070910000}"/>
    <cellStyle name="Normal 572 3 3" xfId="37480" xr:uid="{00000000-0005-0000-0000-000071910000}"/>
    <cellStyle name="Normal 572 4" xfId="37481" xr:uid="{00000000-0005-0000-0000-000072910000}"/>
    <cellStyle name="Normal 572 4 2" xfId="37482" xr:uid="{00000000-0005-0000-0000-000073910000}"/>
    <cellStyle name="Normal 572 4 2 2" xfId="37483" xr:uid="{00000000-0005-0000-0000-000074910000}"/>
    <cellStyle name="Normal 572 4 3" xfId="37484" xr:uid="{00000000-0005-0000-0000-000075910000}"/>
    <cellStyle name="Normal 572 5" xfId="37485" xr:uid="{00000000-0005-0000-0000-000076910000}"/>
    <cellStyle name="Normal 573" xfId="37486" xr:uid="{00000000-0005-0000-0000-000077910000}"/>
    <cellStyle name="Normal 573 2" xfId="37487" xr:uid="{00000000-0005-0000-0000-000078910000}"/>
    <cellStyle name="Normal 573 2 2" xfId="37488" xr:uid="{00000000-0005-0000-0000-000079910000}"/>
    <cellStyle name="Normal 573 2 2 2" xfId="37489" xr:uid="{00000000-0005-0000-0000-00007A910000}"/>
    <cellStyle name="Normal 573 2 3" xfId="37490" xr:uid="{00000000-0005-0000-0000-00007B910000}"/>
    <cellStyle name="Normal 573 2 3 2" xfId="37491" xr:uid="{00000000-0005-0000-0000-00007C910000}"/>
    <cellStyle name="Normal 573 2 3 2 2" xfId="37492" xr:uid="{00000000-0005-0000-0000-00007D910000}"/>
    <cellStyle name="Normal 573 2 3 3" xfId="37493" xr:uid="{00000000-0005-0000-0000-00007E910000}"/>
    <cellStyle name="Normal 573 2 4" xfId="37494" xr:uid="{00000000-0005-0000-0000-00007F910000}"/>
    <cellStyle name="Normal 573 3" xfId="37495" xr:uid="{00000000-0005-0000-0000-000080910000}"/>
    <cellStyle name="Normal 573 3 2" xfId="37496" xr:uid="{00000000-0005-0000-0000-000081910000}"/>
    <cellStyle name="Normal 573 3 2 2" xfId="37497" xr:uid="{00000000-0005-0000-0000-000082910000}"/>
    <cellStyle name="Normal 573 3 3" xfId="37498" xr:uid="{00000000-0005-0000-0000-000083910000}"/>
    <cellStyle name="Normal 573 4" xfId="37499" xr:uid="{00000000-0005-0000-0000-000084910000}"/>
    <cellStyle name="Normal 573 4 2" xfId="37500" xr:uid="{00000000-0005-0000-0000-000085910000}"/>
    <cellStyle name="Normal 573 4 2 2" xfId="37501" xr:uid="{00000000-0005-0000-0000-000086910000}"/>
    <cellStyle name="Normal 573 4 3" xfId="37502" xr:uid="{00000000-0005-0000-0000-000087910000}"/>
    <cellStyle name="Normal 573 5" xfId="37503" xr:uid="{00000000-0005-0000-0000-000088910000}"/>
    <cellStyle name="Normal 574" xfId="37504" xr:uid="{00000000-0005-0000-0000-000089910000}"/>
    <cellStyle name="Normal 574 2" xfId="37505" xr:uid="{00000000-0005-0000-0000-00008A910000}"/>
    <cellStyle name="Normal 574 2 2" xfId="37506" xr:uid="{00000000-0005-0000-0000-00008B910000}"/>
    <cellStyle name="Normal 574 3" xfId="37507" xr:uid="{00000000-0005-0000-0000-00008C910000}"/>
    <cellStyle name="Normal 574 3 2" xfId="37508" xr:uid="{00000000-0005-0000-0000-00008D910000}"/>
    <cellStyle name="Normal 574 3 2 2" xfId="37509" xr:uid="{00000000-0005-0000-0000-00008E910000}"/>
    <cellStyle name="Normal 574 3 3" xfId="37510" xr:uid="{00000000-0005-0000-0000-00008F910000}"/>
    <cellStyle name="Normal 574 4" xfId="37511" xr:uid="{00000000-0005-0000-0000-000090910000}"/>
    <cellStyle name="Normal 575" xfId="37512" xr:uid="{00000000-0005-0000-0000-000091910000}"/>
    <cellStyle name="Normal 575 2" xfId="37513" xr:uid="{00000000-0005-0000-0000-000092910000}"/>
    <cellStyle name="Normal 575 2 2" xfId="37514" xr:uid="{00000000-0005-0000-0000-000093910000}"/>
    <cellStyle name="Normal 575 3" xfId="37515" xr:uid="{00000000-0005-0000-0000-000094910000}"/>
    <cellStyle name="Normal 575 3 2" xfId="37516" xr:uid="{00000000-0005-0000-0000-000095910000}"/>
    <cellStyle name="Normal 575 3 2 2" xfId="37517" xr:uid="{00000000-0005-0000-0000-000096910000}"/>
    <cellStyle name="Normal 575 3 3" xfId="37518" xr:uid="{00000000-0005-0000-0000-000097910000}"/>
    <cellStyle name="Normal 575 4" xfId="37519" xr:uid="{00000000-0005-0000-0000-000098910000}"/>
    <cellStyle name="Normal 576" xfId="37520" xr:uid="{00000000-0005-0000-0000-000099910000}"/>
    <cellStyle name="Normal 576 2" xfId="37521" xr:uid="{00000000-0005-0000-0000-00009A910000}"/>
    <cellStyle name="Normal 576 2 2" xfId="37522" xr:uid="{00000000-0005-0000-0000-00009B910000}"/>
    <cellStyle name="Normal 576 2 2 2" xfId="37523" xr:uid="{00000000-0005-0000-0000-00009C910000}"/>
    <cellStyle name="Normal 576 2 3" xfId="37524" xr:uid="{00000000-0005-0000-0000-00009D910000}"/>
    <cellStyle name="Normal 576 2 3 2" xfId="37525" xr:uid="{00000000-0005-0000-0000-00009E910000}"/>
    <cellStyle name="Normal 576 2 3 2 2" xfId="37526" xr:uid="{00000000-0005-0000-0000-00009F910000}"/>
    <cellStyle name="Normal 576 2 3 3" xfId="37527" xr:uid="{00000000-0005-0000-0000-0000A0910000}"/>
    <cellStyle name="Normal 576 2 4" xfId="37528" xr:uid="{00000000-0005-0000-0000-0000A1910000}"/>
    <cellStyle name="Normal 576 3" xfId="37529" xr:uid="{00000000-0005-0000-0000-0000A2910000}"/>
    <cellStyle name="Normal 576 3 2" xfId="37530" xr:uid="{00000000-0005-0000-0000-0000A3910000}"/>
    <cellStyle name="Normal 576 3 2 2" xfId="37531" xr:uid="{00000000-0005-0000-0000-0000A4910000}"/>
    <cellStyle name="Normal 576 3 3" xfId="37532" xr:uid="{00000000-0005-0000-0000-0000A5910000}"/>
    <cellStyle name="Normal 576 4" xfId="37533" xr:uid="{00000000-0005-0000-0000-0000A6910000}"/>
    <cellStyle name="Normal 576 4 2" xfId="37534" xr:uid="{00000000-0005-0000-0000-0000A7910000}"/>
    <cellStyle name="Normal 576 4 2 2" xfId="37535" xr:uid="{00000000-0005-0000-0000-0000A8910000}"/>
    <cellStyle name="Normal 576 4 3" xfId="37536" xr:uid="{00000000-0005-0000-0000-0000A9910000}"/>
    <cellStyle name="Normal 576 5" xfId="37537" xr:uid="{00000000-0005-0000-0000-0000AA910000}"/>
    <cellStyle name="Normal 577" xfId="37538" xr:uid="{00000000-0005-0000-0000-0000AB910000}"/>
    <cellStyle name="Normal 577 2" xfId="37539" xr:uid="{00000000-0005-0000-0000-0000AC910000}"/>
    <cellStyle name="Normal 577 2 2" xfId="37540" xr:uid="{00000000-0005-0000-0000-0000AD910000}"/>
    <cellStyle name="Normal 577 2 2 2" xfId="37541" xr:uid="{00000000-0005-0000-0000-0000AE910000}"/>
    <cellStyle name="Normal 577 2 3" xfId="37542" xr:uid="{00000000-0005-0000-0000-0000AF910000}"/>
    <cellStyle name="Normal 577 2 3 2" xfId="37543" xr:uid="{00000000-0005-0000-0000-0000B0910000}"/>
    <cellStyle name="Normal 577 2 3 2 2" xfId="37544" xr:uid="{00000000-0005-0000-0000-0000B1910000}"/>
    <cellStyle name="Normal 577 2 3 3" xfId="37545" xr:uid="{00000000-0005-0000-0000-0000B2910000}"/>
    <cellStyle name="Normal 577 2 4" xfId="37546" xr:uid="{00000000-0005-0000-0000-0000B3910000}"/>
    <cellStyle name="Normal 577 3" xfId="37547" xr:uid="{00000000-0005-0000-0000-0000B4910000}"/>
    <cellStyle name="Normal 577 3 2" xfId="37548" xr:uid="{00000000-0005-0000-0000-0000B5910000}"/>
    <cellStyle name="Normal 577 3 2 2" xfId="37549" xr:uid="{00000000-0005-0000-0000-0000B6910000}"/>
    <cellStyle name="Normal 577 3 3" xfId="37550" xr:uid="{00000000-0005-0000-0000-0000B7910000}"/>
    <cellStyle name="Normal 577 4" xfId="37551" xr:uid="{00000000-0005-0000-0000-0000B8910000}"/>
    <cellStyle name="Normal 577 4 2" xfId="37552" xr:uid="{00000000-0005-0000-0000-0000B9910000}"/>
    <cellStyle name="Normal 577 4 2 2" xfId="37553" xr:uid="{00000000-0005-0000-0000-0000BA910000}"/>
    <cellStyle name="Normal 577 4 3" xfId="37554" xr:uid="{00000000-0005-0000-0000-0000BB910000}"/>
    <cellStyle name="Normal 577 5" xfId="37555" xr:uid="{00000000-0005-0000-0000-0000BC910000}"/>
    <cellStyle name="Normal 578" xfId="37556" xr:uid="{00000000-0005-0000-0000-0000BD910000}"/>
    <cellStyle name="Normal 578 2" xfId="37557" xr:uid="{00000000-0005-0000-0000-0000BE910000}"/>
    <cellStyle name="Normal 578 2 2" xfId="37558" xr:uid="{00000000-0005-0000-0000-0000BF910000}"/>
    <cellStyle name="Normal 578 2 2 2" xfId="37559" xr:uid="{00000000-0005-0000-0000-0000C0910000}"/>
    <cellStyle name="Normal 578 2 3" xfId="37560" xr:uid="{00000000-0005-0000-0000-0000C1910000}"/>
    <cellStyle name="Normal 578 2 3 2" xfId="37561" xr:uid="{00000000-0005-0000-0000-0000C2910000}"/>
    <cellStyle name="Normal 578 2 3 2 2" xfId="37562" xr:uid="{00000000-0005-0000-0000-0000C3910000}"/>
    <cellStyle name="Normal 578 2 3 3" xfId="37563" xr:uid="{00000000-0005-0000-0000-0000C4910000}"/>
    <cellStyle name="Normal 578 2 4" xfId="37564" xr:uid="{00000000-0005-0000-0000-0000C5910000}"/>
    <cellStyle name="Normal 578 3" xfId="37565" xr:uid="{00000000-0005-0000-0000-0000C6910000}"/>
    <cellStyle name="Normal 578 3 2" xfId="37566" xr:uid="{00000000-0005-0000-0000-0000C7910000}"/>
    <cellStyle name="Normal 578 3 2 2" xfId="37567" xr:uid="{00000000-0005-0000-0000-0000C8910000}"/>
    <cellStyle name="Normal 578 3 3" xfId="37568" xr:uid="{00000000-0005-0000-0000-0000C9910000}"/>
    <cellStyle name="Normal 578 4" xfId="37569" xr:uid="{00000000-0005-0000-0000-0000CA910000}"/>
    <cellStyle name="Normal 578 4 2" xfId="37570" xr:uid="{00000000-0005-0000-0000-0000CB910000}"/>
    <cellStyle name="Normal 578 4 2 2" xfId="37571" xr:uid="{00000000-0005-0000-0000-0000CC910000}"/>
    <cellStyle name="Normal 578 4 3" xfId="37572" xr:uid="{00000000-0005-0000-0000-0000CD910000}"/>
    <cellStyle name="Normal 578 5" xfId="37573" xr:uid="{00000000-0005-0000-0000-0000CE910000}"/>
    <cellStyle name="Normal 579" xfId="37574" xr:uid="{00000000-0005-0000-0000-0000CF910000}"/>
    <cellStyle name="Normal 579 2" xfId="37575" xr:uid="{00000000-0005-0000-0000-0000D0910000}"/>
    <cellStyle name="Normal 579 2 2" xfId="37576" xr:uid="{00000000-0005-0000-0000-0000D1910000}"/>
    <cellStyle name="Normal 579 2 2 2" xfId="37577" xr:uid="{00000000-0005-0000-0000-0000D2910000}"/>
    <cellStyle name="Normal 579 2 3" xfId="37578" xr:uid="{00000000-0005-0000-0000-0000D3910000}"/>
    <cellStyle name="Normal 579 2 3 2" xfId="37579" xr:uid="{00000000-0005-0000-0000-0000D4910000}"/>
    <cellStyle name="Normal 579 2 3 2 2" xfId="37580" xr:uid="{00000000-0005-0000-0000-0000D5910000}"/>
    <cellStyle name="Normal 579 2 3 3" xfId="37581" xr:uid="{00000000-0005-0000-0000-0000D6910000}"/>
    <cellStyle name="Normal 579 2 4" xfId="37582" xr:uid="{00000000-0005-0000-0000-0000D7910000}"/>
    <cellStyle name="Normal 579 3" xfId="37583" xr:uid="{00000000-0005-0000-0000-0000D8910000}"/>
    <cellStyle name="Normal 579 3 2" xfId="37584" xr:uid="{00000000-0005-0000-0000-0000D9910000}"/>
    <cellStyle name="Normal 579 3 2 2" xfId="37585" xr:uid="{00000000-0005-0000-0000-0000DA910000}"/>
    <cellStyle name="Normal 579 3 3" xfId="37586" xr:uid="{00000000-0005-0000-0000-0000DB910000}"/>
    <cellStyle name="Normal 579 4" xfId="37587" xr:uid="{00000000-0005-0000-0000-0000DC910000}"/>
    <cellStyle name="Normal 579 4 2" xfId="37588" xr:uid="{00000000-0005-0000-0000-0000DD910000}"/>
    <cellStyle name="Normal 579 4 2 2" xfId="37589" xr:uid="{00000000-0005-0000-0000-0000DE910000}"/>
    <cellStyle name="Normal 579 4 3" xfId="37590" xr:uid="{00000000-0005-0000-0000-0000DF910000}"/>
    <cellStyle name="Normal 579 5" xfId="37591" xr:uid="{00000000-0005-0000-0000-0000E0910000}"/>
    <cellStyle name="Normal 58" xfId="37592" xr:uid="{00000000-0005-0000-0000-0000E1910000}"/>
    <cellStyle name="Normal 58 2" xfId="37593" xr:uid="{00000000-0005-0000-0000-0000E2910000}"/>
    <cellStyle name="Normal 58 2 2" xfId="37594" xr:uid="{00000000-0005-0000-0000-0000E3910000}"/>
    <cellStyle name="Normal 58 2 2 2" xfId="37595" xr:uid="{00000000-0005-0000-0000-0000E4910000}"/>
    <cellStyle name="Normal 58 2 3" xfId="37596" xr:uid="{00000000-0005-0000-0000-0000E5910000}"/>
    <cellStyle name="Normal 58 2 3 2" xfId="37597" xr:uid="{00000000-0005-0000-0000-0000E6910000}"/>
    <cellStyle name="Normal 58 2 3 2 2" xfId="37598" xr:uid="{00000000-0005-0000-0000-0000E7910000}"/>
    <cellStyle name="Normal 58 2 3 3" xfId="37599" xr:uid="{00000000-0005-0000-0000-0000E8910000}"/>
    <cellStyle name="Normal 58 2 4" xfId="37600" xr:uid="{00000000-0005-0000-0000-0000E9910000}"/>
    <cellStyle name="Normal 58 2 4 2" xfId="37601" xr:uid="{00000000-0005-0000-0000-0000EA910000}"/>
    <cellStyle name="Normal 58 2 4 2 2" xfId="37602" xr:uid="{00000000-0005-0000-0000-0000EB910000}"/>
    <cellStyle name="Normal 58 2 4 3" xfId="37603" xr:uid="{00000000-0005-0000-0000-0000EC910000}"/>
    <cellStyle name="Normal 58 2 5" xfId="37604" xr:uid="{00000000-0005-0000-0000-0000ED910000}"/>
    <cellStyle name="Normal 58 3" xfId="37605" xr:uid="{00000000-0005-0000-0000-0000EE910000}"/>
    <cellStyle name="Normal 58 3 2" xfId="37606" xr:uid="{00000000-0005-0000-0000-0000EF910000}"/>
    <cellStyle name="Normal 58 3 2 2" xfId="37607" xr:uid="{00000000-0005-0000-0000-0000F0910000}"/>
    <cellStyle name="Normal 58 3 2 2 2" xfId="37608" xr:uid="{00000000-0005-0000-0000-0000F1910000}"/>
    <cellStyle name="Normal 58 3 2 3" xfId="37609" xr:uid="{00000000-0005-0000-0000-0000F2910000}"/>
    <cellStyle name="Normal 58 3 2 3 2" xfId="37610" xr:uid="{00000000-0005-0000-0000-0000F3910000}"/>
    <cellStyle name="Normal 58 3 2 3 2 2" xfId="37611" xr:uid="{00000000-0005-0000-0000-0000F4910000}"/>
    <cellStyle name="Normal 58 3 2 3 3" xfId="37612" xr:uid="{00000000-0005-0000-0000-0000F5910000}"/>
    <cellStyle name="Normal 58 3 2 4" xfId="37613" xr:uid="{00000000-0005-0000-0000-0000F6910000}"/>
    <cellStyle name="Normal 58 3 3" xfId="37614" xr:uid="{00000000-0005-0000-0000-0000F7910000}"/>
    <cellStyle name="Normal 58 3 3 2" xfId="37615" xr:uid="{00000000-0005-0000-0000-0000F8910000}"/>
    <cellStyle name="Normal 58 3 3 2 2" xfId="37616" xr:uid="{00000000-0005-0000-0000-0000F9910000}"/>
    <cellStyle name="Normal 58 3 3 3" xfId="37617" xr:uid="{00000000-0005-0000-0000-0000FA910000}"/>
    <cellStyle name="Normal 58 3 4" xfId="37618" xr:uid="{00000000-0005-0000-0000-0000FB910000}"/>
    <cellStyle name="Normal 58 3 4 2" xfId="37619" xr:uid="{00000000-0005-0000-0000-0000FC910000}"/>
    <cellStyle name="Normal 58 3 4 2 2" xfId="37620" xr:uid="{00000000-0005-0000-0000-0000FD910000}"/>
    <cellStyle name="Normal 58 3 4 3" xfId="37621" xr:uid="{00000000-0005-0000-0000-0000FE910000}"/>
    <cellStyle name="Normal 58 3 5" xfId="37622" xr:uid="{00000000-0005-0000-0000-0000FF910000}"/>
    <cellStyle name="Normal 58 3 5 2" xfId="37623" xr:uid="{00000000-0005-0000-0000-000000920000}"/>
    <cellStyle name="Normal 58 3 5 2 2" xfId="37624" xr:uid="{00000000-0005-0000-0000-000001920000}"/>
    <cellStyle name="Normal 58 3 5 3" xfId="37625" xr:uid="{00000000-0005-0000-0000-000002920000}"/>
    <cellStyle name="Normal 58 3 6" xfId="37626" xr:uid="{00000000-0005-0000-0000-000003920000}"/>
    <cellStyle name="Normal 58 4" xfId="37627" xr:uid="{00000000-0005-0000-0000-000004920000}"/>
    <cellStyle name="Normal 58 4 2" xfId="37628" xr:uid="{00000000-0005-0000-0000-000005920000}"/>
    <cellStyle name="Normal 58 4 2 2" xfId="37629" xr:uid="{00000000-0005-0000-0000-000006920000}"/>
    <cellStyle name="Normal 58 4 3" xfId="37630" xr:uid="{00000000-0005-0000-0000-000007920000}"/>
    <cellStyle name="Normal 58 5" xfId="37631" xr:uid="{00000000-0005-0000-0000-000008920000}"/>
    <cellStyle name="Normal 58 5 2" xfId="37632" xr:uid="{00000000-0005-0000-0000-000009920000}"/>
    <cellStyle name="Normal 58 5 2 2" xfId="37633" xr:uid="{00000000-0005-0000-0000-00000A920000}"/>
    <cellStyle name="Normal 58 5 3" xfId="37634" xr:uid="{00000000-0005-0000-0000-00000B920000}"/>
    <cellStyle name="Normal 58 6" xfId="37635" xr:uid="{00000000-0005-0000-0000-00000C920000}"/>
    <cellStyle name="Normal 58 6 2" xfId="37636" xr:uid="{00000000-0005-0000-0000-00000D920000}"/>
    <cellStyle name="Normal 58 6 2 2" xfId="37637" xr:uid="{00000000-0005-0000-0000-00000E920000}"/>
    <cellStyle name="Normal 58 6 3" xfId="37638" xr:uid="{00000000-0005-0000-0000-00000F920000}"/>
    <cellStyle name="Normal 58 7" xfId="37639" xr:uid="{00000000-0005-0000-0000-000010920000}"/>
    <cellStyle name="Normal 580" xfId="37640" xr:uid="{00000000-0005-0000-0000-000011920000}"/>
    <cellStyle name="Normal 580 2" xfId="37641" xr:uid="{00000000-0005-0000-0000-000012920000}"/>
    <cellStyle name="Normal 580 2 2" xfId="37642" xr:uid="{00000000-0005-0000-0000-000013920000}"/>
    <cellStyle name="Normal 580 3" xfId="37643" xr:uid="{00000000-0005-0000-0000-000014920000}"/>
    <cellStyle name="Normal 580 3 2" xfId="37644" xr:uid="{00000000-0005-0000-0000-000015920000}"/>
    <cellStyle name="Normal 580 3 2 2" xfId="37645" xr:uid="{00000000-0005-0000-0000-000016920000}"/>
    <cellStyle name="Normal 580 3 3" xfId="37646" xr:uid="{00000000-0005-0000-0000-000017920000}"/>
    <cellStyle name="Normal 580 4" xfId="37647" xr:uid="{00000000-0005-0000-0000-000018920000}"/>
    <cellStyle name="Normal 581" xfId="37648" xr:uid="{00000000-0005-0000-0000-000019920000}"/>
    <cellStyle name="Normal 581 2" xfId="37649" xr:uid="{00000000-0005-0000-0000-00001A920000}"/>
    <cellStyle name="Normal 581 2 2" xfId="37650" xr:uid="{00000000-0005-0000-0000-00001B920000}"/>
    <cellStyle name="Normal 581 3" xfId="37651" xr:uid="{00000000-0005-0000-0000-00001C920000}"/>
    <cellStyle name="Normal 581 3 2" xfId="37652" xr:uid="{00000000-0005-0000-0000-00001D920000}"/>
    <cellStyle name="Normal 581 3 2 2" xfId="37653" xr:uid="{00000000-0005-0000-0000-00001E920000}"/>
    <cellStyle name="Normal 581 3 3" xfId="37654" xr:uid="{00000000-0005-0000-0000-00001F920000}"/>
    <cellStyle name="Normal 581 4" xfId="37655" xr:uid="{00000000-0005-0000-0000-000020920000}"/>
    <cellStyle name="Normal 582" xfId="37656" xr:uid="{00000000-0005-0000-0000-000021920000}"/>
    <cellStyle name="Normal 582 2" xfId="37657" xr:uid="{00000000-0005-0000-0000-000022920000}"/>
    <cellStyle name="Normal 582 2 2" xfId="37658" xr:uid="{00000000-0005-0000-0000-000023920000}"/>
    <cellStyle name="Normal 582 3" xfId="37659" xr:uid="{00000000-0005-0000-0000-000024920000}"/>
    <cellStyle name="Normal 582 3 2" xfId="37660" xr:uid="{00000000-0005-0000-0000-000025920000}"/>
    <cellStyle name="Normal 582 3 2 2" xfId="37661" xr:uid="{00000000-0005-0000-0000-000026920000}"/>
    <cellStyle name="Normal 582 3 3" xfId="37662" xr:uid="{00000000-0005-0000-0000-000027920000}"/>
    <cellStyle name="Normal 582 4" xfId="37663" xr:uid="{00000000-0005-0000-0000-000028920000}"/>
    <cellStyle name="Normal 583" xfId="37664" xr:uid="{00000000-0005-0000-0000-000029920000}"/>
    <cellStyle name="Normal 583 2" xfId="37665" xr:uid="{00000000-0005-0000-0000-00002A920000}"/>
    <cellStyle name="Normal 583 2 2" xfId="37666" xr:uid="{00000000-0005-0000-0000-00002B920000}"/>
    <cellStyle name="Normal 583 3" xfId="37667" xr:uid="{00000000-0005-0000-0000-00002C920000}"/>
    <cellStyle name="Normal 583 3 2" xfId="37668" xr:uid="{00000000-0005-0000-0000-00002D920000}"/>
    <cellStyle name="Normal 583 3 2 2" xfId="37669" xr:uid="{00000000-0005-0000-0000-00002E920000}"/>
    <cellStyle name="Normal 583 3 3" xfId="37670" xr:uid="{00000000-0005-0000-0000-00002F920000}"/>
    <cellStyle name="Normal 583 4" xfId="37671" xr:uid="{00000000-0005-0000-0000-000030920000}"/>
    <cellStyle name="Normal 584" xfId="37672" xr:uid="{00000000-0005-0000-0000-000031920000}"/>
    <cellStyle name="Normal 584 2" xfId="37673" xr:uid="{00000000-0005-0000-0000-000032920000}"/>
    <cellStyle name="Normal 584 2 2" xfId="37674" xr:uid="{00000000-0005-0000-0000-000033920000}"/>
    <cellStyle name="Normal 584 2 2 2" xfId="37675" xr:uid="{00000000-0005-0000-0000-000034920000}"/>
    <cellStyle name="Normal 584 2 3" xfId="37676" xr:uid="{00000000-0005-0000-0000-000035920000}"/>
    <cellStyle name="Normal 584 3" xfId="37677" xr:uid="{00000000-0005-0000-0000-000036920000}"/>
    <cellStyle name="Normal 584 3 2" xfId="37678" xr:uid="{00000000-0005-0000-0000-000037920000}"/>
    <cellStyle name="Normal 584 3 2 2" xfId="37679" xr:uid="{00000000-0005-0000-0000-000038920000}"/>
    <cellStyle name="Normal 584 3 2 2 2" xfId="37680" xr:uid="{00000000-0005-0000-0000-000039920000}"/>
    <cellStyle name="Normal 584 3 2 3" xfId="37681" xr:uid="{00000000-0005-0000-0000-00003A920000}"/>
    <cellStyle name="Normal 584 3 3" xfId="37682" xr:uid="{00000000-0005-0000-0000-00003B920000}"/>
    <cellStyle name="Normal 584 3 3 2" xfId="37683" xr:uid="{00000000-0005-0000-0000-00003C920000}"/>
    <cellStyle name="Normal 584 3 4" xfId="37684" xr:uid="{00000000-0005-0000-0000-00003D920000}"/>
    <cellStyle name="Normal 584 4" xfId="37685" xr:uid="{00000000-0005-0000-0000-00003E920000}"/>
    <cellStyle name="Normal 584 4 2" xfId="37686" xr:uid="{00000000-0005-0000-0000-00003F920000}"/>
    <cellStyle name="Normal 584 4 2 2" xfId="37687" xr:uid="{00000000-0005-0000-0000-000040920000}"/>
    <cellStyle name="Normal 584 4 3" xfId="37688" xr:uid="{00000000-0005-0000-0000-000041920000}"/>
    <cellStyle name="Normal 584 5" xfId="37689" xr:uid="{00000000-0005-0000-0000-000042920000}"/>
    <cellStyle name="Normal 584 5 2" xfId="37690" xr:uid="{00000000-0005-0000-0000-000043920000}"/>
    <cellStyle name="Normal 584 6" xfId="37691" xr:uid="{00000000-0005-0000-0000-000044920000}"/>
    <cellStyle name="Normal 585" xfId="37692" xr:uid="{00000000-0005-0000-0000-000045920000}"/>
    <cellStyle name="Normal 585 2" xfId="37693" xr:uid="{00000000-0005-0000-0000-000046920000}"/>
    <cellStyle name="Normal 585 2 2" xfId="37694" xr:uid="{00000000-0005-0000-0000-000047920000}"/>
    <cellStyle name="Normal 585 2 2 2" xfId="37695" xr:uid="{00000000-0005-0000-0000-000048920000}"/>
    <cellStyle name="Normal 585 2 3" xfId="37696" xr:uid="{00000000-0005-0000-0000-000049920000}"/>
    <cellStyle name="Normal 585 3" xfId="37697" xr:uid="{00000000-0005-0000-0000-00004A920000}"/>
    <cellStyle name="Normal 585 3 2" xfId="37698" xr:uid="{00000000-0005-0000-0000-00004B920000}"/>
    <cellStyle name="Normal 585 4" xfId="37699" xr:uid="{00000000-0005-0000-0000-00004C920000}"/>
    <cellStyle name="Normal 586" xfId="37700" xr:uid="{00000000-0005-0000-0000-00004D920000}"/>
    <cellStyle name="Normal 586 2" xfId="37701" xr:uid="{00000000-0005-0000-0000-00004E920000}"/>
    <cellStyle name="Normal 586 2 2" xfId="37702" xr:uid="{00000000-0005-0000-0000-00004F920000}"/>
    <cellStyle name="Normal 586 2 2 2" xfId="37703" xr:uid="{00000000-0005-0000-0000-000050920000}"/>
    <cellStyle name="Normal 586 2 3" xfId="37704" xr:uid="{00000000-0005-0000-0000-000051920000}"/>
    <cellStyle name="Normal 586 3" xfId="37705" xr:uid="{00000000-0005-0000-0000-000052920000}"/>
    <cellStyle name="Normal 586 3 2" xfId="37706" xr:uid="{00000000-0005-0000-0000-000053920000}"/>
    <cellStyle name="Normal 586 4" xfId="37707" xr:uid="{00000000-0005-0000-0000-000054920000}"/>
    <cellStyle name="Normal 587" xfId="37708" xr:uid="{00000000-0005-0000-0000-000055920000}"/>
    <cellStyle name="Normal 587 2" xfId="37709" xr:uid="{00000000-0005-0000-0000-000056920000}"/>
    <cellStyle name="Normal 587 2 2" xfId="37710" xr:uid="{00000000-0005-0000-0000-000057920000}"/>
    <cellStyle name="Normal 587 2 2 2" xfId="37711" xr:uid="{00000000-0005-0000-0000-000058920000}"/>
    <cellStyle name="Normal 587 2 3" xfId="37712" xr:uid="{00000000-0005-0000-0000-000059920000}"/>
    <cellStyle name="Normal 587 3" xfId="37713" xr:uid="{00000000-0005-0000-0000-00005A920000}"/>
    <cellStyle name="Normal 587 3 2" xfId="37714" xr:uid="{00000000-0005-0000-0000-00005B920000}"/>
    <cellStyle name="Normal 587 4" xfId="37715" xr:uid="{00000000-0005-0000-0000-00005C920000}"/>
    <cellStyle name="Normal 588" xfId="37716" xr:uid="{00000000-0005-0000-0000-00005D920000}"/>
    <cellStyle name="Normal 588 2" xfId="37717" xr:uid="{00000000-0005-0000-0000-00005E920000}"/>
    <cellStyle name="Normal 588 2 2" xfId="37718" xr:uid="{00000000-0005-0000-0000-00005F920000}"/>
    <cellStyle name="Normal 588 3" xfId="37719" xr:uid="{00000000-0005-0000-0000-000060920000}"/>
    <cellStyle name="Normal 589" xfId="37720" xr:uid="{00000000-0005-0000-0000-000061920000}"/>
    <cellStyle name="Normal 589 2" xfId="37721" xr:uid="{00000000-0005-0000-0000-000062920000}"/>
    <cellStyle name="Normal 589 2 2" xfId="37722" xr:uid="{00000000-0005-0000-0000-000063920000}"/>
    <cellStyle name="Normal 589 3" xfId="37723" xr:uid="{00000000-0005-0000-0000-000064920000}"/>
    <cellStyle name="Normal 59" xfId="37724" xr:uid="{00000000-0005-0000-0000-000065920000}"/>
    <cellStyle name="Normal 59 2" xfId="37725" xr:uid="{00000000-0005-0000-0000-000066920000}"/>
    <cellStyle name="Normal 59 2 2" xfId="37726" xr:uid="{00000000-0005-0000-0000-000067920000}"/>
    <cellStyle name="Normal 59 2 2 2" xfId="37727" xr:uid="{00000000-0005-0000-0000-000068920000}"/>
    <cellStyle name="Normal 59 2 3" xfId="37728" xr:uid="{00000000-0005-0000-0000-000069920000}"/>
    <cellStyle name="Normal 59 2 3 2" xfId="37729" xr:uid="{00000000-0005-0000-0000-00006A920000}"/>
    <cellStyle name="Normal 59 2 3 2 2" xfId="37730" xr:uid="{00000000-0005-0000-0000-00006B920000}"/>
    <cellStyle name="Normal 59 2 3 3" xfId="37731" xr:uid="{00000000-0005-0000-0000-00006C920000}"/>
    <cellStyle name="Normal 59 2 4" xfId="37732" xr:uid="{00000000-0005-0000-0000-00006D920000}"/>
    <cellStyle name="Normal 59 2 4 2" xfId="37733" xr:uid="{00000000-0005-0000-0000-00006E920000}"/>
    <cellStyle name="Normal 59 2 4 2 2" xfId="37734" xr:uid="{00000000-0005-0000-0000-00006F920000}"/>
    <cellStyle name="Normal 59 2 4 3" xfId="37735" xr:uid="{00000000-0005-0000-0000-000070920000}"/>
    <cellStyle name="Normal 59 2 5" xfId="37736" xr:uid="{00000000-0005-0000-0000-000071920000}"/>
    <cellStyle name="Normal 59 3" xfId="37737" xr:uid="{00000000-0005-0000-0000-000072920000}"/>
    <cellStyle name="Normal 59 3 2" xfId="37738" xr:uid="{00000000-0005-0000-0000-000073920000}"/>
    <cellStyle name="Normal 59 3 2 2" xfId="37739" xr:uid="{00000000-0005-0000-0000-000074920000}"/>
    <cellStyle name="Normal 59 3 2 2 2" xfId="37740" xr:uid="{00000000-0005-0000-0000-000075920000}"/>
    <cellStyle name="Normal 59 3 2 3" xfId="37741" xr:uid="{00000000-0005-0000-0000-000076920000}"/>
    <cellStyle name="Normal 59 3 2 3 2" xfId="37742" xr:uid="{00000000-0005-0000-0000-000077920000}"/>
    <cellStyle name="Normal 59 3 2 3 2 2" xfId="37743" xr:uid="{00000000-0005-0000-0000-000078920000}"/>
    <cellStyle name="Normal 59 3 2 3 3" xfId="37744" xr:uid="{00000000-0005-0000-0000-000079920000}"/>
    <cellStyle name="Normal 59 3 2 4" xfId="37745" xr:uid="{00000000-0005-0000-0000-00007A920000}"/>
    <cellStyle name="Normal 59 3 3" xfId="37746" xr:uid="{00000000-0005-0000-0000-00007B920000}"/>
    <cellStyle name="Normal 59 3 3 2" xfId="37747" xr:uid="{00000000-0005-0000-0000-00007C920000}"/>
    <cellStyle name="Normal 59 3 3 2 2" xfId="37748" xr:uid="{00000000-0005-0000-0000-00007D920000}"/>
    <cellStyle name="Normal 59 3 3 3" xfId="37749" xr:uid="{00000000-0005-0000-0000-00007E920000}"/>
    <cellStyle name="Normal 59 3 4" xfId="37750" xr:uid="{00000000-0005-0000-0000-00007F920000}"/>
    <cellStyle name="Normal 59 3 4 2" xfId="37751" xr:uid="{00000000-0005-0000-0000-000080920000}"/>
    <cellStyle name="Normal 59 3 4 2 2" xfId="37752" xr:uid="{00000000-0005-0000-0000-000081920000}"/>
    <cellStyle name="Normal 59 3 4 3" xfId="37753" xr:uid="{00000000-0005-0000-0000-000082920000}"/>
    <cellStyle name="Normal 59 3 5" xfId="37754" xr:uid="{00000000-0005-0000-0000-000083920000}"/>
    <cellStyle name="Normal 59 3 5 2" xfId="37755" xr:uid="{00000000-0005-0000-0000-000084920000}"/>
    <cellStyle name="Normal 59 3 5 2 2" xfId="37756" xr:uid="{00000000-0005-0000-0000-000085920000}"/>
    <cellStyle name="Normal 59 3 5 3" xfId="37757" xr:uid="{00000000-0005-0000-0000-000086920000}"/>
    <cellStyle name="Normal 59 3 6" xfId="37758" xr:uid="{00000000-0005-0000-0000-000087920000}"/>
    <cellStyle name="Normal 59 4" xfId="37759" xr:uid="{00000000-0005-0000-0000-000088920000}"/>
    <cellStyle name="Normal 59 4 2" xfId="37760" xr:uid="{00000000-0005-0000-0000-000089920000}"/>
    <cellStyle name="Normal 59 4 2 2" xfId="37761" xr:uid="{00000000-0005-0000-0000-00008A920000}"/>
    <cellStyle name="Normal 59 4 3" xfId="37762" xr:uid="{00000000-0005-0000-0000-00008B920000}"/>
    <cellStyle name="Normal 59 5" xfId="37763" xr:uid="{00000000-0005-0000-0000-00008C920000}"/>
    <cellStyle name="Normal 59 5 2" xfId="37764" xr:uid="{00000000-0005-0000-0000-00008D920000}"/>
    <cellStyle name="Normal 59 5 2 2" xfId="37765" xr:uid="{00000000-0005-0000-0000-00008E920000}"/>
    <cellStyle name="Normal 59 5 3" xfId="37766" xr:uid="{00000000-0005-0000-0000-00008F920000}"/>
    <cellStyle name="Normal 59 6" xfId="37767" xr:uid="{00000000-0005-0000-0000-000090920000}"/>
    <cellStyle name="Normal 59 6 2" xfId="37768" xr:uid="{00000000-0005-0000-0000-000091920000}"/>
    <cellStyle name="Normal 59 6 2 2" xfId="37769" xr:uid="{00000000-0005-0000-0000-000092920000}"/>
    <cellStyle name="Normal 59 6 3" xfId="37770" xr:uid="{00000000-0005-0000-0000-000093920000}"/>
    <cellStyle name="Normal 59 7" xfId="37771" xr:uid="{00000000-0005-0000-0000-000094920000}"/>
    <cellStyle name="Normal 590" xfId="37772" xr:uid="{00000000-0005-0000-0000-000095920000}"/>
    <cellStyle name="Normal 590 2" xfId="37773" xr:uid="{00000000-0005-0000-0000-000096920000}"/>
    <cellStyle name="Normal 590 2 2" xfId="37774" xr:uid="{00000000-0005-0000-0000-000097920000}"/>
    <cellStyle name="Normal 590 3" xfId="37775" xr:uid="{00000000-0005-0000-0000-000098920000}"/>
    <cellStyle name="Normal 591" xfId="37776" xr:uid="{00000000-0005-0000-0000-000099920000}"/>
    <cellStyle name="Normal 591 2" xfId="37777" xr:uid="{00000000-0005-0000-0000-00009A920000}"/>
    <cellStyle name="Normal 591 2 2" xfId="37778" xr:uid="{00000000-0005-0000-0000-00009B920000}"/>
    <cellStyle name="Normal 591 3" xfId="37779" xr:uid="{00000000-0005-0000-0000-00009C920000}"/>
    <cellStyle name="Normal 592" xfId="37780" xr:uid="{00000000-0005-0000-0000-00009D920000}"/>
    <cellStyle name="Normal 592 2" xfId="37781" xr:uid="{00000000-0005-0000-0000-00009E920000}"/>
    <cellStyle name="Normal 592 2 2" xfId="37782" xr:uid="{00000000-0005-0000-0000-00009F920000}"/>
    <cellStyle name="Normal 592 3" xfId="37783" xr:uid="{00000000-0005-0000-0000-0000A0920000}"/>
    <cellStyle name="Normal 593" xfId="37784" xr:uid="{00000000-0005-0000-0000-0000A1920000}"/>
    <cellStyle name="Normal 593 2" xfId="37785" xr:uid="{00000000-0005-0000-0000-0000A2920000}"/>
    <cellStyle name="Normal 593 2 2" xfId="37786" xr:uid="{00000000-0005-0000-0000-0000A3920000}"/>
    <cellStyle name="Normal 593 3" xfId="37787" xr:uid="{00000000-0005-0000-0000-0000A4920000}"/>
    <cellStyle name="Normal 594" xfId="37788" xr:uid="{00000000-0005-0000-0000-0000A5920000}"/>
    <cellStyle name="Normal 594 2" xfId="37789" xr:uid="{00000000-0005-0000-0000-0000A6920000}"/>
    <cellStyle name="Normal 594 2 2" xfId="37790" xr:uid="{00000000-0005-0000-0000-0000A7920000}"/>
    <cellStyle name="Normal 594 3" xfId="37791" xr:uid="{00000000-0005-0000-0000-0000A8920000}"/>
    <cellStyle name="Normal 595" xfId="37792" xr:uid="{00000000-0005-0000-0000-0000A9920000}"/>
    <cellStyle name="Normal 595 2" xfId="37793" xr:uid="{00000000-0005-0000-0000-0000AA920000}"/>
    <cellStyle name="Normal 595 2 2" xfId="37794" xr:uid="{00000000-0005-0000-0000-0000AB920000}"/>
    <cellStyle name="Normal 595 3" xfId="37795" xr:uid="{00000000-0005-0000-0000-0000AC920000}"/>
    <cellStyle name="Normal 596" xfId="37796" xr:uid="{00000000-0005-0000-0000-0000AD920000}"/>
    <cellStyle name="Normal 596 2" xfId="37797" xr:uid="{00000000-0005-0000-0000-0000AE920000}"/>
    <cellStyle name="Normal 596 2 2" xfId="37798" xr:uid="{00000000-0005-0000-0000-0000AF920000}"/>
    <cellStyle name="Normal 596 3" xfId="37799" xr:uid="{00000000-0005-0000-0000-0000B0920000}"/>
    <cellStyle name="Normal 597" xfId="37800" xr:uid="{00000000-0005-0000-0000-0000B1920000}"/>
    <cellStyle name="Normal 597 2" xfId="37801" xr:uid="{00000000-0005-0000-0000-0000B2920000}"/>
    <cellStyle name="Normal 597 2 2" xfId="37802" xr:uid="{00000000-0005-0000-0000-0000B3920000}"/>
    <cellStyle name="Normal 597 3" xfId="37803" xr:uid="{00000000-0005-0000-0000-0000B4920000}"/>
    <cellStyle name="Normal 598" xfId="37804" xr:uid="{00000000-0005-0000-0000-0000B5920000}"/>
    <cellStyle name="Normal 598 2" xfId="37805" xr:uid="{00000000-0005-0000-0000-0000B6920000}"/>
    <cellStyle name="Normal 598 2 2" xfId="37806" xr:uid="{00000000-0005-0000-0000-0000B7920000}"/>
    <cellStyle name="Normal 598 3" xfId="37807" xr:uid="{00000000-0005-0000-0000-0000B8920000}"/>
    <cellStyle name="Normal 599" xfId="37808" xr:uid="{00000000-0005-0000-0000-0000B9920000}"/>
    <cellStyle name="Normal 599 2" xfId="37809" xr:uid="{00000000-0005-0000-0000-0000BA920000}"/>
    <cellStyle name="Normal 599 2 2" xfId="37810" xr:uid="{00000000-0005-0000-0000-0000BB920000}"/>
    <cellStyle name="Normal 599 3" xfId="37811" xr:uid="{00000000-0005-0000-0000-0000BC920000}"/>
    <cellStyle name="Normal 6" xfId="81" xr:uid="{00000000-0005-0000-0000-0000BD920000}"/>
    <cellStyle name="Normal 6 10" xfId="203" xr:uid="{00000000-0005-0000-0000-0000BE920000}"/>
    <cellStyle name="Normal 6 10 2" xfId="339" xr:uid="{00000000-0005-0000-0000-0000BF920000}"/>
    <cellStyle name="Normal 6 10 2 2" xfId="37814" xr:uid="{00000000-0005-0000-0000-0000C0920000}"/>
    <cellStyle name="Normal 6 10 3" xfId="462" xr:uid="{00000000-0005-0000-0000-0000C1920000}"/>
    <cellStyle name="Normal 6 10 4" xfId="605" xr:uid="{00000000-0005-0000-0000-0000C2920000}"/>
    <cellStyle name="Normal 6 10 5" xfId="37813" xr:uid="{00000000-0005-0000-0000-0000C3920000}"/>
    <cellStyle name="Normal 6 10 6" xfId="53829" xr:uid="{00000000-0005-0000-0000-0000C4920000}"/>
    <cellStyle name="Normal 6 11" xfId="249" xr:uid="{00000000-0005-0000-0000-0000C5920000}"/>
    <cellStyle name="Normal 6 11 2" xfId="37815" xr:uid="{00000000-0005-0000-0000-0000C6920000}"/>
    <cellStyle name="Normal 6 12" xfId="257" xr:uid="{00000000-0005-0000-0000-0000C7920000}"/>
    <cellStyle name="Normal 6 12 2" xfId="37816" xr:uid="{00000000-0005-0000-0000-0000C8920000}"/>
    <cellStyle name="Normal 6 13" xfId="380" xr:uid="{00000000-0005-0000-0000-0000C9920000}"/>
    <cellStyle name="Normal 6 13 2" xfId="37817" xr:uid="{00000000-0005-0000-0000-0000CA920000}"/>
    <cellStyle name="Normal 6 14" xfId="503" xr:uid="{00000000-0005-0000-0000-0000CB920000}"/>
    <cellStyle name="Normal 6 15" xfId="604" xr:uid="{00000000-0005-0000-0000-0000CC920000}"/>
    <cellStyle name="Normal 6 16" xfId="37812" xr:uid="{00000000-0005-0000-0000-0000CD920000}"/>
    <cellStyle name="Normal 6 17" xfId="53704" xr:uid="{00000000-0005-0000-0000-0000CE920000}"/>
    <cellStyle name="Normal 6 18" xfId="53766" xr:uid="{00000000-0005-0000-0000-0000CF920000}"/>
    <cellStyle name="Normal 6 2" xfId="109" xr:uid="{00000000-0005-0000-0000-0000D0920000}"/>
    <cellStyle name="Normal 6 2 10" xfId="382" xr:uid="{00000000-0005-0000-0000-0000D1920000}"/>
    <cellStyle name="Normal 6 2 11" xfId="505" xr:uid="{00000000-0005-0000-0000-0000D2920000}"/>
    <cellStyle name="Normal 6 2 12" xfId="606" xr:uid="{00000000-0005-0000-0000-0000D3920000}"/>
    <cellStyle name="Normal 6 2 13" xfId="37818" xr:uid="{00000000-0005-0000-0000-0000D4920000}"/>
    <cellStyle name="Normal 6 2 14" xfId="53706" xr:uid="{00000000-0005-0000-0000-0000D5920000}"/>
    <cellStyle name="Normal 6 2 15" xfId="53767" xr:uid="{00000000-0005-0000-0000-0000D6920000}"/>
    <cellStyle name="Normal 6 2 2" xfId="115" xr:uid="{00000000-0005-0000-0000-0000D7920000}"/>
    <cellStyle name="Normal 6 2 2 10" xfId="53712" xr:uid="{00000000-0005-0000-0000-0000D8920000}"/>
    <cellStyle name="Normal 6 2 2 11" xfId="53768" xr:uid="{00000000-0005-0000-0000-0000D9920000}"/>
    <cellStyle name="Normal 6 2 2 2" xfId="152" xr:uid="{00000000-0005-0000-0000-0000DA920000}"/>
    <cellStyle name="Normal 6 2 2 2 10" xfId="53769" xr:uid="{00000000-0005-0000-0000-0000DB920000}"/>
    <cellStyle name="Normal 6 2 2 2 2" xfId="193" xr:uid="{00000000-0005-0000-0000-0000DC920000}"/>
    <cellStyle name="Normal 6 2 2 2 2 2" xfId="329" xr:uid="{00000000-0005-0000-0000-0000DD920000}"/>
    <cellStyle name="Normal 6 2 2 2 2 3" xfId="452" xr:uid="{00000000-0005-0000-0000-0000DE920000}"/>
    <cellStyle name="Normal 6 2 2 2 2 4" xfId="609" xr:uid="{00000000-0005-0000-0000-0000DF920000}"/>
    <cellStyle name="Normal 6 2 2 2 2 5" xfId="37821" xr:uid="{00000000-0005-0000-0000-0000E0920000}"/>
    <cellStyle name="Normal 6 2 2 2 2 6" xfId="53819" xr:uid="{00000000-0005-0000-0000-0000E1920000}"/>
    <cellStyle name="Normal 6 2 2 2 3" xfId="234" xr:uid="{00000000-0005-0000-0000-0000E2920000}"/>
    <cellStyle name="Normal 6 2 2 2 3 2" xfId="370" xr:uid="{00000000-0005-0000-0000-0000E3920000}"/>
    <cellStyle name="Normal 6 2 2 2 3 3" xfId="493" xr:uid="{00000000-0005-0000-0000-0000E4920000}"/>
    <cellStyle name="Normal 6 2 2 2 3 4" xfId="610" xr:uid="{00000000-0005-0000-0000-0000E5920000}"/>
    <cellStyle name="Normal 6 2 2 2 3 5" xfId="53860" xr:uid="{00000000-0005-0000-0000-0000E6920000}"/>
    <cellStyle name="Normal 6 2 2 2 4" xfId="288" xr:uid="{00000000-0005-0000-0000-0000E7920000}"/>
    <cellStyle name="Normal 6 2 2 2 5" xfId="411" xr:uid="{00000000-0005-0000-0000-0000E8920000}"/>
    <cellStyle name="Normal 6 2 2 2 6" xfId="534" xr:uid="{00000000-0005-0000-0000-0000E9920000}"/>
    <cellStyle name="Normal 6 2 2 2 7" xfId="608" xr:uid="{00000000-0005-0000-0000-0000EA920000}"/>
    <cellStyle name="Normal 6 2 2 2 8" xfId="37820" xr:uid="{00000000-0005-0000-0000-0000EB920000}"/>
    <cellStyle name="Normal 6 2 2 2 9" xfId="53735" xr:uid="{00000000-0005-0000-0000-0000EC920000}"/>
    <cellStyle name="Normal 6 2 2 3" xfId="170" xr:uid="{00000000-0005-0000-0000-0000ED920000}"/>
    <cellStyle name="Normal 6 2 2 3 2" xfId="306" xr:uid="{00000000-0005-0000-0000-0000EE920000}"/>
    <cellStyle name="Normal 6 2 2 3 2 2" xfId="37824" xr:uid="{00000000-0005-0000-0000-0000EF920000}"/>
    <cellStyle name="Normal 6 2 2 3 2 3" xfId="37823" xr:uid="{00000000-0005-0000-0000-0000F0920000}"/>
    <cellStyle name="Normal 6 2 2 3 3" xfId="429" xr:uid="{00000000-0005-0000-0000-0000F1920000}"/>
    <cellStyle name="Normal 6 2 2 3 3 2" xfId="37825" xr:uid="{00000000-0005-0000-0000-0000F2920000}"/>
    <cellStyle name="Normal 6 2 2 3 4" xfId="611" xr:uid="{00000000-0005-0000-0000-0000F3920000}"/>
    <cellStyle name="Normal 6 2 2 3 5" xfId="37822" xr:uid="{00000000-0005-0000-0000-0000F4920000}"/>
    <cellStyle name="Normal 6 2 2 3 6" xfId="53796" xr:uid="{00000000-0005-0000-0000-0000F5920000}"/>
    <cellStyle name="Normal 6 2 2 4" xfId="211" xr:uid="{00000000-0005-0000-0000-0000F6920000}"/>
    <cellStyle name="Normal 6 2 2 4 2" xfId="347" xr:uid="{00000000-0005-0000-0000-0000F7920000}"/>
    <cellStyle name="Normal 6 2 2 4 2 2" xfId="37828" xr:uid="{00000000-0005-0000-0000-0000F8920000}"/>
    <cellStyle name="Normal 6 2 2 4 2 3" xfId="37827" xr:uid="{00000000-0005-0000-0000-0000F9920000}"/>
    <cellStyle name="Normal 6 2 2 4 3" xfId="470" xr:uid="{00000000-0005-0000-0000-0000FA920000}"/>
    <cellStyle name="Normal 6 2 2 4 3 2" xfId="37829" xr:uid="{00000000-0005-0000-0000-0000FB920000}"/>
    <cellStyle name="Normal 6 2 2 4 4" xfId="612" xr:uid="{00000000-0005-0000-0000-0000FC920000}"/>
    <cellStyle name="Normal 6 2 2 4 5" xfId="37826" xr:uid="{00000000-0005-0000-0000-0000FD920000}"/>
    <cellStyle name="Normal 6 2 2 4 6" xfId="53837" xr:uid="{00000000-0005-0000-0000-0000FE920000}"/>
    <cellStyle name="Normal 6 2 2 5" xfId="265" xr:uid="{00000000-0005-0000-0000-0000FF920000}"/>
    <cellStyle name="Normal 6 2 2 5 2" xfId="37830" xr:uid="{00000000-0005-0000-0000-000000930000}"/>
    <cellStyle name="Normal 6 2 2 6" xfId="388" xr:uid="{00000000-0005-0000-0000-000001930000}"/>
    <cellStyle name="Normal 6 2 2 7" xfId="511" xr:uid="{00000000-0005-0000-0000-000002930000}"/>
    <cellStyle name="Normal 6 2 2 8" xfId="607" xr:uid="{00000000-0005-0000-0000-000003930000}"/>
    <cellStyle name="Normal 6 2 2 9" xfId="37819" xr:uid="{00000000-0005-0000-0000-000004930000}"/>
    <cellStyle name="Normal 6 2 3" xfId="119" xr:uid="{00000000-0005-0000-0000-000005930000}"/>
    <cellStyle name="Normal 6 2 3 10" xfId="53716" xr:uid="{00000000-0005-0000-0000-000006930000}"/>
    <cellStyle name="Normal 6 2 3 11" xfId="53770" xr:uid="{00000000-0005-0000-0000-000007930000}"/>
    <cellStyle name="Normal 6 2 3 2" xfId="156" xr:uid="{00000000-0005-0000-0000-000008930000}"/>
    <cellStyle name="Normal 6 2 3 2 10" xfId="53771" xr:uid="{00000000-0005-0000-0000-000009930000}"/>
    <cellStyle name="Normal 6 2 3 2 2" xfId="197" xr:uid="{00000000-0005-0000-0000-00000A930000}"/>
    <cellStyle name="Normal 6 2 3 2 2 2" xfId="333" xr:uid="{00000000-0005-0000-0000-00000B930000}"/>
    <cellStyle name="Normal 6 2 3 2 2 2 2" xfId="37834" xr:uid="{00000000-0005-0000-0000-00000C930000}"/>
    <cellStyle name="Normal 6 2 3 2 2 3" xfId="456" xr:uid="{00000000-0005-0000-0000-00000D930000}"/>
    <cellStyle name="Normal 6 2 3 2 2 4" xfId="615" xr:uid="{00000000-0005-0000-0000-00000E930000}"/>
    <cellStyle name="Normal 6 2 3 2 2 5" xfId="37833" xr:uid="{00000000-0005-0000-0000-00000F930000}"/>
    <cellStyle name="Normal 6 2 3 2 2 6" xfId="53823" xr:uid="{00000000-0005-0000-0000-000010930000}"/>
    <cellStyle name="Normal 6 2 3 2 3" xfId="238" xr:uid="{00000000-0005-0000-0000-000011930000}"/>
    <cellStyle name="Normal 6 2 3 2 3 2" xfId="374" xr:uid="{00000000-0005-0000-0000-000012930000}"/>
    <cellStyle name="Normal 6 2 3 2 3 2 2" xfId="37837" xr:uid="{00000000-0005-0000-0000-000013930000}"/>
    <cellStyle name="Normal 6 2 3 2 3 2 3" xfId="37836" xr:uid="{00000000-0005-0000-0000-000014930000}"/>
    <cellStyle name="Normal 6 2 3 2 3 3" xfId="497" xr:uid="{00000000-0005-0000-0000-000015930000}"/>
    <cellStyle name="Normal 6 2 3 2 3 3 2" xfId="37838" xr:uid="{00000000-0005-0000-0000-000016930000}"/>
    <cellStyle name="Normal 6 2 3 2 3 4" xfId="616" xr:uid="{00000000-0005-0000-0000-000017930000}"/>
    <cellStyle name="Normal 6 2 3 2 3 5" xfId="37835" xr:uid="{00000000-0005-0000-0000-000018930000}"/>
    <cellStyle name="Normal 6 2 3 2 3 6" xfId="53864" xr:uid="{00000000-0005-0000-0000-000019930000}"/>
    <cellStyle name="Normal 6 2 3 2 4" xfId="292" xr:uid="{00000000-0005-0000-0000-00001A930000}"/>
    <cellStyle name="Normal 6 2 3 2 4 2" xfId="37839" xr:uid="{00000000-0005-0000-0000-00001B930000}"/>
    <cellStyle name="Normal 6 2 3 2 5" xfId="415" xr:uid="{00000000-0005-0000-0000-00001C930000}"/>
    <cellStyle name="Normal 6 2 3 2 6" xfId="538" xr:uid="{00000000-0005-0000-0000-00001D930000}"/>
    <cellStyle name="Normal 6 2 3 2 7" xfId="614" xr:uid="{00000000-0005-0000-0000-00001E930000}"/>
    <cellStyle name="Normal 6 2 3 2 8" xfId="37832" xr:uid="{00000000-0005-0000-0000-00001F930000}"/>
    <cellStyle name="Normal 6 2 3 2 9" xfId="53739" xr:uid="{00000000-0005-0000-0000-000020930000}"/>
    <cellStyle name="Normal 6 2 3 3" xfId="174" xr:uid="{00000000-0005-0000-0000-000021930000}"/>
    <cellStyle name="Normal 6 2 3 3 2" xfId="310" xr:uid="{00000000-0005-0000-0000-000022930000}"/>
    <cellStyle name="Normal 6 2 3 3 2 2" xfId="37842" xr:uid="{00000000-0005-0000-0000-000023930000}"/>
    <cellStyle name="Normal 6 2 3 3 2 3" xfId="37841" xr:uid="{00000000-0005-0000-0000-000024930000}"/>
    <cellStyle name="Normal 6 2 3 3 3" xfId="433" xr:uid="{00000000-0005-0000-0000-000025930000}"/>
    <cellStyle name="Normal 6 2 3 3 3 2" xfId="37843" xr:uid="{00000000-0005-0000-0000-000026930000}"/>
    <cellStyle name="Normal 6 2 3 3 4" xfId="617" xr:uid="{00000000-0005-0000-0000-000027930000}"/>
    <cellStyle name="Normal 6 2 3 3 5" xfId="37840" xr:uid="{00000000-0005-0000-0000-000028930000}"/>
    <cellStyle name="Normal 6 2 3 3 6" xfId="53800" xr:uid="{00000000-0005-0000-0000-000029930000}"/>
    <cellStyle name="Normal 6 2 3 4" xfId="215" xr:uid="{00000000-0005-0000-0000-00002A930000}"/>
    <cellStyle name="Normal 6 2 3 4 2" xfId="351" xr:uid="{00000000-0005-0000-0000-00002B930000}"/>
    <cellStyle name="Normal 6 2 3 4 2 2" xfId="37846" xr:uid="{00000000-0005-0000-0000-00002C930000}"/>
    <cellStyle name="Normal 6 2 3 4 2 3" xfId="37845" xr:uid="{00000000-0005-0000-0000-00002D930000}"/>
    <cellStyle name="Normal 6 2 3 4 3" xfId="474" xr:uid="{00000000-0005-0000-0000-00002E930000}"/>
    <cellStyle name="Normal 6 2 3 4 3 2" xfId="37847" xr:uid="{00000000-0005-0000-0000-00002F930000}"/>
    <cellStyle name="Normal 6 2 3 4 4" xfId="618" xr:uid="{00000000-0005-0000-0000-000030930000}"/>
    <cellStyle name="Normal 6 2 3 4 5" xfId="37844" xr:uid="{00000000-0005-0000-0000-000031930000}"/>
    <cellStyle name="Normal 6 2 3 4 6" xfId="53841" xr:uid="{00000000-0005-0000-0000-000032930000}"/>
    <cellStyle name="Normal 6 2 3 5" xfId="269" xr:uid="{00000000-0005-0000-0000-000033930000}"/>
    <cellStyle name="Normal 6 2 3 5 2" xfId="37849" xr:uid="{00000000-0005-0000-0000-000034930000}"/>
    <cellStyle name="Normal 6 2 3 5 2 2" xfId="37850" xr:uid="{00000000-0005-0000-0000-000035930000}"/>
    <cellStyle name="Normal 6 2 3 5 3" xfId="37851" xr:uid="{00000000-0005-0000-0000-000036930000}"/>
    <cellStyle name="Normal 6 2 3 5 4" xfId="37848" xr:uid="{00000000-0005-0000-0000-000037930000}"/>
    <cellStyle name="Normal 6 2 3 6" xfId="392" xr:uid="{00000000-0005-0000-0000-000038930000}"/>
    <cellStyle name="Normal 6 2 3 6 2" xfId="37852" xr:uid="{00000000-0005-0000-0000-000039930000}"/>
    <cellStyle name="Normal 6 2 3 7" xfId="515" xr:uid="{00000000-0005-0000-0000-00003A930000}"/>
    <cellStyle name="Normal 6 2 3 8" xfId="613" xr:uid="{00000000-0005-0000-0000-00003B930000}"/>
    <cellStyle name="Normal 6 2 3 9" xfId="37831" xr:uid="{00000000-0005-0000-0000-00003C930000}"/>
    <cellStyle name="Normal 6 2 4" xfId="123" xr:uid="{00000000-0005-0000-0000-00003D930000}"/>
    <cellStyle name="Normal 6 2 4 10" xfId="53720" xr:uid="{00000000-0005-0000-0000-00003E930000}"/>
    <cellStyle name="Normal 6 2 4 11" xfId="53772" xr:uid="{00000000-0005-0000-0000-00003F930000}"/>
    <cellStyle name="Normal 6 2 4 2" xfId="160" xr:uid="{00000000-0005-0000-0000-000040930000}"/>
    <cellStyle name="Normal 6 2 4 2 10" xfId="53773" xr:uid="{00000000-0005-0000-0000-000041930000}"/>
    <cellStyle name="Normal 6 2 4 2 2" xfId="201" xr:uid="{00000000-0005-0000-0000-000042930000}"/>
    <cellStyle name="Normal 6 2 4 2 2 2" xfId="337" xr:uid="{00000000-0005-0000-0000-000043930000}"/>
    <cellStyle name="Normal 6 2 4 2 2 3" xfId="460" xr:uid="{00000000-0005-0000-0000-000044930000}"/>
    <cellStyle name="Normal 6 2 4 2 2 4" xfId="621" xr:uid="{00000000-0005-0000-0000-000045930000}"/>
    <cellStyle name="Normal 6 2 4 2 2 5" xfId="37855" xr:uid="{00000000-0005-0000-0000-000046930000}"/>
    <cellStyle name="Normal 6 2 4 2 2 6" xfId="53827" xr:uid="{00000000-0005-0000-0000-000047930000}"/>
    <cellStyle name="Normal 6 2 4 2 3" xfId="242" xr:uid="{00000000-0005-0000-0000-000048930000}"/>
    <cellStyle name="Normal 6 2 4 2 3 2" xfId="378" xr:uid="{00000000-0005-0000-0000-000049930000}"/>
    <cellStyle name="Normal 6 2 4 2 3 3" xfId="501" xr:uid="{00000000-0005-0000-0000-00004A930000}"/>
    <cellStyle name="Normal 6 2 4 2 3 4" xfId="622" xr:uid="{00000000-0005-0000-0000-00004B930000}"/>
    <cellStyle name="Normal 6 2 4 2 3 5" xfId="53868" xr:uid="{00000000-0005-0000-0000-00004C930000}"/>
    <cellStyle name="Normal 6 2 4 2 4" xfId="296" xr:uid="{00000000-0005-0000-0000-00004D930000}"/>
    <cellStyle name="Normal 6 2 4 2 5" xfId="419" xr:uid="{00000000-0005-0000-0000-00004E930000}"/>
    <cellStyle name="Normal 6 2 4 2 6" xfId="542" xr:uid="{00000000-0005-0000-0000-00004F930000}"/>
    <cellStyle name="Normal 6 2 4 2 7" xfId="620" xr:uid="{00000000-0005-0000-0000-000050930000}"/>
    <cellStyle name="Normal 6 2 4 2 8" xfId="37854" xr:uid="{00000000-0005-0000-0000-000051930000}"/>
    <cellStyle name="Normal 6 2 4 2 9" xfId="53743" xr:uid="{00000000-0005-0000-0000-000052930000}"/>
    <cellStyle name="Normal 6 2 4 3" xfId="178" xr:uid="{00000000-0005-0000-0000-000053930000}"/>
    <cellStyle name="Normal 6 2 4 3 2" xfId="314" xr:uid="{00000000-0005-0000-0000-000054930000}"/>
    <cellStyle name="Normal 6 2 4 3 3" xfId="437" xr:uid="{00000000-0005-0000-0000-000055930000}"/>
    <cellStyle name="Normal 6 2 4 3 4" xfId="623" xr:uid="{00000000-0005-0000-0000-000056930000}"/>
    <cellStyle name="Normal 6 2 4 3 5" xfId="37856" xr:uid="{00000000-0005-0000-0000-000057930000}"/>
    <cellStyle name="Normal 6 2 4 3 6" xfId="53804" xr:uid="{00000000-0005-0000-0000-000058930000}"/>
    <cellStyle name="Normal 6 2 4 4" xfId="219" xr:uid="{00000000-0005-0000-0000-000059930000}"/>
    <cellStyle name="Normal 6 2 4 4 2" xfId="355" xr:uid="{00000000-0005-0000-0000-00005A930000}"/>
    <cellStyle name="Normal 6 2 4 4 3" xfId="478" xr:uid="{00000000-0005-0000-0000-00005B930000}"/>
    <cellStyle name="Normal 6 2 4 4 4" xfId="624" xr:uid="{00000000-0005-0000-0000-00005C930000}"/>
    <cellStyle name="Normal 6 2 4 4 5" xfId="53845" xr:uid="{00000000-0005-0000-0000-00005D930000}"/>
    <cellStyle name="Normal 6 2 4 5" xfId="273" xr:uid="{00000000-0005-0000-0000-00005E930000}"/>
    <cellStyle name="Normal 6 2 4 6" xfId="396" xr:uid="{00000000-0005-0000-0000-00005F930000}"/>
    <cellStyle name="Normal 6 2 4 7" xfId="519" xr:uid="{00000000-0005-0000-0000-000060930000}"/>
    <cellStyle name="Normal 6 2 4 8" xfId="619" xr:uid="{00000000-0005-0000-0000-000061930000}"/>
    <cellStyle name="Normal 6 2 4 9" xfId="37853" xr:uid="{00000000-0005-0000-0000-000062930000}"/>
    <cellStyle name="Normal 6 2 5" xfId="146" xr:uid="{00000000-0005-0000-0000-000063930000}"/>
    <cellStyle name="Normal 6 2 5 10" xfId="53774" xr:uid="{00000000-0005-0000-0000-000064930000}"/>
    <cellStyle name="Normal 6 2 5 2" xfId="187" xr:uid="{00000000-0005-0000-0000-000065930000}"/>
    <cellStyle name="Normal 6 2 5 2 2" xfId="323" xr:uid="{00000000-0005-0000-0000-000066930000}"/>
    <cellStyle name="Normal 6 2 5 2 2 2" xfId="37859" xr:uid="{00000000-0005-0000-0000-000067930000}"/>
    <cellStyle name="Normal 6 2 5 2 3" xfId="446" xr:uid="{00000000-0005-0000-0000-000068930000}"/>
    <cellStyle name="Normal 6 2 5 2 4" xfId="626" xr:uid="{00000000-0005-0000-0000-000069930000}"/>
    <cellStyle name="Normal 6 2 5 2 5" xfId="37858" xr:uid="{00000000-0005-0000-0000-00006A930000}"/>
    <cellStyle name="Normal 6 2 5 2 6" xfId="53813" xr:uid="{00000000-0005-0000-0000-00006B930000}"/>
    <cellStyle name="Normal 6 2 5 3" xfId="228" xr:uid="{00000000-0005-0000-0000-00006C930000}"/>
    <cellStyle name="Normal 6 2 5 3 2" xfId="364" xr:uid="{00000000-0005-0000-0000-00006D930000}"/>
    <cellStyle name="Normal 6 2 5 3 3" xfId="487" xr:uid="{00000000-0005-0000-0000-00006E930000}"/>
    <cellStyle name="Normal 6 2 5 3 4" xfId="627" xr:uid="{00000000-0005-0000-0000-00006F930000}"/>
    <cellStyle name="Normal 6 2 5 3 5" xfId="37860" xr:uid="{00000000-0005-0000-0000-000070930000}"/>
    <cellStyle name="Normal 6 2 5 3 6" xfId="53854" xr:uid="{00000000-0005-0000-0000-000071930000}"/>
    <cellStyle name="Normal 6 2 5 4" xfId="282" xr:uid="{00000000-0005-0000-0000-000072930000}"/>
    <cellStyle name="Normal 6 2 5 5" xfId="405" xr:uid="{00000000-0005-0000-0000-000073930000}"/>
    <cellStyle name="Normal 6 2 5 6" xfId="528" xr:uid="{00000000-0005-0000-0000-000074930000}"/>
    <cellStyle name="Normal 6 2 5 7" xfId="625" xr:uid="{00000000-0005-0000-0000-000075930000}"/>
    <cellStyle name="Normal 6 2 5 8" xfId="37857" xr:uid="{00000000-0005-0000-0000-000076930000}"/>
    <cellStyle name="Normal 6 2 5 9" xfId="53729" xr:uid="{00000000-0005-0000-0000-000077930000}"/>
    <cellStyle name="Normal 6 2 6" xfId="142" xr:uid="{00000000-0005-0000-0000-000078930000}"/>
    <cellStyle name="Normal 6 2 6 10" xfId="53775" xr:uid="{00000000-0005-0000-0000-000079930000}"/>
    <cellStyle name="Normal 6 2 6 2" xfId="183" xr:uid="{00000000-0005-0000-0000-00007A930000}"/>
    <cellStyle name="Normal 6 2 6 2 2" xfId="319" xr:uid="{00000000-0005-0000-0000-00007B930000}"/>
    <cellStyle name="Normal 6 2 6 2 2 2" xfId="37863" xr:uid="{00000000-0005-0000-0000-00007C930000}"/>
    <cellStyle name="Normal 6 2 6 2 3" xfId="442" xr:uid="{00000000-0005-0000-0000-00007D930000}"/>
    <cellStyle name="Normal 6 2 6 2 4" xfId="629" xr:uid="{00000000-0005-0000-0000-00007E930000}"/>
    <cellStyle name="Normal 6 2 6 2 5" xfId="37862" xr:uid="{00000000-0005-0000-0000-00007F930000}"/>
    <cellStyle name="Normal 6 2 6 2 6" xfId="53809" xr:uid="{00000000-0005-0000-0000-000080930000}"/>
    <cellStyle name="Normal 6 2 6 3" xfId="224" xr:uid="{00000000-0005-0000-0000-000081930000}"/>
    <cellStyle name="Normal 6 2 6 3 2" xfId="360" xr:uid="{00000000-0005-0000-0000-000082930000}"/>
    <cellStyle name="Normal 6 2 6 3 3" xfId="483" xr:uid="{00000000-0005-0000-0000-000083930000}"/>
    <cellStyle name="Normal 6 2 6 3 4" xfId="630" xr:uid="{00000000-0005-0000-0000-000084930000}"/>
    <cellStyle name="Normal 6 2 6 3 5" xfId="37864" xr:uid="{00000000-0005-0000-0000-000085930000}"/>
    <cellStyle name="Normal 6 2 6 3 6" xfId="53850" xr:uid="{00000000-0005-0000-0000-000086930000}"/>
    <cellStyle name="Normal 6 2 6 4" xfId="278" xr:uid="{00000000-0005-0000-0000-000087930000}"/>
    <cellStyle name="Normal 6 2 6 5" xfId="401" xr:uid="{00000000-0005-0000-0000-000088930000}"/>
    <cellStyle name="Normal 6 2 6 6" xfId="524" xr:uid="{00000000-0005-0000-0000-000089930000}"/>
    <cellStyle name="Normal 6 2 6 7" xfId="628" xr:uid="{00000000-0005-0000-0000-00008A930000}"/>
    <cellStyle name="Normal 6 2 6 8" xfId="37861" xr:uid="{00000000-0005-0000-0000-00008B930000}"/>
    <cellStyle name="Normal 6 2 6 9" xfId="53725" xr:uid="{00000000-0005-0000-0000-00008C930000}"/>
    <cellStyle name="Normal 6 2 7" xfId="164" xr:uid="{00000000-0005-0000-0000-00008D930000}"/>
    <cellStyle name="Normal 6 2 7 2" xfId="300" xr:uid="{00000000-0005-0000-0000-00008E930000}"/>
    <cellStyle name="Normal 6 2 7 3" xfId="423" xr:uid="{00000000-0005-0000-0000-00008F930000}"/>
    <cellStyle name="Normal 6 2 7 4" xfId="631" xr:uid="{00000000-0005-0000-0000-000090930000}"/>
    <cellStyle name="Normal 6 2 7 5" xfId="37865" xr:uid="{00000000-0005-0000-0000-000091930000}"/>
    <cellStyle name="Normal 6 2 7 6" xfId="53790" xr:uid="{00000000-0005-0000-0000-000092930000}"/>
    <cellStyle name="Normal 6 2 8" xfId="205" xr:uid="{00000000-0005-0000-0000-000093930000}"/>
    <cellStyle name="Normal 6 2 8 2" xfId="341" xr:uid="{00000000-0005-0000-0000-000094930000}"/>
    <cellStyle name="Normal 6 2 8 3" xfId="464" xr:uid="{00000000-0005-0000-0000-000095930000}"/>
    <cellStyle name="Normal 6 2 8 4" xfId="632" xr:uid="{00000000-0005-0000-0000-000096930000}"/>
    <cellStyle name="Normal 6 2 8 5" xfId="53831" xr:uid="{00000000-0005-0000-0000-000097930000}"/>
    <cellStyle name="Normal 6 2 9" xfId="259" xr:uid="{00000000-0005-0000-0000-000098930000}"/>
    <cellStyle name="Normal 6 3" xfId="112" xr:uid="{00000000-0005-0000-0000-000099930000}"/>
    <cellStyle name="Normal 6 3 10" xfId="53709" xr:uid="{00000000-0005-0000-0000-00009A930000}"/>
    <cellStyle name="Normal 6 3 11" xfId="53776" xr:uid="{00000000-0005-0000-0000-00009B930000}"/>
    <cellStyle name="Normal 6 3 2" xfId="149" xr:uid="{00000000-0005-0000-0000-00009C930000}"/>
    <cellStyle name="Normal 6 3 2 10" xfId="53777" xr:uid="{00000000-0005-0000-0000-00009D930000}"/>
    <cellStyle name="Normal 6 3 2 2" xfId="190" xr:uid="{00000000-0005-0000-0000-00009E930000}"/>
    <cellStyle name="Normal 6 3 2 2 2" xfId="326" xr:uid="{00000000-0005-0000-0000-00009F930000}"/>
    <cellStyle name="Normal 6 3 2 2 2 2" xfId="37869" xr:uid="{00000000-0005-0000-0000-0000A0930000}"/>
    <cellStyle name="Normal 6 3 2 2 3" xfId="449" xr:uid="{00000000-0005-0000-0000-0000A1930000}"/>
    <cellStyle name="Normal 6 3 2 2 4" xfId="635" xr:uid="{00000000-0005-0000-0000-0000A2930000}"/>
    <cellStyle name="Normal 6 3 2 2 5" xfId="37868" xr:uid="{00000000-0005-0000-0000-0000A3930000}"/>
    <cellStyle name="Normal 6 3 2 2 6" xfId="53816" xr:uid="{00000000-0005-0000-0000-0000A4930000}"/>
    <cellStyle name="Normal 6 3 2 3" xfId="231" xr:uid="{00000000-0005-0000-0000-0000A5930000}"/>
    <cellStyle name="Normal 6 3 2 3 2" xfId="367" xr:uid="{00000000-0005-0000-0000-0000A6930000}"/>
    <cellStyle name="Normal 6 3 2 3 2 2" xfId="37872" xr:uid="{00000000-0005-0000-0000-0000A7930000}"/>
    <cellStyle name="Normal 6 3 2 3 2 3" xfId="37871" xr:uid="{00000000-0005-0000-0000-0000A8930000}"/>
    <cellStyle name="Normal 6 3 2 3 3" xfId="490" xr:uid="{00000000-0005-0000-0000-0000A9930000}"/>
    <cellStyle name="Normal 6 3 2 3 3 2" xfId="37873" xr:uid="{00000000-0005-0000-0000-0000AA930000}"/>
    <cellStyle name="Normal 6 3 2 3 4" xfId="636" xr:uid="{00000000-0005-0000-0000-0000AB930000}"/>
    <cellStyle name="Normal 6 3 2 3 5" xfId="37870" xr:uid="{00000000-0005-0000-0000-0000AC930000}"/>
    <cellStyle name="Normal 6 3 2 3 6" xfId="53857" xr:uid="{00000000-0005-0000-0000-0000AD930000}"/>
    <cellStyle name="Normal 6 3 2 4" xfId="285" xr:uid="{00000000-0005-0000-0000-0000AE930000}"/>
    <cellStyle name="Normal 6 3 2 4 2" xfId="37875" xr:uid="{00000000-0005-0000-0000-0000AF930000}"/>
    <cellStyle name="Normal 6 3 2 4 2 2" xfId="37876" xr:uid="{00000000-0005-0000-0000-0000B0930000}"/>
    <cellStyle name="Normal 6 3 2 4 3" xfId="37877" xr:uid="{00000000-0005-0000-0000-0000B1930000}"/>
    <cellStyle name="Normal 6 3 2 4 4" xfId="37874" xr:uid="{00000000-0005-0000-0000-0000B2930000}"/>
    <cellStyle name="Normal 6 3 2 5" xfId="408" xr:uid="{00000000-0005-0000-0000-0000B3930000}"/>
    <cellStyle name="Normal 6 3 2 5 2" xfId="37878" xr:uid="{00000000-0005-0000-0000-0000B4930000}"/>
    <cellStyle name="Normal 6 3 2 6" xfId="531" xr:uid="{00000000-0005-0000-0000-0000B5930000}"/>
    <cellStyle name="Normal 6 3 2 7" xfId="634" xr:uid="{00000000-0005-0000-0000-0000B6930000}"/>
    <cellStyle name="Normal 6 3 2 8" xfId="37867" xr:uid="{00000000-0005-0000-0000-0000B7930000}"/>
    <cellStyle name="Normal 6 3 2 9" xfId="53732" xr:uid="{00000000-0005-0000-0000-0000B8930000}"/>
    <cellStyle name="Normal 6 3 3" xfId="167" xr:uid="{00000000-0005-0000-0000-0000B9930000}"/>
    <cellStyle name="Normal 6 3 3 2" xfId="303" xr:uid="{00000000-0005-0000-0000-0000BA930000}"/>
    <cellStyle name="Normal 6 3 3 2 2" xfId="37881" xr:uid="{00000000-0005-0000-0000-0000BB930000}"/>
    <cellStyle name="Normal 6 3 3 2 3" xfId="37880" xr:uid="{00000000-0005-0000-0000-0000BC930000}"/>
    <cellStyle name="Normal 6 3 3 3" xfId="426" xr:uid="{00000000-0005-0000-0000-0000BD930000}"/>
    <cellStyle name="Normal 6 3 3 3 2" xfId="37882" xr:uid="{00000000-0005-0000-0000-0000BE930000}"/>
    <cellStyle name="Normal 6 3 3 4" xfId="637" xr:uid="{00000000-0005-0000-0000-0000BF930000}"/>
    <cellStyle name="Normal 6 3 3 5" xfId="37879" xr:uid="{00000000-0005-0000-0000-0000C0930000}"/>
    <cellStyle name="Normal 6 3 3 6" xfId="53793" xr:uid="{00000000-0005-0000-0000-0000C1930000}"/>
    <cellStyle name="Normal 6 3 4" xfId="208" xr:uid="{00000000-0005-0000-0000-0000C2930000}"/>
    <cellStyle name="Normal 6 3 4 2" xfId="344" xr:uid="{00000000-0005-0000-0000-0000C3930000}"/>
    <cellStyle name="Normal 6 3 4 2 2" xfId="37885" xr:uid="{00000000-0005-0000-0000-0000C4930000}"/>
    <cellStyle name="Normal 6 3 4 2 3" xfId="37884" xr:uid="{00000000-0005-0000-0000-0000C5930000}"/>
    <cellStyle name="Normal 6 3 4 3" xfId="467" xr:uid="{00000000-0005-0000-0000-0000C6930000}"/>
    <cellStyle name="Normal 6 3 4 3 2" xfId="37886" xr:uid="{00000000-0005-0000-0000-0000C7930000}"/>
    <cellStyle name="Normal 6 3 4 4" xfId="638" xr:uid="{00000000-0005-0000-0000-0000C8930000}"/>
    <cellStyle name="Normal 6 3 4 5" xfId="37883" xr:uid="{00000000-0005-0000-0000-0000C9930000}"/>
    <cellStyle name="Normal 6 3 4 6" xfId="53834" xr:uid="{00000000-0005-0000-0000-0000CA930000}"/>
    <cellStyle name="Normal 6 3 5" xfId="262" xr:uid="{00000000-0005-0000-0000-0000CB930000}"/>
    <cellStyle name="Normal 6 3 5 2" xfId="37888" xr:uid="{00000000-0005-0000-0000-0000CC930000}"/>
    <cellStyle name="Normal 6 3 5 2 2" xfId="37889" xr:uid="{00000000-0005-0000-0000-0000CD930000}"/>
    <cellStyle name="Normal 6 3 5 3" xfId="37890" xr:uid="{00000000-0005-0000-0000-0000CE930000}"/>
    <cellStyle name="Normal 6 3 5 4" xfId="37887" xr:uid="{00000000-0005-0000-0000-0000CF930000}"/>
    <cellStyle name="Normal 6 3 6" xfId="385" xr:uid="{00000000-0005-0000-0000-0000D0930000}"/>
    <cellStyle name="Normal 6 3 6 2" xfId="37891" xr:uid="{00000000-0005-0000-0000-0000D1930000}"/>
    <cellStyle name="Normal 6 3 7" xfId="508" xr:uid="{00000000-0005-0000-0000-0000D2930000}"/>
    <cellStyle name="Normal 6 3 8" xfId="633" xr:uid="{00000000-0005-0000-0000-0000D3930000}"/>
    <cellStyle name="Normal 6 3 9" xfId="37866" xr:uid="{00000000-0005-0000-0000-0000D4930000}"/>
    <cellStyle name="Normal 6 4" xfId="113" xr:uid="{00000000-0005-0000-0000-0000D5930000}"/>
    <cellStyle name="Normal 6 4 10" xfId="53710" xr:uid="{00000000-0005-0000-0000-0000D6930000}"/>
    <cellStyle name="Normal 6 4 11" xfId="53778" xr:uid="{00000000-0005-0000-0000-0000D7930000}"/>
    <cellStyle name="Normal 6 4 2" xfId="150" xr:uid="{00000000-0005-0000-0000-0000D8930000}"/>
    <cellStyle name="Normal 6 4 2 10" xfId="53779" xr:uid="{00000000-0005-0000-0000-0000D9930000}"/>
    <cellStyle name="Normal 6 4 2 2" xfId="191" xr:uid="{00000000-0005-0000-0000-0000DA930000}"/>
    <cellStyle name="Normal 6 4 2 2 2" xfId="327" xr:uid="{00000000-0005-0000-0000-0000DB930000}"/>
    <cellStyle name="Normal 6 4 2 2 2 2" xfId="37895" xr:uid="{00000000-0005-0000-0000-0000DC930000}"/>
    <cellStyle name="Normal 6 4 2 2 3" xfId="450" xr:uid="{00000000-0005-0000-0000-0000DD930000}"/>
    <cellStyle name="Normal 6 4 2 2 4" xfId="641" xr:uid="{00000000-0005-0000-0000-0000DE930000}"/>
    <cellStyle name="Normal 6 4 2 2 5" xfId="37894" xr:uid="{00000000-0005-0000-0000-0000DF930000}"/>
    <cellStyle name="Normal 6 4 2 2 6" xfId="53817" xr:uid="{00000000-0005-0000-0000-0000E0930000}"/>
    <cellStyle name="Normal 6 4 2 3" xfId="232" xr:uid="{00000000-0005-0000-0000-0000E1930000}"/>
    <cellStyle name="Normal 6 4 2 3 2" xfId="368" xr:uid="{00000000-0005-0000-0000-0000E2930000}"/>
    <cellStyle name="Normal 6 4 2 3 2 2" xfId="37898" xr:uid="{00000000-0005-0000-0000-0000E3930000}"/>
    <cellStyle name="Normal 6 4 2 3 2 3" xfId="37897" xr:uid="{00000000-0005-0000-0000-0000E4930000}"/>
    <cellStyle name="Normal 6 4 2 3 3" xfId="491" xr:uid="{00000000-0005-0000-0000-0000E5930000}"/>
    <cellStyle name="Normal 6 4 2 3 3 2" xfId="37899" xr:uid="{00000000-0005-0000-0000-0000E6930000}"/>
    <cellStyle name="Normal 6 4 2 3 4" xfId="642" xr:uid="{00000000-0005-0000-0000-0000E7930000}"/>
    <cellStyle name="Normal 6 4 2 3 5" xfId="37896" xr:uid="{00000000-0005-0000-0000-0000E8930000}"/>
    <cellStyle name="Normal 6 4 2 3 6" xfId="53858" xr:uid="{00000000-0005-0000-0000-0000E9930000}"/>
    <cellStyle name="Normal 6 4 2 4" xfId="286" xr:uid="{00000000-0005-0000-0000-0000EA930000}"/>
    <cellStyle name="Normal 6 4 2 4 2" xfId="37901" xr:uid="{00000000-0005-0000-0000-0000EB930000}"/>
    <cellStyle name="Normal 6 4 2 4 2 2" xfId="37902" xr:uid="{00000000-0005-0000-0000-0000EC930000}"/>
    <cellStyle name="Normal 6 4 2 4 3" xfId="37903" xr:uid="{00000000-0005-0000-0000-0000ED930000}"/>
    <cellStyle name="Normal 6 4 2 4 4" xfId="37900" xr:uid="{00000000-0005-0000-0000-0000EE930000}"/>
    <cellStyle name="Normal 6 4 2 5" xfId="409" xr:uid="{00000000-0005-0000-0000-0000EF930000}"/>
    <cellStyle name="Normal 6 4 2 5 2" xfId="37904" xr:uid="{00000000-0005-0000-0000-0000F0930000}"/>
    <cellStyle name="Normal 6 4 2 6" xfId="532" xr:uid="{00000000-0005-0000-0000-0000F1930000}"/>
    <cellStyle name="Normal 6 4 2 7" xfId="640" xr:uid="{00000000-0005-0000-0000-0000F2930000}"/>
    <cellStyle name="Normal 6 4 2 8" xfId="37893" xr:uid="{00000000-0005-0000-0000-0000F3930000}"/>
    <cellStyle name="Normal 6 4 2 9" xfId="53733" xr:uid="{00000000-0005-0000-0000-0000F4930000}"/>
    <cellStyle name="Normal 6 4 3" xfId="168" xr:uid="{00000000-0005-0000-0000-0000F5930000}"/>
    <cellStyle name="Normal 6 4 3 2" xfId="304" xr:uid="{00000000-0005-0000-0000-0000F6930000}"/>
    <cellStyle name="Normal 6 4 3 2 2" xfId="37907" xr:uid="{00000000-0005-0000-0000-0000F7930000}"/>
    <cellStyle name="Normal 6 4 3 2 2 2" xfId="37908" xr:uid="{00000000-0005-0000-0000-0000F8930000}"/>
    <cellStyle name="Normal 6 4 3 2 3" xfId="37909" xr:uid="{00000000-0005-0000-0000-0000F9930000}"/>
    <cellStyle name="Normal 6 4 3 2 3 2" xfId="37910" xr:uid="{00000000-0005-0000-0000-0000FA930000}"/>
    <cellStyle name="Normal 6 4 3 2 3 2 2" xfId="37911" xr:uid="{00000000-0005-0000-0000-0000FB930000}"/>
    <cellStyle name="Normal 6 4 3 2 3 3" xfId="37912" xr:uid="{00000000-0005-0000-0000-0000FC930000}"/>
    <cellStyle name="Normal 6 4 3 2 4" xfId="37913" xr:uid="{00000000-0005-0000-0000-0000FD930000}"/>
    <cellStyle name="Normal 6 4 3 2 5" xfId="37906" xr:uid="{00000000-0005-0000-0000-0000FE930000}"/>
    <cellStyle name="Normal 6 4 3 3" xfId="427" xr:uid="{00000000-0005-0000-0000-0000FF930000}"/>
    <cellStyle name="Normal 6 4 3 3 2" xfId="37915" xr:uid="{00000000-0005-0000-0000-000000940000}"/>
    <cellStyle name="Normal 6 4 3 3 2 2" xfId="37916" xr:uid="{00000000-0005-0000-0000-000001940000}"/>
    <cellStyle name="Normal 6 4 3 3 3" xfId="37917" xr:uid="{00000000-0005-0000-0000-000002940000}"/>
    <cellStyle name="Normal 6 4 3 3 4" xfId="37914" xr:uid="{00000000-0005-0000-0000-000003940000}"/>
    <cellStyle name="Normal 6 4 3 4" xfId="643" xr:uid="{00000000-0005-0000-0000-000004940000}"/>
    <cellStyle name="Normal 6 4 3 4 2" xfId="37919" xr:uid="{00000000-0005-0000-0000-000005940000}"/>
    <cellStyle name="Normal 6 4 3 4 2 2" xfId="37920" xr:uid="{00000000-0005-0000-0000-000006940000}"/>
    <cellStyle name="Normal 6 4 3 4 3" xfId="37921" xr:uid="{00000000-0005-0000-0000-000007940000}"/>
    <cellStyle name="Normal 6 4 3 4 4" xfId="37918" xr:uid="{00000000-0005-0000-0000-000008940000}"/>
    <cellStyle name="Normal 6 4 3 5" xfId="37922" xr:uid="{00000000-0005-0000-0000-000009940000}"/>
    <cellStyle name="Normal 6 4 3 5 2" xfId="37923" xr:uid="{00000000-0005-0000-0000-00000A940000}"/>
    <cellStyle name="Normal 6 4 3 5 2 2" xfId="37924" xr:uid="{00000000-0005-0000-0000-00000B940000}"/>
    <cellStyle name="Normal 6 4 3 5 3" xfId="37925" xr:uid="{00000000-0005-0000-0000-00000C940000}"/>
    <cellStyle name="Normal 6 4 3 6" xfId="37926" xr:uid="{00000000-0005-0000-0000-00000D940000}"/>
    <cellStyle name="Normal 6 4 3 7" xfId="37905" xr:uid="{00000000-0005-0000-0000-00000E940000}"/>
    <cellStyle name="Normal 6 4 3 8" xfId="53794" xr:uid="{00000000-0005-0000-0000-00000F940000}"/>
    <cellStyle name="Normal 6 4 4" xfId="209" xr:uid="{00000000-0005-0000-0000-000010940000}"/>
    <cellStyle name="Normal 6 4 4 2" xfId="345" xr:uid="{00000000-0005-0000-0000-000011940000}"/>
    <cellStyle name="Normal 6 4 4 3" xfId="468" xr:uid="{00000000-0005-0000-0000-000012940000}"/>
    <cellStyle name="Normal 6 4 4 4" xfId="644" xr:uid="{00000000-0005-0000-0000-000013940000}"/>
    <cellStyle name="Normal 6 4 4 5" xfId="37927" xr:uid="{00000000-0005-0000-0000-000014940000}"/>
    <cellStyle name="Normal 6 4 4 6" xfId="53835" xr:uid="{00000000-0005-0000-0000-000015940000}"/>
    <cellStyle name="Normal 6 4 5" xfId="263" xr:uid="{00000000-0005-0000-0000-000016940000}"/>
    <cellStyle name="Normal 6 4 6" xfId="386" xr:uid="{00000000-0005-0000-0000-000017940000}"/>
    <cellStyle name="Normal 6 4 7" xfId="509" xr:uid="{00000000-0005-0000-0000-000018940000}"/>
    <cellStyle name="Normal 6 4 8" xfId="639" xr:uid="{00000000-0005-0000-0000-000019940000}"/>
    <cellStyle name="Normal 6 4 9" xfId="37892" xr:uid="{00000000-0005-0000-0000-00001A940000}"/>
    <cellStyle name="Normal 6 5" xfId="117" xr:uid="{00000000-0005-0000-0000-00001B940000}"/>
    <cellStyle name="Normal 6 5 10" xfId="53714" xr:uid="{00000000-0005-0000-0000-00001C940000}"/>
    <cellStyle name="Normal 6 5 11" xfId="53780" xr:uid="{00000000-0005-0000-0000-00001D940000}"/>
    <cellStyle name="Normal 6 5 2" xfId="154" xr:uid="{00000000-0005-0000-0000-00001E940000}"/>
    <cellStyle name="Normal 6 5 2 10" xfId="53781" xr:uid="{00000000-0005-0000-0000-00001F940000}"/>
    <cellStyle name="Normal 6 5 2 2" xfId="195" xr:uid="{00000000-0005-0000-0000-000020940000}"/>
    <cellStyle name="Normal 6 5 2 2 2" xfId="331" xr:uid="{00000000-0005-0000-0000-000021940000}"/>
    <cellStyle name="Normal 6 5 2 2 3" xfId="454" xr:uid="{00000000-0005-0000-0000-000022940000}"/>
    <cellStyle name="Normal 6 5 2 2 4" xfId="647" xr:uid="{00000000-0005-0000-0000-000023940000}"/>
    <cellStyle name="Normal 6 5 2 2 5" xfId="37930" xr:uid="{00000000-0005-0000-0000-000024940000}"/>
    <cellStyle name="Normal 6 5 2 2 6" xfId="53821" xr:uid="{00000000-0005-0000-0000-000025940000}"/>
    <cellStyle name="Normal 6 5 2 3" xfId="236" xr:uid="{00000000-0005-0000-0000-000026940000}"/>
    <cellStyle name="Normal 6 5 2 3 2" xfId="372" xr:uid="{00000000-0005-0000-0000-000027940000}"/>
    <cellStyle name="Normal 6 5 2 3 3" xfId="495" xr:uid="{00000000-0005-0000-0000-000028940000}"/>
    <cellStyle name="Normal 6 5 2 3 4" xfId="648" xr:uid="{00000000-0005-0000-0000-000029940000}"/>
    <cellStyle name="Normal 6 5 2 3 5" xfId="53862" xr:uid="{00000000-0005-0000-0000-00002A940000}"/>
    <cellStyle name="Normal 6 5 2 4" xfId="290" xr:uid="{00000000-0005-0000-0000-00002B940000}"/>
    <cellStyle name="Normal 6 5 2 5" xfId="413" xr:uid="{00000000-0005-0000-0000-00002C940000}"/>
    <cellStyle name="Normal 6 5 2 6" xfId="536" xr:uid="{00000000-0005-0000-0000-00002D940000}"/>
    <cellStyle name="Normal 6 5 2 7" xfId="646" xr:uid="{00000000-0005-0000-0000-00002E940000}"/>
    <cellStyle name="Normal 6 5 2 8" xfId="37929" xr:uid="{00000000-0005-0000-0000-00002F940000}"/>
    <cellStyle name="Normal 6 5 2 9" xfId="53737" xr:uid="{00000000-0005-0000-0000-000030940000}"/>
    <cellStyle name="Normal 6 5 3" xfId="172" xr:uid="{00000000-0005-0000-0000-000031940000}"/>
    <cellStyle name="Normal 6 5 3 2" xfId="308" xr:uid="{00000000-0005-0000-0000-000032940000}"/>
    <cellStyle name="Normal 6 5 3 2 2" xfId="37933" xr:uid="{00000000-0005-0000-0000-000033940000}"/>
    <cellStyle name="Normal 6 5 3 2 3" xfId="37932" xr:uid="{00000000-0005-0000-0000-000034940000}"/>
    <cellStyle name="Normal 6 5 3 3" xfId="431" xr:uid="{00000000-0005-0000-0000-000035940000}"/>
    <cellStyle name="Normal 6 5 3 3 2" xfId="37934" xr:uid="{00000000-0005-0000-0000-000036940000}"/>
    <cellStyle name="Normal 6 5 3 4" xfId="649" xr:uid="{00000000-0005-0000-0000-000037940000}"/>
    <cellStyle name="Normal 6 5 3 5" xfId="37931" xr:uid="{00000000-0005-0000-0000-000038940000}"/>
    <cellStyle name="Normal 6 5 3 6" xfId="53798" xr:uid="{00000000-0005-0000-0000-000039940000}"/>
    <cellStyle name="Normal 6 5 4" xfId="213" xr:uid="{00000000-0005-0000-0000-00003A940000}"/>
    <cellStyle name="Normal 6 5 4 2" xfId="349" xr:uid="{00000000-0005-0000-0000-00003B940000}"/>
    <cellStyle name="Normal 6 5 4 2 2" xfId="37937" xr:uid="{00000000-0005-0000-0000-00003C940000}"/>
    <cellStyle name="Normal 6 5 4 2 3" xfId="37936" xr:uid="{00000000-0005-0000-0000-00003D940000}"/>
    <cellStyle name="Normal 6 5 4 3" xfId="472" xr:uid="{00000000-0005-0000-0000-00003E940000}"/>
    <cellStyle name="Normal 6 5 4 3 2" xfId="37938" xr:uid="{00000000-0005-0000-0000-00003F940000}"/>
    <cellStyle name="Normal 6 5 4 4" xfId="650" xr:uid="{00000000-0005-0000-0000-000040940000}"/>
    <cellStyle name="Normal 6 5 4 5" xfId="37935" xr:uid="{00000000-0005-0000-0000-000041940000}"/>
    <cellStyle name="Normal 6 5 4 6" xfId="53839" xr:uid="{00000000-0005-0000-0000-000042940000}"/>
    <cellStyle name="Normal 6 5 5" xfId="267" xr:uid="{00000000-0005-0000-0000-000043940000}"/>
    <cellStyle name="Normal 6 5 5 2" xfId="37939" xr:uid="{00000000-0005-0000-0000-000044940000}"/>
    <cellStyle name="Normal 6 5 6" xfId="390" xr:uid="{00000000-0005-0000-0000-000045940000}"/>
    <cellStyle name="Normal 6 5 7" xfId="513" xr:uid="{00000000-0005-0000-0000-000046940000}"/>
    <cellStyle name="Normal 6 5 8" xfId="645" xr:uid="{00000000-0005-0000-0000-000047940000}"/>
    <cellStyle name="Normal 6 5 9" xfId="37928" xr:uid="{00000000-0005-0000-0000-000048940000}"/>
    <cellStyle name="Normal 6 6" xfId="121" xr:uid="{00000000-0005-0000-0000-000049940000}"/>
    <cellStyle name="Normal 6 6 10" xfId="53718" xr:uid="{00000000-0005-0000-0000-00004A940000}"/>
    <cellStyle name="Normal 6 6 11" xfId="53782" xr:uid="{00000000-0005-0000-0000-00004B940000}"/>
    <cellStyle name="Normal 6 6 2" xfId="158" xr:uid="{00000000-0005-0000-0000-00004C940000}"/>
    <cellStyle name="Normal 6 6 2 10" xfId="53783" xr:uid="{00000000-0005-0000-0000-00004D940000}"/>
    <cellStyle name="Normal 6 6 2 2" xfId="199" xr:uid="{00000000-0005-0000-0000-00004E940000}"/>
    <cellStyle name="Normal 6 6 2 2 2" xfId="335" xr:uid="{00000000-0005-0000-0000-00004F940000}"/>
    <cellStyle name="Normal 6 6 2 2 2 2" xfId="37944" xr:uid="{00000000-0005-0000-0000-000050940000}"/>
    <cellStyle name="Normal 6 6 2 2 2 3" xfId="37943" xr:uid="{00000000-0005-0000-0000-000051940000}"/>
    <cellStyle name="Normal 6 6 2 2 3" xfId="458" xr:uid="{00000000-0005-0000-0000-000052940000}"/>
    <cellStyle name="Normal 6 6 2 2 3 2" xfId="37946" xr:uid="{00000000-0005-0000-0000-000053940000}"/>
    <cellStyle name="Normal 6 6 2 2 3 2 2" xfId="37947" xr:uid="{00000000-0005-0000-0000-000054940000}"/>
    <cellStyle name="Normal 6 6 2 2 3 3" xfId="37948" xr:uid="{00000000-0005-0000-0000-000055940000}"/>
    <cellStyle name="Normal 6 6 2 2 3 4" xfId="37945" xr:uid="{00000000-0005-0000-0000-000056940000}"/>
    <cellStyle name="Normal 6 6 2 2 4" xfId="653" xr:uid="{00000000-0005-0000-0000-000057940000}"/>
    <cellStyle name="Normal 6 6 2 2 4 2" xfId="37949" xr:uid="{00000000-0005-0000-0000-000058940000}"/>
    <cellStyle name="Normal 6 6 2 2 5" xfId="37942" xr:uid="{00000000-0005-0000-0000-000059940000}"/>
    <cellStyle name="Normal 6 6 2 2 6" xfId="53825" xr:uid="{00000000-0005-0000-0000-00005A940000}"/>
    <cellStyle name="Normal 6 6 2 3" xfId="240" xr:uid="{00000000-0005-0000-0000-00005B940000}"/>
    <cellStyle name="Normal 6 6 2 3 2" xfId="376" xr:uid="{00000000-0005-0000-0000-00005C940000}"/>
    <cellStyle name="Normal 6 6 2 3 2 2" xfId="37952" xr:uid="{00000000-0005-0000-0000-00005D940000}"/>
    <cellStyle name="Normal 6 6 2 3 2 3" xfId="37951" xr:uid="{00000000-0005-0000-0000-00005E940000}"/>
    <cellStyle name="Normal 6 6 2 3 3" xfId="499" xr:uid="{00000000-0005-0000-0000-00005F940000}"/>
    <cellStyle name="Normal 6 6 2 3 3 2" xfId="37953" xr:uid="{00000000-0005-0000-0000-000060940000}"/>
    <cellStyle name="Normal 6 6 2 3 4" xfId="654" xr:uid="{00000000-0005-0000-0000-000061940000}"/>
    <cellStyle name="Normal 6 6 2 3 5" xfId="37950" xr:uid="{00000000-0005-0000-0000-000062940000}"/>
    <cellStyle name="Normal 6 6 2 3 6" xfId="53866" xr:uid="{00000000-0005-0000-0000-000063940000}"/>
    <cellStyle name="Normal 6 6 2 4" xfId="294" xr:uid="{00000000-0005-0000-0000-000064940000}"/>
    <cellStyle name="Normal 6 6 2 4 2" xfId="37955" xr:uid="{00000000-0005-0000-0000-000065940000}"/>
    <cellStyle name="Normal 6 6 2 4 2 2" xfId="37956" xr:uid="{00000000-0005-0000-0000-000066940000}"/>
    <cellStyle name="Normal 6 6 2 4 3" xfId="37957" xr:uid="{00000000-0005-0000-0000-000067940000}"/>
    <cellStyle name="Normal 6 6 2 4 4" xfId="37954" xr:uid="{00000000-0005-0000-0000-000068940000}"/>
    <cellStyle name="Normal 6 6 2 5" xfId="417" xr:uid="{00000000-0005-0000-0000-000069940000}"/>
    <cellStyle name="Normal 6 6 2 5 2" xfId="37959" xr:uid="{00000000-0005-0000-0000-00006A940000}"/>
    <cellStyle name="Normal 6 6 2 5 2 2" xfId="37960" xr:uid="{00000000-0005-0000-0000-00006B940000}"/>
    <cellStyle name="Normal 6 6 2 5 3" xfId="37961" xr:uid="{00000000-0005-0000-0000-00006C940000}"/>
    <cellStyle name="Normal 6 6 2 5 4" xfId="37958" xr:uid="{00000000-0005-0000-0000-00006D940000}"/>
    <cellStyle name="Normal 6 6 2 6" xfId="540" xr:uid="{00000000-0005-0000-0000-00006E940000}"/>
    <cellStyle name="Normal 6 6 2 6 2" xfId="37962" xr:uid="{00000000-0005-0000-0000-00006F940000}"/>
    <cellStyle name="Normal 6 6 2 7" xfId="652" xr:uid="{00000000-0005-0000-0000-000070940000}"/>
    <cellStyle name="Normal 6 6 2 8" xfId="37941" xr:uid="{00000000-0005-0000-0000-000071940000}"/>
    <cellStyle name="Normal 6 6 2 9" xfId="53741" xr:uid="{00000000-0005-0000-0000-000072940000}"/>
    <cellStyle name="Normal 6 6 3" xfId="176" xr:uid="{00000000-0005-0000-0000-000073940000}"/>
    <cellStyle name="Normal 6 6 3 2" xfId="312" xr:uid="{00000000-0005-0000-0000-000074940000}"/>
    <cellStyle name="Normal 6 6 3 2 2" xfId="37965" xr:uid="{00000000-0005-0000-0000-000075940000}"/>
    <cellStyle name="Normal 6 6 3 2 3" xfId="37964" xr:uid="{00000000-0005-0000-0000-000076940000}"/>
    <cellStyle name="Normal 6 6 3 3" xfId="435" xr:uid="{00000000-0005-0000-0000-000077940000}"/>
    <cellStyle name="Normal 6 6 3 3 2" xfId="37967" xr:uid="{00000000-0005-0000-0000-000078940000}"/>
    <cellStyle name="Normal 6 6 3 3 2 2" xfId="37968" xr:uid="{00000000-0005-0000-0000-000079940000}"/>
    <cellStyle name="Normal 6 6 3 3 3" xfId="37969" xr:uid="{00000000-0005-0000-0000-00007A940000}"/>
    <cellStyle name="Normal 6 6 3 3 4" xfId="37966" xr:uid="{00000000-0005-0000-0000-00007B940000}"/>
    <cellStyle name="Normal 6 6 3 4" xfId="655" xr:uid="{00000000-0005-0000-0000-00007C940000}"/>
    <cellStyle name="Normal 6 6 3 4 2" xfId="37971" xr:uid="{00000000-0005-0000-0000-00007D940000}"/>
    <cellStyle name="Normal 6 6 3 4 2 2" xfId="37972" xr:uid="{00000000-0005-0000-0000-00007E940000}"/>
    <cellStyle name="Normal 6 6 3 4 3" xfId="37973" xr:uid="{00000000-0005-0000-0000-00007F940000}"/>
    <cellStyle name="Normal 6 6 3 4 4" xfId="37970" xr:uid="{00000000-0005-0000-0000-000080940000}"/>
    <cellStyle name="Normal 6 6 3 5" xfId="37974" xr:uid="{00000000-0005-0000-0000-000081940000}"/>
    <cellStyle name="Normal 6 6 3 6" xfId="37963" xr:uid="{00000000-0005-0000-0000-000082940000}"/>
    <cellStyle name="Normal 6 6 3 7" xfId="53802" xr:uid="{00000000-0005-0000-0000-000083940000}"/>
    <cellStyle name="Normal 6 6 4" xfId="217" xr:uid="{00000000-0005-0000-0000-000084940000}"/>
    <cellStyle name="Normal 6 6 4 2" xfId="353" xr:uid="{00000000-0005-0000-0000-000085940000}"/>
    <cellStyle name="Normal 6 6 4 2 2" xfId="37977" xr:uid="{00000000-0005-0000-0000-000086940000}"/>
    <cellStyle name="Normal 6 6 4 2 3" xfId="37976" xr:uid="{00000000-0005-0000-0000-000087940000}"/>
    <cellStyle name="Normal 6 6 4 3" xfId="476" xr:uid="{00000000-0005-0000-0000-000088940000}"/>
    <cellStyle name="Normal 6 6 4 3 2" xfId="37979" xr:uid="{00000000-0005-0000-0000-000089940000}"/>
    <cellStyle name="Normal 6 6 4 3 2 2" xfId="37980" xr:uid="{00000000-0005-0000-0000-00008A940000}"/>
    <cellStyle name="Normal 6 6 4 3 3" xfId="37981" xr:uid="{00000000-0005-0000-0000-00008B940000}"/>
    <cellStyle name="Normal 6 6 4 3 4" xfId="37978" xr:uid="{00000000-0005-0000-0000-00008C940000}"/>
    <cellStyle name="Normal 6 6 4 4" xfId="656" xr:uid="{00000000-0005-0000-0000-00008D940000}"/>
    <cellStyle name="Normal 6 6 4 4 2" xfId="37983" xr:uid="{00000000-0005-0000-0000-00008E940000}"/>
    <cellStyle name="Normal 6 6 4 4 2 2" xfId="37984" xr:uid="{00000000-0005-0000-0000-00008F940000}"/>
    <cellStyle name="Normal 6 6 4 4 3" xfId="37985" xr:uid="{00000000-0005-0000-0000-000090940000}"/>
    <cellStyle name="Normal 6 6 4 4 4" xfId="37982" xr:uid="{00000000-0005-0000-0000-000091940000}"/>
    <cellStyle name="Normal 6 6 4 5" xfId="37986" xr:uid="{00000000-0005-0000-0000-000092940000}"/>
    <cellStyle name="Normal 6 6 4 6" xfId="37975" xr:uid="{00000000-0005-0000-0000-000093940000}"/>
    <cellStyle name="Normal 6 6 4 7" xfId="53843" xr:uid="{00000000-0005-0000-0000-000094940000}"/>
    <cellStyle name="Normal 6 6 5" xfId="271" xr:uid="{00000000-0005-0000-0000-000095940000}"/>
    <cellStyle name="Normal 6 6 5 2" xfId="37988" xr:uid="{00000000-0005-0000-0000-000096940000}"/>
    <cellStyle name="Normal 6 6 5 3" xfId="37987" xr:uid="{00000000-0005-0000-0000-000097940000}"/>
    <cellStyle name="Normal 6 6 6" xfId="394" xr:uid="{00000000-0005-0000-0000-000098940000}"/>
    <cellStyle name="Normal 6 6 6 2" xfId="37990" xr:uid="{00000000-0005-0000-0000-000099940000}"/>
    <cellStyle name="Normal 6 6 6 2 2" xfId="37991" xr:uid="{00000000-0005-0000-0000-00009A940000}"/>
    <cellStyle name="Normal 6 6 6 3" xfId="37992" xr:uid="{00000000-0005-0000-0000-00009B940000}"/>
    <cellStyle name="Normal 6 6 6 4" xfId="37989" xr:uid="{00000000-0005-0000-0000-00009C940000}"/>
    <cellStyle name="Normal 6 6 7" xfId="517" xr:uid="{00000000-0005-0000-0000-00009D940000}"/>
    <cellStyle name="Normal 6 6 7 2" xfId="37994" xr:uid="{00000000-0005-0000-0000-00009E940000}"/>
    <cellStyle name="Normal 6 6 7 2 2" xfId="37995" xr:uid="{00000000-0005-0000-0000-00009F940000}"/>
    <cellStyle name="Normal 6 6 7 3" xfId="37996" xr:uid="{00000000-0005-0000-0000-0000A0940000}"/>
    <cellStyle name="Normal 6 6 7 4" xfId="37993" xr:uid="{00000000-0005-0000-0000-0000A1940000}"/>
    <cellStyle name="Normal 6 6 8" xfId="651" xr:uid="{00000000-0005-0000-0000-0000A2940000}"/>
    <cellStyle name="Normal 6 6 8 2" xfId="37997" xr:uid="{00000000-0005-0000-0000-0000A3940000}"/>
    <cellStyle name="Normal 6 6 9" xfId="37940" xr:uid="{00000000-0005-0000-0000-0000A4940000}"/>
    <cellStyle name="Normal 6 7" xfId="144" xr:uid="{00000000-0005-0000-0000-0000A5940000}"/>
    <cellStyle name="Normal 6 7 10" xfId="37998" xr:uid="{00000000-0005-0000-0000-0000A6940000}"/>
    <cellStyle name="Normal 6 7 11" xfId="53727" xr:uid="{00000000-0005-0000-0000-0000A7940000}"/>
    <cellStyle name="Normal 6 7 12" xfId="53784" xr:uid="{00000000-0005-0000-0000-0000A8940000}"/>
    <cellStyle name="Normal 6 7 2" xfId="185" xr:uid="{00000000-0005-0000-0000-0000A9940000}"/>
    <cellStyle name="Normal 6 7 2 2" xfId="321" xr:uid="{00000000-0005-0000-0000-0000AA940000}"/>
    <cellStyle name="Normal 6 7 2 2 2" xfId="38001" xr:uid="{00000000-0005-0000-0000-0000AB940000}"/>
    <cellStyle name="Normal 6 7 2 2 2 2" xfId="38002" xr:uid="{00000000-0005-0000-0000-0000AC940000}"/>
    <cellStyle name="Normal 6 7 2 2 3" xfId="38003" xr:uid="{00000000-0005-0000-0000-0000AD940000}"/>
    <cellStyle name="Normal 6 7 2 2 3 2" xfId="38004" xr:uid="{00000000-0005-0000-0000-0000AE940000}"/>
    <cellStyle name="Normal 6 7 2 2 3 2 2" xfId="38005" xr:uid="{00000000-0005-0000-0000-0000AF940000}"/>
    <cellStyle name="Normal 6 7 2 2 3 3" xfId="38006" xr:uid="{00000000-0005-0000-0000-0000B0940000}"/>
    <cellStyle name="Normal 6 7 2 2 4" xfId="38007" xr:uid="{00000000-0005-0000-0000-0000B1940000}"/>
    <cellStyle name="Normal 6 7 2 2 5" xfId="38000" xr:uid="{00000000-0005-0000-0000-0000B2940000}"/>
    <cellStyle name="Normal 6 7 2 3" xfId="444" xr:uid="{00000000-0005-0000-0000-0000B3940000}"/>
    <cellStyle name="Normal 6 7 2 3 2" xfId="38009" xr:uid="{00000000-0005-0000-0000-0000B4940000}"/>
    <cellStyle name="Normal 6 7 2 3 2 2" xfId="38010" xr:uid="{00000000-0005-0000-0000-0000B5940000}"/>
    <cellStyle name="Normal 6 7 2 3 3" xfId="38011" xr:uid="{00000000-0005-0000-0000-0000B6940000}"/>
    <cellStyle name="Normal 6 7 2 3 4" xfId="38008" xr:uid="{00000000-0005-0000-0000-0000B7940000}"/>
    <cellStyle name="Normal 6 7 2 4" xfId="658" xr:uid="{00000000-0005-0000-0000-0000B8940000}"/>
    <cellStyle name="Normal 6 7 2 4 2" xfId="38013" xr:uid="{00000000-0005-0000-0000-0000B9940000}"/>
    <cellStyle name="Normal 6 7 2 4 2 2" xfId="38014" xr:uid="{00000000-0005-0000-0000-0000BA940000}"/>
    <cellStyle name="Normal 6 7 2 4 3" xfId="38015" xr:uid="{00000000-0005-0000-0000-0000BB940000}"/>
    <cellStyle name="Normal 6 7 2 4 4" xfId="38012" xr:uid="{00000000-0005-0000-0000-0000BC940000}"/>
    <cellStyle name="Normal 6 7 2 5" xfId="38016" xr:uid="{00000000-0005-0000-0000-0000BD940000}"/>
    <cellStyle name="Normal 6 7 2 5 2" xfId="38017" xr:uid="{00000000-0005-0000-0000-0000BE940000}"/>
    <cellStyle name="Normal 6 7 2 5 2 2" xfId="38018" xr:uid="{00000000-0005-0000-0000-0000BF940000}"/>
    <cellStyle name="Normal 6 7 2 5 3" xfId="38019" xr:uid="{00000000-0005-0000-0000-0000C0940000}"/>
    <cellStyle name="Normal 6 7 2 6" xfId="38020" xr:uid="{00000000-0005-0000-0000-0000C1940000}"/>
    <cellStyle name="Normal 6 7 2 7" xfId="37999" xr:uid="{00000000-0005-0000-0000-0000C2940000}"/>
    <cellStyle name="Normal 6 7 2 8" xfId="53811" xr:uid="{00000000-0005-0000-0000-0000C3940000}"/>
    <cellStyle name="Normal 6 7 3" xfId="226" xr:uid="{00000000-0005-0000-0000-0000C4940000}"/>
    <cellStyle name="Normal 6 7 3 2" xfId="362" xr:uid="{00000000-0005-0000-0000-0000C5940000}"/>
    <cellStyle name="Normal 6 7 3 2 2" xfId="38023" xr:uid="{00000000-0005-0000-0000-0000C6940000}"/>
    <cellStyle name="Normal 6 7 3 2 2 2" xfId="38024" xr:uid="{00000000-0005-0000-0000-0000C7940000}"/>
    <cellStyle name="Normal 6 7 3 2 2 2 2" xfId="38025" xr:uid="{00000000-0005-0000-0000-0000C8940000}"/>
    <cellStyle name="Normal 6 7 3 2 2 3" xfId="38026" xr:uid="{00000000-0005-0000-0000-0000C9940000}"/>
    <cellStyle name="Normal 6 7 3 2 2 3 2" xfId="38027" xr:uid="{00000000-0005-0000-0000-0000CA940000}"/>
    <cellStyle name="Normal 6 7 3 2 2 3 2 2" xfId="38028" xr:uid="{00000000-0005-0000-0000-0000CB940000}"/>
    <cellStyle name="Normal 6 7 3 2 2 3 3" xfId="38029" xr:uid="{00000000-0005-0000-0000-0000CC940000}"/>
    <cellStyle name="Normal 6 7 3 2 2 4" xfId="38030" xr:uid="{00000000-0005-0000-0000-0000CD940000}"/>
    <cellStyle name="Normal 6 7 3 2 3" xfId="38031" xr:uid="{00000000-0005-0000-0000-0000CE940000}"/>
    <cellStyle name="Normal 6 7 3 2 3 2" xfId="38032" xr:uid="{00000000-0005-0000-0000-0000CF940000}"/>
    <cellStyle name="Normal 6 7 3 2 3 2 2" xfId="38033" xr:uid="{00000000-0005-0000-0000-0000D0940000}"/>
    <cellStyle name="Normal 6 7 3 2 3 3" xfId="38034" xr:uid="{00000000-0005-0000-0000-0000D1940000}"/>
    <cellStyle name="Normal 6 7 3 2 4" xfId="38035" xr:uid="{00000000-0005-0000-0000-0000D2940000}"/>
    <cellStyle name="Normal 6 7 3 2 4 2" xfId="38036" xr:uid="{00000000-0005-0000-0000-0000D3940000}"/>
    <cellStyle name="Normal 6 7 3 2 4 2 2" xfId="38037" xr:uid="{00000000-0005-0000-0000-0000D4940000}"/>
    <cellStyle name="Normal 6 7 3 2 4 3" xfId="38038" xr:uid="{00000000-0005-0000-0000-0000D5940000}"/>
    <cellStyle name="Normal 6 7 3 2 5" xfId="38039" xr:uid="{00000000-0005-0000-0000-0000D6940000}"/>
    <cellStyle name="Normal 6 7 3 2 6" xfId="38022" xr:uid="{00000000-0005-0000-0000-0000D7940000}"/>
    <cellStyle name="Normal 6 7 3 3" xfId="485" xr:uid="{00000000-0005-0000-0000-0000D8940000}"/>
    <cellStyle name="Normal 6 7 3 3 2" xfId="38041" xr:uid="{00000000-0005-0000-0000-0000D9940000}"/>
    <cellStyle name="Normal 6 7 3 3 2 2" xfId="38042" xr:uid="{00000000-0005-0000-0000-0000DA940000}"/>
    <cellStyle name="Normal 6 7 3 3 3" xfId="38043" xr:uid="{00000000-0005-0000-0000-0000DB940000}"/>
    <cellStyle name="Normal 6 7 3 3 3 2" xfId="38044" xr:uid="{00000000-0005-0000-0000-0000DC940000}"/>
    <cellStyle name="Normal 6 7 3 3 3 2 2" xfId="38045" xr:uid="{00000000-0005-0000-0000-0000DD940000}"/>
    <cellStyle name="Normal 6 7 3 3 3 3" xfId="38046" xr:uid="{00000000-0005-0000-0000-0000DE940000}"/>
    <cellStyle name="Normal 6 7 3 3 4" xfId="38047" xr:uid="{00000000-0005-0000-0000-0000DF940000}"/>
    <cellStyle name="Normal 6 7 3 3 5" xfId="38040" xr:uid="{00000000-0005-0000-0000-0000E0940000}"/>
    <cellStyle name="Normal 6 7 3 4" xfId="659" xr:uid="{00000000-0005-0000-0000-0000E1940000}"/>
    <cellStyle name="Normal 6 7 3 4 2" xfId="38049" xr:uid="{00000000-0005-0000-0000-0000E2940000}"/>
    <cellStyle name="Normal 6 7 3 4 2 2" xfId="38050" xr:uid="{00000000-0005-0000-0000-0000E3940000}"/>
    <cellStyle name="Normal 6 7 3 4 3" xfId="38051" xr:uid="{00000000-0005-0000-0000-0000E4940000}"/>
    <cellStyle name="Normal 6 7 3 4 4" xfId="38048" xr:uid="{00000000-0005-0000-0000-0000E5940000}"/>
    <cellStyle name="Normal 6 7 3 5" xfId="38052" xr:uid="{00000000-0005-0000-0000-0000E6940000}"/>
    <cellStyle name="Normal 6 7 3 5 2" xfId="38053" xr:uid="{00000000-0005-0000-0000-0000E7940000}"/>
    <cellStyle name="Normal 6 7 3 5 2 2" xfId="38054" xr:uid="{00000000-0005-0000-0000-0000E8940000}"/>
    <cellStyle name="Normal 6 7 3 5 3" xfId="38055" xr:uid="{00000000-0005-0000-0000-0000E9940000}"/>
    <cellStyle name="Normal 6 7 3 6" xfId="38056" xr:uid="{00000000-0005-0000-0000-0000EA940000}"/>
    <cellStyle name="Normal 6 7 3 7" xfId="38021" xr:uid="{00000000-0005-0000-0000-0000EB940000}"/>
    <cellStyle name="Normal 6 7 3 8" xfId="53852" xr:uid="{00000000-0005-0000-0000-0000EC940000}"/>
    <cellStyle name="Normal 6 7 4" xfId="280" xr:uid="{00000000-0005-0000-0000-0000ED940000}"/>
    <cellStyle name="Normal 6 7 4 2" xfId="38058" xr:uid="{00000000-0005-0000-0000-0000EE940000}"/>
    <cellStyle name="Normal 6 7 4 2 2" xfId="38059" xr:uid="{00000000-0005-0000-0000-0000EF940000}"/>
    <cellStyle name="Normal 6 7 4 3" xfId="38060" xr:uid="{00000000-0005-0000-0000-0000F0940000}"/>
    <cellStyle name="Normal 6 7 4 3 2" xfId="38061" xr:uid="{00000000-0005-0000-0000-0000F1940000}"/>
    <cellStyle name="Normal 6 7 4 3 2 2" xfId="38062" xr:uid="{00000000-0005-0000-0000-0000F2940000}"/>
    <cellStyle name="Normal 6 7 4 3 3" xfId="38063" xr:uid="{00000000-0005-0000-0000-0000F3940000}"/>
    <cellStyle name="Normal 6 7 4 4" xfId="38064" xr:uid="{00000000-0005-0000-0000-0000F4940000}"/>
    <cellStyle name="Normal 6 7 4 5" xfId="38057" xr:uid="{00000000-0005-0000-0000-0000F5940000}"/>
    <cellStyle name="Normal 6 7 5" xfId="403" xr:uid="{00000000-0005-0000-0000-0000F6940000}"/>
    <cellStyle name="Normal 6 7 5 2" xfId="38066" xr:uid="{00000000-0005-0000-0000-0000F7940000}"/>
    <cellStyle name="Normal 6 7 5 2 2" xfId="38067" xr:uid="{00000000-0005-0000-0000-0000F8940000}"/>
    <cellStyle name="Normal 6 7 5 3" xfId="38068" xr:uid="{00000000-0005-0000-0000-0000F9940000}"/>
    <cellStyle name="Normal 6 7 5 4" xfId="38065" xr:uid="{00000000-0005-0000-0000-0000FA940000}"/>
    <cellStyle name="Normal 6 7 6" xfId="526" xr:uid="{00000000-0005-0000-0000-0000FB940000}"/>
    <cellStyle name="Normal 6 7 6 2" xfId="38070" xr:uid="{00000000-0005-0000-0000-0000FC940000}"/>
    <cellStyle name="Normal 6 7 6 2 2" xfId="38071" xr:uid="{00000000-0005-0000-0000-0000FD940000}"/>
    <cellStyle name="Normal 6 7 6 3" xfId="38072" xr:uid="{00000000-0005-0000-0000-0000FE940000}"/>
    <cellStyle name="Normal 6 7 6 4" xfId="38069" xr:uid="{00000000-0005-0000-0000-0000FF940000}"/>
    <cellStyle name="Normal 6 7 7" xfId="657" xr:uid="{00000000-0005-0000-0000-000000950000}"/>
    <cellStyle name="Normal 6 7 7 2" xfId="38074" xr:uid="{00000000-0005-0000-0000-000001950000}"/>
    <cellStyle name="Normal 6 7 7 2 2" xfId="38075" xr:uid="{00000000-0005-0000-0000-000002950000}"/>
    <cellStyle name="Normal 6 7 7 3" xfId="38076" xr:uid="{00000000-0005-0000-0000-000003950000}"/>
    <cellStyle name="Normal 6 7 7 4" xfId="38073" xr:uid="{00000000-0005-0000-0000-000004950000}"/>
    <cellStyle name="Normal 6 7 8" xfId="38077" xr:uid="{00000000-0005-0000-0000-000005950000}"/>
    <cellStyle name="Normal 6 7 8 2" xfId="38078" xr:uid="{00000000-0005-0000-0000-000006950000}"/>
    <cellStyle name="Normal 6 7 8 2 2" xfId="38079" xr:uid="{00000000-0005-0000-0000-000007950000}"/>
    <cellStyle name="Normal 6 7 8 2 2 2" xfId="38080" xr:uid="{00000000-0005-0000-0000-000008950000}"/>
    <cellStyle name="Normal 6 7 8 2 3" xfId="38081" xr:uid="{00000000-0005-0000-0000-000009950000}"/>
    <cellStyle name="Normal 6 7 8 3" xfId="38082" xr:uid="{00000000-0005-0000-0000-00000A950000}"/>
    <cellStyle name="Normal 6 7 8 3 2" xfId="38083" xr:uid="{00000000-0005-0000-0000-00000B950000}"/>
    <cellStyle name="Normal 6 7 8 3 2 2" xfId="38084" xr:uid="{00000000-0005-0000-0000-00000C950000}"/>
    <cellStyle name="Normal 6 7 8 3 3" xfId="38085" xr:uid="{00000000-0005-0000-0000-00000D950000}"/>
    <cellStyle name="Normal 6 7 8 4" xfId="38086" xr:uid="{00000000-0005-0000-0000-00000E950000}"/>
    <cellStyle name="Normal 6 7 8 4 2" xfId="38087" xr:uid="{00000000-0005-0000-0000-00000F950000}"/>
    <cellStyle name="Normal 6 7 8 5" xfId="38088" xr:uid="{00000000-0005-0000-0000-000010950000}"/>
    <cellStyle name="Normal 6 7 8 5 2" xfId="38089" xr:uid="{00000000-0005-0000-0000-000011950000}"/>
    <cellStyle name="Normal 6 7 8 6" xfId="38090" xr:uid="{00000000-0005-0000-0000-000012950000}"/>
    <cellStyle name="Normal 6 7 9" xfId="38091" xr:uid="{00000000-0005-0000-0000-000013950000}"/>
    <cellStyle name="Normal 6 8" xfId="136" xr:uid="{00000000-0005-0000-0000-000014950000}"/>
    <cellStyle name="Normal 6 8 10" xfId="53785" xr:uid="{00000000-0005-0000-0000-000015950000}"/>
    <cellStyle name="Normal 6 8 2" xfId="180" xr:uid="{00000000-0005-0000-0000-000016950000}"/>
    <cellStyle name="Normal 6 8 2 2" xfId="316" xr:uid="{00000000-0005-0000-0000-000017950000}"/>
    <cellStyle name="Normal 6 8 2 2 2" xfId="38094" xr:uid="{00000000-0005-0000-0000-000018950000}"/>
    <cellStyle name="Normal 6 8 2 3" xfId="439" xr:uid="{00000000-0005-0000-0000-000019950000}"/>
    <cellStyle name="Normal 6 8 2 4" xfId="661" xr:uid="{00000000-0005-0000-0000-00001A950000}"/>
    <cellStyle name="Normal 6 8 2 5" xfId="38093" xr:uid="{00000000-0005-0000-0000-00001B950000}"/>
    <cellStyle name="Normal 6 8 2 6" xfId="53806" xr:uid="{00000000-0005-0000-0000-00001C950000}"/>
    <cellStyle name="Normal 6 8 3" xfId="221" xr:uid="{00000000-0005-0000-0000-00001D950000}"/>
    <cellStyle name="Normal 6 8 3 2" xfId="357" xr:uid="{00000000-0005-0000-0000-00001E950000}"/>
    <cellStyle name="Normal 6 8 3 3" xfId="480" xr:uid="{00000000-0005-0000-0000-00001F950000}"/>
    <cellStyle name="Normal 6 8 3 4" xfId="662" xr:uid="{00000000-0005-0000-0000-000020950000}"/>
    <cellStyle name="Normal 6 8 3 5" xfId="38095" xr:uid="{00000000-0005-0000-0000-000021950000}"/>
    <cellStyle name="Normal 6 8 3 6" xfId="53847" xr:uid="{00000000-0005-0000-0000-000022950000}"/>
    <cellStyle name="Normal 6 8 4" xfId="275" xr:uid="{00000000-0005-0000-0000-000023950000}"/>
    <cellStyle name="Normal 6 8 5" xfId="398" xr:uid="{00000000-0005-0000-0000-000024950000}"/>
    <cellStyle name="Normal 6 8 6" xfId="521" xr:uid="{00000000-0005-0000-0000-000025950000}"/>
    <cellStyle name="Normal 6 8 7" xfId="660" xr:uid="{00000000-0005-0000-0000-000026950000}"/>
    <cellStyle name="Normal 6 8 8" xfId="38092" xr:uid="{00000000-0005-0000-0000-000027950000}"/>
    <cellStyle name="Normal 6 8 9" xfId="53722" xr:uid="{00000000-0005-0000-0000-000028950000}"/>
    <cellStyle name="Normal 6 9" xfId="162" xr:uid="{00000000-0005-0000-0000-000029950000}"/>
    <cellStyle name="Normal 6 9 2" xfId="298" xr:uid="{00000000-0005-0000-0000-00002A950000}"/>
    <cellStyle name="Normal 6 9 2 2" xfId="38098" xr:uid="{00000000-0005-0000-0000-00002B950000}"/>
    <cellStyle name="Normal 6 9 2 2 2" xfId="38099" xr:uid="{00000000-0005-0000-0000-00002C950000}"/>
    <cellStyle name="Normal 6 9 2 3" xfId="38100" xr:uid="{00000000-0005-0000-0000-00002D950000}"/>
    <cellStyle name="Normal 6 9 2 4" xfId="38097" xr:uid="{00000000-0005-0000-0000-00002E950000}"/>
    <cellStyle name="Normal 6 9 3" xfId="421" xr:uid="{00000000-0005-0000-0000-00002F950000}"/>
    <cellStyle name="Normal 6 9 3 2" xfId="38102" xr:uid="{00000000-0005-0000-0000-000030950000}"/>
    <cellStyle name="Normal 6 9 3 2 2" xfId="38103" xr:uid="{00000000-0005-0000-0000-000031950000}"/>
    <cellStyle name="Normal 6 9 3 3" xfId="38104" xr:uid="{00000000-0005-0000-0000-000032950000}"/>
    <cellStyle name="Normal 6 9 3 4" xfId="38101" xr:uid="{00000000-0005-0000-0000-000033950000}"/>
    <cellStyle name="Normal 6 9 4" xfId="663" xr:uid="{00000000-0005-0000-0000-000034950000}"/>
    <cellStyle name="Normal 6 9 4 2" xfId="38106" xr:uid="{00000000-0005-0000-0000-000035950000}"/>
    <cellStyle name="Normal 6 9 4 3" xfId="38105" xr:uid="{00000000-0005-0000-0000-000036950000}"/>
    <cellStyle name="Normal 6 9 5" xfId="38107" xr:uid="{00000000-0005-0000-0000-000037950000}"/>
    <cellStyle name="Normal 6 9 5 2" xfId="38108" xr:uid="{00000000-0005-0000-0000-000038950000}"/>
    <cellStyle name="Normal 6 9 6" xfId="38109" xr:uid="{00000000-0005-0000-0000-000039950000}"/>
    <cellStyle name="Normal 6 9 7" xfId="38096" xr:uid="{00000000-0005-0000-0000-00003A950000}"/>
    <cellStyle name="Normal 6 9 8" xfId="53788" xr:uid="{00000000-0005-0000-0000-00003B950000}"/>
    <cellStyle name="Normal 60" xfId="38110" xr:uid="{00000000-0005-0000-0000-00003C950000}"/>
    <cellStyle name="Normal 60 2" xfId="38111" xr:uid="{00000000-0005-0000-0000-00003D950000}"/>
    <cellStyle name="Normal 60 2 2" xfId="38112" xr:uid="{00000000-0005-0000-0000-00003E950000}"/>
    <cellStyle name="Normal 60 2 2 2" xfId="38113" xr:uid="{00000000-0005-0000-0000-00003F950000}"/>
    <cellStyle name="Normal 60 2 3" xfId="38114" xr:uid="{00000000-0005-0000-0000-000040950000}"/>
    <cellStyle name="Normal 60 2 3 2" xfId="38115" xr:uid="{00000000-0005-0000-0000-000041950000}"/>
    <cellStyle name="Normal 60 2 3 2 2" xfId="38116" xr:uid="{00000000-0005-0000-0000-000042950000}"/>
    <cellStyle name="Normal 60 2 3 3" xfId="38117" xr:uid="{00000000-0005-0000-0000-000043950000}"/>
    <cellStyle name="Normal 60 2 4" xfId="38118" xr:uid="{00000000-0005-0000-0000-000044950000}"/>
    <cellStyle name="Normal 60 2 4 2" xfId="38119" xr:uid="{00000000-0005-0000-0000-000045950000}"/>
    <cellStyle name="Normal 60 2 4 2 2" xfId="38120" xr:uid="{00000000-0005-0000-0000-000046950000}"/>
    <cellStyle name="Normal 60 2 4 3" xfId="38121" xr:uid="{00000000-0005-0000-0000-000047950000}"/>
    <cellStyle name="Normal 60 2 5" xfId="38122" xr:uid="{00000000-0005-0000-0000-000048950000}"/>
    <cellStyle name="Normal 60 3" xfId="38123" xr:uid="{00000000-0005-0000-0000-000049950000}"/>
    <cellStyle name="Normal 60 3 2" xfId="38124" xr:uid="{00000000-0005-0000-0000-00004A950000}"/>
    <cellStyle name="Normal 60 3 2 2" xfId="38125" xr:uid="{00000000-0005-0000-0000-00004B950000}"/>
    <cellStyle name="Normal 60 3 2 2 2" xfId="38126" xr:uid="{00000000-0005-0000-0000-00004C950000}"/>
    <cellStyle name="Normal 60 3 2 3" xfId="38127" xr:uid="{00000000-0005-0000-0000-00004D950000}"/>
    <cellStyle name="Normal 60 3 2 3 2" xfId="38128" xr:uid="{00000000-0005-0000-0000-00004E950000}"/>
    <cellStyle name="Normal 60 3 2 3 2 2" xfId="38129" xr:uid="{00000000-0005-0000-0000-00004F950000}"/>
    <cellStyle name="Normal 60 3 2 3 3" xfId="38130" xr:uid="{00000000-0005-0000-0000-000050950000}"/>
    <cellStyle name="Normal 60 3 2 4" xfId="38131" xr:uid="{00000000-0005-0000-0000-000051950000}"/>
    <cellStyle name="Normal 60 3 3" xfId="38132" xr:uid="{00000000-0005-0000-0000-000052950000}"/>
    <cellStyle name="Normal 60 3 3 2" xfId="38133" xr:uid="{00000000-0005-0000-0000-000053950000}"/>
    <cellStyle name="Normal 60 3 3 2 2" xfId="38134" xr:uid="{00000000-0005-0000-0000-000054950000}"/>
    <cellStyle name="Normal 60 3 3 3" xfId="38135" xr:uid="{00000000-0005-0000-0000-000055950000}"/>
    <cellStyle name="Normal 60 3 4" xfId="38136" xr:uid="{00000000-0005-0000-0000-000056950000}"/>
    <cellStyle name="Normal 60 3 4 2" xfId="38137" xr:uid="{00000000-0005-0000-0000-000057950000}"/>
    <cellStyle name="Normal 60 3 4 2 2" xfId="38138" xr:uid="{00000000-0005-0000-0000-000058950000}"/>
    <cellStyle name="Normal 60 3 4 3" xfId="38139" xr:uid="{00000000-0005-0000-0000-000059950000}"/>
    <cellStyle name="Normal 60 3 5" xfId="38140" xr:uid="{00000000-0005-0000-0000-00005A950000}"/>
    <cellStyle name="Normal 60 3 5 2" xfId="38141" xr:uid="{00000000-0005-0000-0000-00005B950000}"/>
    <cellStyle name="Normal 60 3 5 2 2" xfId="38142" xr:uid="{00000000-0005-0000-0000-00005C950000}"/>
    <cellStyle name="Normal 60 3 5 3" xfId="38143" xr:uid="{00000000-0005-0000-0000-00005D950000}"/>
    <cellStyle name="Normal 60 3 6" xfId="38144" xr:uid="{00000000-0005-0000-0000-00005E950000}"/>
    <cellStyle name="Normal 60 4" xfId="38145" xr:uid="{00000000-0005-0000-0000-00005F950000}"/>
    <cellStyle name="Normal 60 4 2" xfId="38146" xr:uid="{00000000-0005-0000-0000-000060950000}"/>
    <cellStyle name="Normal 60 4 2 2" xfId="38147" xr:uid="{00000000-0005-0000-0000-000061950000}"/>
    <cellStyle name="Normal 60 4 3" xfId="38148" xr:uid="{00000000-0005-0000-0000-000062950000}"/>
    <cellStyle name="Normal 60 5" xfId="38149" xr:uid="{00000000-0005-0000-0000-000063950000}"/>
    <cellStyle name="Normal 60 5 2" xfId="38150" xr:uid="{00000000-0005-0000-0000-000064950000}"/>
    <cellStyle name="Normal 60 5 2 2" xfId="38151" xr:uid="{00000000-0005-0000-0000-000065950000}"/>
    <cellStyle name="Normal 60 5 3" xfId="38152" xr:uid="{00000000-0005-0000-0000-000066950000}"/>
    <cellStyle name="Normal 60 6" xfId="38153" xr:uid="{00000000-0005-0000-0000-000067950000}"/>
    <cellStyle name="Normal 60 6 2" xfId="38154" xr:uid="{00000000-0005-0000-0000-000068950000}"/>
    <cellStyle name="Normal 60 6 2 2" xfId="38155" xr:uid="{00000000-0005-0000-0000-000069950000}"/>
    <cellStyle name="Normal 60 6 3" xfId="38156" xr:uid="{00000000-0005-0000-0000-00006A950000}"/>
    <cellStyle name="Normal 60 7" xfId="38157" xr:uid="{00000000-0005-0000-0000-00006B950000}"/>
    <cellStyle name="Normal 600" xfId="38158" xr:uid="{00000000-0005-0000-0000-00006C950000}"/>
    <cellStyle name="Normal 600 2" xfId="38159" xr:uid="{00000000-0005-0000-0000-00006D950000}"/>
    <cellStyle name="Normal 600 2 2" xfId="38160" xr:uid="{00000000-0005-0000-0000-00006E950000}"/>
    <cellStyle name="Normal 600 3" xfId="38161" xr:uid="{00000000-0005-0000-0000-00006F950000}"/>
    <cellStyle name="Normal 601" xfId="38162" xr:uid="{00000000-0005-0000-0000-000070950000}"/>
    <cellStyle name="Normal 601 2" xfId="38163" xr:uid="{00000000-0005-0000-0000-000071950000}"/>
    <cellStyle name="Normal 601 2 2" xfId="38164" xr:uid="{00000000-0005-0000-0000-000072950000}"/>
    <cellStyle name="Normal 601 3" xfId="38165" xr:uid="{00000000-0005-0000-0000-000073950000}"/>
    <cellStyle name="Normal 602" xfId="38166" xr:uid="{00000000-0005-0000-0000-000074950000}"/>
    <cellStyle name="Normal 602 2" xfId="38167" xr:uid="{00000000-0005-0000-0000-000075950000}"/>
    <cellStyle name="Normal 602 2 2" xfId="38168" xr:uid="{00000000-0005-0000-0000-000076950000}"/>
    <cellStyle name="Normal 602 3" xfId="38169" xr:uid="{00000000-0005-0000-0000-000077950000}"/>
    <cellStyle name="Normal 603" xfId="38170" xr:uid="{00000000-0005-0000-0000-000078950000}"/>
    <cellStyle name="Normal 603 2" xfId="38171" xr:uid="{00000000-0005-0000-0000-000079950000}"/>
    <cellStyle name="Normal 603 2 2" xfId="38172" xr:uid="{00000000-0005-0000-0000-00007A950000}"/>
    <cellStyle name="Normal 603 3" xfId="38173" xr:uid="{00000000-0005-0000-0000-00007B950000}"/>
    <cellStyle name="Normal 604" xfId="38174" xr:uid="{00000000-0005-0000-0000-00007C950000}"/>
    <cellStyle name="Normal 604 2" xfId="38175" xr:uid="{00000000-0005-0000-0000-00007D950000}"/>
    <cellStyle name="Normal 604 2 2" xfId="38176" xr:uid="{00000000-0005-0000-0000-00007E950000}"/>
    <cellStyle name="Normal 604 3" xfId="38177" xr:uid="{00000000-0005-0000-0000-00007F950000}"/>
    <cellStyle name="Normal 605" xfId="38178" xr:uid="{00000000-0005-0000-0000-000080950000}"/>
    <cellStyle name="Normal 605 2" xfId="38179" xr:uid="{00000000-0005-0000-0000-000081950000}"/>
    <cellStyle name="Normal 605 2 2" xfId="38180" xr:uid="{00000000-0005-0000-0000-000082950000}"/>
    <cellStyle name="Normal 605 3" xfId="38181" xr:uid="{00000000-0005-0000-0000-000083950000}"/>
    <cellStyle name="Normal 606" xfId="38182" xr:uid="{00000000-0005-0000-0000-000084950000}"/>
    <cellStyle name="Normal 606 2" xfId="38183" xr:uid="{00000000-0005-0000-0000-000085950000}"/>
    <cellStyle name="Normal 606 2 2" xfId="38184" xr:uid="{00000000-0005-0000-0000-000086950000}"/>
    <cellStyle name="Normal 606 3" xfId="38185" xr:uid="{00000000-0005-0000-0000-000087950000}"/>
    <cellStyle name="Normal 607" xfId="38186" xr:uid="{00000000-0005-0000-0000-000088950000}"/>
    <cellStyle name="Normal 607 2" xfId="38187" xr:uid="{00000000-0005-0000-0000-000089950000}"/>
    <cellStyle name="Normal 608" xfId="38188" xr:uid="{00000000-0005-0000-0000-00008A950000}"/>
    <cellStyle name="Normal 608 2" xfId="38189" xr:uid="{00000000-0005-0000-0000-00008B950000}"/>
    <cellStyle name="Normal 609" xfId="38190" xr:uid="{00000000-0005-0000-0000-00008C950000}"/>
    <cellStyle name="Normal 609 2" xfId="38191" xr:uid="{00000000-0005-0000-0000-00008D950000}"/>
    <cellStyle name="Normal 61" xfId="38192" xr:uid="{00000000-0005-0000-0000-00008E950000}"/>
    <cellStyle name="Normal 61 2" xfId="38193" xr:uid="{00000000-0005-0000-0000-00008F950000}"/>
    <cellStyle name="Normal 61 2 2" xfId="38194" xr:uid="{00000000-0005-0000-0000-000090950000}"/>
    <cellStyle name="Normal 61 2 2 2" xfId="38195" xr:uid="{00000000-0005-0000-0000-000091950000}"/>
    <cellStyle name="Normal 61 2 3" xfId="38196" xr:uid="{00000000-0005-0000-0000-000092950000}"/>
    <cellStyle name="Normal 61 2 3 2" xfId="38197" xr:uid="{00000000-0005-0000-0000-000093950000}"/>
    <cellStyle name="Normal 61 2 3 2 2" xfId="38198" xr:uid="{00000000-0005-0000-0000-000094950000}"/>
    <cellStyle name="Normal 61 2 3 3" xfId="38199" xr:uid="{00000000-0005-0000-0000-000095950000}"/>
    <cellStyle name="Normal 61 2 4" xfId="38200" xr:uid="{00000000-0005-0000-0000-000096950000}"/>
    <cellStyle name="Normal 61 2 4 2" xfId="38201" xr:uid="{00000000-0005-0000-0000-000097950000}"/>
    <cellStyle name="Normal 61 2 4 2 2" xfId="38202" xr:uid="{00000000-0005-0000-0000-000098950000}"/>
    <cellStyle name="Normal 61 2 4 3" xfId="38203" xr:uid="{00000000-0005-0000-0000-000099950000}"/>
    <cellStyle name="Normal 61 2 5" xfId="38204" xr:uid="{00000000-0005-0000-0000-00009A950000}"/>
    <cellStyle name="Normal 61 3" xfId="38205" xr:uid="{00000000-0005-0000-0000-00009B950000}"/>
    <cellStyle name="Normal 61 3 2" xfId="38206" xr:uid="{00000000-0005-0000-0000-00009C950000}"/>
    <cellStyle name="Normal 61 3 2 2" xfId="38207" xr:uid="{00000000-0005-0000-0000-00009D950000}"/>
    <cellStyle name="Normal 61 3 2 2 2" xfId="38208" xr:uid="{00000000-0005-0000-0000-00009E950000}"/>
    <cellStyle name="Normal 61 3 2 3" xfId="38209" xr:uid="{00000000-0005-0000-0000-00009F950000}"/>
    <cellStyle name="Normal 61 3 2 3 2" xfId="38210" xr:uid="{00000000-0005-0000-0000-0000A0950000}"/>
    <cellStyle name="Normal 61 3 2 3 2 2" xfId="38211" xr:uid="{00000000-0005-0000-0000-0000A1950000}"/>
    <cellStyle name="Normal 61 3 2 3 3" xfId="38212" xr:uid="{00000000-0005-0000-0000-0000A2950000}"/>
    <cellStyle name="Normal 61 3 2 4" xfId="38213" xr:uid="{00000000-0005-0000-0000-0000A3950000}"/>
    <cellStyle name="Normal 61 3 3" xfId="38214" xr:uid="{00000000-0005-0000-0000-0000A4950000}"/>
    <cellStyle name="Normal 61 3 3 2" xfId="38215" xr:uid="{00000000-0005-0000-0000-0000A5950000}"/>
    <cellStyle name="Normal 61 3 3 2 2" xfId="38216" xr:uid="{00000000-0005-0000-0000-0000A6950000}"/>
    <cellStyle name="Normal 61 3 3 3" xfId="38217" xr:uid="{00000000-0005-0000-0000-0000A7950000}"/>
    <cellStyle name="Normal 61 3 4" xfId="38218" xr:uid="{00000000-0005-0000-0000-0000A8950000}"/>
    <cellStyle name="Normal 61 3 4 2" xfId="38219" xr:uid="{00000000-0005-0000-0000-0000A9950000}"/>
    <cellStyle name="Normal 61 3 4 2 2" xfId="38220" xr:uid="{00000000-0005-0000-0000-0000AA950000}"/>
    <cellStyle name="Normal 61 3 4 3" xfId="38221" xr:uid="{00000000-0005-0000-0000-0000AB950000}"/>
    <cellStyle name="Normal 61 3 5" xfId="38222" xr:uid="{00000000-0005-0000-0000-0000AC950000}"/>
    <cellStyle name="Normal 61 3 5 2" xfId="38223" xr:uid="{00000000-0005-0000-0000-0000AD950000}"/>
    <cellStyle name="Normal 61 3 5 2 2" xfId="38224" xr:uid="{00000000-0005-0000-0000-0000AE950000}"/>
    <cellStyle name="Normal 61 3 5 3" xfId="38225" xr:uid="{00000000-0005-0000-0000-0000AF950000}"/>
    <cellStyle name="Normal 61 3 6" xfId="38226" xr:uid="{00000000-0005-0000-0000-0000B0950000}"/>
    <cellStyle name="Normal 61 4" xfId="38227" xr:uid="{00000000-0005-0000-0000-0000B1950000}"/>
    <cellStyle name="Normal 61 4 2" xfId="38228" xr:uid="{00000000-0005-0000-0000-0000B2950000}"/>
    <cellStyle name="Normal 61 4 2 2" xfId="38229" xr:uid="{00000000-0005-0000-0000-0000B3950000}"/>
    <cellStyle name="Normal 61 4 3" xfId="38230" xr:uid="{00000000-0005-0000-0000-0000B4950000}"/>
    <cellStyle name="Normal 61 5" xfId="38231" xr:uid="{00000000-0005-0000-0000-0000B5950000}"/>
    <cellStyle name="Normal 61 5 2" xfId="38232" xr:uid="{00000000-0005-0000-0000-0000B6950000}"/>
    <cellStyle name="Normal 61 5 2 2" xfId="38233" xr:uid="{00000000-0005-0000-0000-0000B7950000}"/>
    <cellStyle name="Normal 61 5 3" xfId="38234" xr:uid="{00000000-0005-0000-0000-0000B8950000}"/>
    <cellStyle name="Normal 61 6" xfId="38235" xr:uid="{00000000-0005-0000-0000-0000B9950000}"/>
    <cellStyle name="Normal 61 6 2" xfId="38236" xr:uid="{00000000-0005-0000-0000-0000BA950000}"/>
    <cellStyle name="Normal 61 6 2 2" xfId="38237" xr:uid="{00000000-0005-0000-0000-0000BB950000}"/>
    <cellStyle name="Normal 61 6 3" xfId="38238" xr:uid="{00000000-0005-0000-0000-0000BC950000}"/>
    <cellStyle name="Normal 61 7" xfId="38239" xr:uid="{00000000-0005-0000-0000-0000BD950000}"/>
    <cellStyle name="Normal 610" xfId="38240" xr:uid="{00000000-0005-0000-0000-0000BE950000}"/>
    <cellStyle name="Normal 610 2" xfId="38241" xr:uid="{00000000-0005-0000-0000-0000BF950000}"/>
    <cellStyle name="Normal 610 2 2" xfId="38242" xr:uid="{00000000-0005-0000-0000-0000C0950000}"/>
    <cellStyle name="Normal 610 3" xfId="38243" xr:uid="{00000000-0005-0000-0000-0000C1950000}"/>
    <cellStyle name="Normal 611" xfId="38244" xr:uid="{00000000-0005-0000-0000-0000C2950000}"/>
    <cellStyle name="Normal 611 2" xfId="38245" xr:uid="{00000000-0005-0000-0000-0000C3950000}"/>
    <cellStyle name="Normal 611 2 2" xfId="38246" xr:uid="{00000000-0005-0000-0000-0000C4950000}"/>
    <cellStyle name="Normal 611 3" xfId="38247" xr:uid="{00000000-0005-0000-0000-0000C5950000}"/>
    <cellStyle name="Normal 612" xfId="38248" xr:uid="{00000000-0005-0000-0000-0000C6950000}"/>
    <cellStyle name="Normal 612 2" xfId="38249" xr:uid="{00000000-0005-0000-0000-0000C7950000}"/>
    <cellStyle name="Normal 612 2 2" xfId="38250" xr:uid="{00000000-0005-0000-0000-0000C8950000}"/>
    <cellStyle name="Normal 612 3" xfId="38251" xr:uid="{00000000-0005-0000-0000-0000C9950000}"/>
    <cellStyle name="Normal 613" xfId="38252" xr:uid="{00000000-0005-0000-0000-0000CA950000}"/>
    <cellStyle name="Normal 613 2" xfId="38253" xr:uid="{00000000-0005-0000-0000-0000CB950000}"/>
    <cellStyle name="Normal 613 2 2" xfId="38254" xr:uid="{00000000-0005-0000-0000-0000CC950000}"/>
    <cellStyle name="Normal 613 3" xfId="38255" xr:uid="{00000000-0005-0000-0000-0000CD950000}"/>
    <cellStyle name="Normal 614" xfId="38256" xr:uid="{00000000-0005-0000-0000-0000CE950000}"/>
    <cellStyle name="Normal 614 2" xfId="38257" xr:uid="{00000000-0005-0000-0000-0000CF950000}"/>
    <cellStyle name="Normal 614 2 2" xfId="38258" xr:uid="{00000000-0005-0000-0000-0000D0950000}"/>
    <cellStyle name="Normal 614 3" xfId="38259" xr:uid="{00000000-0005-0000-0000-0000D1950000}"/>
    <cellStyle name="Normal 615" xfId="38260" xr:uid="{00000000-0005-0000-0000-0000D2950000}"/>
    <cellStyle name="Normal 615 2" xfId="38261" xr:uid="{00000000-0005-0000-0000-0000D3950000}"/>
    <cellStyle name="Normal 615 2 2" xfId="38262" xr:uid="{00000000-0005-0000-0000-0000D4950000}"/>
    <cellStyle name="Normal 615 3" xfId="38263" xr:uid="{00000000-0005-0000-0000-0000D5950000}"/>
    <cellStyle name="Normal 616" xfId="38264" xr:uid="{00000000-0005-0000-0000-0000D6950000}"/>
    <cellStyle name="Normal 616 2" xfId="38265" xr:uid="{00000000-0005-0000-0000-0000D7950000}"/>
    <cellStyle name="Normal 617" xfId="38266" xr:uid="{00000000-0005-0000-0000-0000D8950000}"/>
    <cellStyle name="Normal 617 2" xfId="38267" xr:uid="{00000000-0005-0000-0000-0000D9950000}"/>
    <cellStyle name="Normal 618" xfId="38268" xr:uid="{00000000-0005-0000-0000-0000DA950000}"/>
    <cellStyle name="Normal 618 2" xfId="38269" xr:uid="{00000000-0005-0000-0000-0000DB950000}"/>
    <cellStyle name="Normal 619" xfId="38270" xr:uid="{00000000-0005-0000-0000-0000DC950000}"/>
    <cellStyle name="Normal 619 2" xfId="38271" xr:uid="{00000000-0005-0000-0000-0000DD950000}"/>
    <cellStyle name="Normal 62" xfId="38272" xr:uid="{00000000-0005-0000-0000-0000DE950000}"/>
    <cellStyle name="Normal 62 2" xfId="38273" xr:uid="{00000000-0005-0000-0000-0000DF950000}"/>
    <cellStyle name="Normal 62 2 2" xfId="38274" xr:uid="{00000000-0005-0000-0000-0000E0950000}"/>
    <cellStyle name="Normal 62 2 2 2" xfId="38275" xr:uid="{00000000-0005-0000-0000-0000E1950000}"/>
    <cellStyle name="Normal 62 2 2 2 2" xfId="38276" xr:uid="{00000000-0005-0000-0000-0000E2950000}"/>
    <cellStyle name="Normal 62 2 2 3" xfId="38277" xr:uid="{00000000-0005-0000-0000-0000E3950000}"/>
    <cellStyle name="Normal 62 2 2 3 2" xfId="38278" xr:uid="{00000000-0005-0000-0000-0000E4950000}"/>
    <cellStyle name="Normal 62 2 2 3 2 2" xfId="38279" xr:uid="{00000000-0005-0000-0000-0000E5950000}"/>
    <cellStyle name="Normal 62 2 2 3 3" xfId="38280" xr:uid="{00000000-0005-0000-0000-0000E6950000}"/>
    <cellStyle name="Normal 62 2 2 4" xfId="38281" xr:uid="{00000000-0005-0000-0000-0000E7950000}"/>
    <cellStyle name="Normal 62 2 2 4 2" xfId="38282" xr:uid="{00000000-0005-0000-0000-0000E8950000}"/>
    <cellStyle name="Normal 62 2 2 4 2 2" xfId="38283" xr:uid="{00000000-0005-0000-0000-0000E9950000}"/>
    <cellStyle name="Normal 62 2 2 4 3" xfId="38284" xr:uid="{00000000-0005-0000-0000-0000EA950000}"/>
    <cellStyle name="Normal 62 2 2 5" xfId="38285" xr:uid="{00000000-0005-0000-0000-0000EB950000}"/>
    <cellStyle name="Normal 62 2 3" xfId="38286" xr:uid="{00000000-0005-0000-0000-0000EC950000}"/>
    <cellStyle name="Normal 62 2 3 2" xfId="38287" xr:uid="{00000000-0005-0000-0000-0000ED950000}"/>
    <cellStyle name="Normal 62 2 3 2 2" xfId="38288" xr:uid="{00000000-0005-0000-0000-0000EE950000}"/>
    <cellStyle name="Normal 62 2 3 3" xfId="38289" xr:uid="{00000000-0005-0000-0000-0000EF950000}"/>
    <cellStyle name="Normal 62 2 4" xfId="38290" xr:uid="{00000000-0005-0000-0000-0000F0950000}"/>
    <cellStyle name="Normal 62 2 4 2" xfId="38291" xr:uid="{00000000-0005-0000-0000-0000F1950000}"/>
    <cellStyle name="Normal 62 2 4 2 2" xfId="38292" xr:uid="{00000000-0005-0000-0000-0000F2950000}"/>
    <cellStyle name="Normal 62 2 4 3" xfId="38293" xr:uid="{00000000-0005-0000-0000-0000F3950000}"/>
    <cellStyle name="Normal 62 2 5" xfId="38294" xr:uid="{00000000-0005-0000-0000-0000F4950000}"/>
    <cellStyle name="Normal 62 2 5 2" xfId="38295" xr:uid="{00000000-0005-0000-0000-0000F5950000}"/>
    <cellStyle name="Normal 62 2 5 2 2" xfId="38296" xr:uid="{00000000-0005-0000-0000-0000F6950000}"/>
    <cellStyle name="Normal 62 2 5 3" xfId="38297" xr:uid="{00000000-0005-0000-0000-0000F7950000}"/>
    <cellStyle name="Normal 62 2 6" xfId="38298" xr:uid="{00000000-0005-0000-0000-0000F8950000}"/>
    <cellStyle name="Normal 62 3" xfId="38299" xr:uid="{00000000-0005-0000-0000-0000F9950000}"/>
    <cellStyle name="Normal 62 3 2" xfId="38300" xr:uid="{00000000-0005-0000-0000-0000FA950000}"/>
    <cellStyle name="Normal 62 3 2 2" xfId="38301" xr:uid="{00000000-0005-0000-0000-0000FB950000}"/>
    <cellStyle name="Normal 62 3 3" xfId="38302" xr:uid="{00000000-0005-0000-0000-0000FC950000}"/>
    <cellStyle name="Normal 62 3 3 2" xfId="38303" xr:uid="{00000000-0005-0000-0000-0000FD950000}"/>
    <cellStyle name="Normal 62 3 3 2 2" xfId="38304" xr:uid="{00000000-0005-0000-0000-0000FE950000}"/>
    <cellStyle name="Normal 62 3 3 3" xfId="38305" xr:uid="{00000000-0005-0000-0000-0000FF950000}"/>
    <cellStyle name="Normal 62 3 4" xfId="38306" xr:uid="{00000000-0005-0000-0000-000000960000}"/>
    <cellStyle name="Normal 62 3 4 2" xfId="38307" xr:uid="{00000000-0005-0000-0000-000001960000}"/>
    <cellStyle name="Normal 62 3 4 2 2" xfId="38308" xr:uid="{00000000-0005-0000-0000-000002960000}"/>
    <cellStyle name="Normal 62 3 4 3" xfId="38309" xr:uid="{00000000-0005-0000-0000-000003960000}"/>
    <cellStyle name="Normal 62 3 5" xfId="38310" xr:uid="{00000000-0005-0000-0000-000004960000}"/>
    <cellStyle name="Normal 62 4" xfId="38311" xr:uid="{00000000-0005-0000-0000-000005960000}"/>
    <cellStyle name="Normal 62 4 2" xfId="38312" xr:uid="{00000000-0005-0000-0000-000006960000}"/>
    <cellStyle name="Normal 62 4 2 2" xfId="38313" xr:uid="{00000000-0005-0000-0000-000007960000}"/>
    <cellStyle name="Normal 62 4 3" xfId="38314" xr:uid="{00000000-0005-0000-0000-000008960000}"/>
    <cellStyle name="Normal 62 5" xfId="38315" xr:uid="{00000000-0005-0000-0000-000009960000}"/>
    <cellStyle name="Normal 62 5 2" xfId="38316" xr:uid="{00000000-0005-0000-0000-00000A960000}"/>
    <cellStyle name="Normal 62 5 2 2" xfId="38317" xr:uid="{00000000-0005-0000-0000-00000B960000}"/>
    <cellStyle name="Normal 62 5 3" xfId="38318" xr:uid="{00000000-0005-0000-0000-00000C960000}"/>
    <cellStyle name="Normal 62 6" xfId="38319" xr:uid="{00000000-0005-0000-0000-00000D960000}"/>
    <cellStyle name="Normal 62 6 2" xfId="38320" xr:uid="{00000000-0005-0000-0000-00000E960000}"/>
    <cellStyle name="Normal 62 6 2 2" xfId="38321" xr:uid="{00000000-0005-0000-0000-00000F960000}"/>
    <cellStyle name="Normal 62 6 3" xfId="38322" xr:uid="{00000000-0005-0000-0000-000010960000}"/>
    <cellStyle name="Normal 62 7" xfId="38323" xr:uid="{00000000-0005-0000-0000-000011960000}"/>
    <cellStyle name="Normal 620" xfId="38324" xr:uid="{00000000-0005-0000-0000-000012960000}"/>
    <cellStyle name="Normal 620 2" xfId="38325" xr:uid="{00000000-0005-0000-0000-000013960000}"/>
    <cellStyle name="Normal 621" xfId="38326" xr:uid="{00000000-0005-0000-0000-000014960000}"/>
    <cellStyle name="Normal 621 2" xfId="38327" xr:uid="{00000000-0005-0000-0000-000015960000}"/>
    <cellStyle name="Normal 621 2 2" xfId="38328" xr:uid="{00000000-0005-0000-0000-000016960000}"/>
    <cellStyle name="Normal 621 3" xfId="38329" xr:uid="{00000000-0005-0000-0000-000017960000}"/>
    <cellStyle name="Normal 622" xfId="38330" xr:uid="{00000000-0005-0000-0000-000018960000}"/>
    <cellStyle name="Normal 622 2" xfId="38331" xr:uid="{00000000-0005-0000-0000-000019960000}"/>
    <cellStyle name="Normal 623" xfId="38332" xr:uid="{00000000-0005-0000-0000-00001A960000}"/>
    <cellStyle name="Normal 623 2" xfId="38333" xr:uid="{00000000-0005-0000-0000-00001B960000}"/>
    <cellStyle name="Normal 623 2 2" xfId="38334" xr:uid="{00000000-0005-0000-0000-00001C960000}"/>
    <cellStyle name="Normal 623 3" xfId="38335" xr:uid="{00000000-0005-0000-0000-00001D960000}"/>
    <cellStyle name="Normal 624" xfId="38336" xr:uid="{00000000-0005-0000-0000-00001E960000}"/>
    <cellStyle name="Normal 624 2" xfId="38337" xr:uid="{00000000-0005-0000-0000-00001F960000}"/>
    <cellStyle name="Normal 624 2 2" xfId="38338" xr:uid="{00000000-0005-0000-0000-000020960000}"/>
    <cellStyle name="Normal 624 3" xfId="38339" xr:uid="{00000000-0005-0000-0000-000021960000}"/>
    <cellStyle name="Normal 625" xfId="38340" xr:uid="{00000000-0005-0000-0000-000022960000}"/>
    <cellStyle name="Normal 625 2" xfId="38341" xr:uid="{00000000-0005-0000-0000-000023960000}"/>
    <cellStyle name="Normal 625 2 2" xfId="38342" xr:uid="{00000000-0005-0000-0000-000024960000}"/>
    <cellStyle name="Normal 625 3" xfId="38343" xr:uid="{00000000-0005-0000-0000-000025960000}"/>
    <cellStyle name="Normal 626" xfId="38344" xr:uid="{00000000-0005-0000-0000-000026960000}"/>
    <cellStyle name="Normal 626 2" xfId="38345" xr:uid="{00000000-0005-0000-0000-000027960000}"/>
    <cellStyle name="Normal 626 2 2" xfId="38346" xr:uid="{00000000-0005-0000-0000-000028960000}"/>
    <cellStyle name="Normal 626 3" xfId="38347" xr:uid="{00000000-0005-0000-0000-000029960000}"/>
    <cellStyle name="Normal 627" xfId="38348" xr:uid="{00000000-0005-0000-0000-00002A960000}"/>
    <cellStyle name="Normal 627 2" xfId="38349" xr:uid="{00000000-0005-0000-0000-00002B960000}"/>
    <cellStyle name="Normal 627 2 2" xfId="38350" xr:uid="{00000000-0005-0000-0000-00002C960000}"/>
    <cellStyle name="Normal 627 3" xfId="38351" xr:uid="{00000000-0005-0000-0000-00002D960000}"/>
    <cellStyle name="Normal 628" xfId="38352" xr:uid="{00000000-0005-0000-0000-00002E960000}"/>
    <cellStyle name="Normal 628 2" xfId="38353" xr:uid="{00000000-0005-0000-0000-00002F960000}"/>
    <cellStyle name="Normal 629" xfId="38354" xr:uid="{00000000-0005-0000-0000-000030960000}"/>
    <cellStyle name="Normal 629 2" xfId="38355" xr:uid="{00000000-0005-0000-0000-000031960000}"/>
    <cellStyle name="Normal 63" xfId="38356" xr:uid="{00000000-0005-0000-0000-000032960000}"/>
    <cellStyle name="Normal 63 2" xfId="38357" xr:uid="{00000000-0005-0000-0000-000033960000}"/>
    <cellStyle name="Normal 63 2 2" xfId="38358" xr:uid="{00000000-0005-0000-0000-000034960000}"/>
    <cellStyle name="Normal 63 2 2 2" xfId="38359" xr:uid="{00000000-0005-0000-0000-000035960000}"/>
    <cellStyle name="Normal 63 2 2 2 2" xfId="38360" xr:uid="{00000000-0005-0000-0000-000036960000}"/>
    <cellStyle name="Normal 63 2 2 3" xfId="38361" xr:uid="{00000000-0005-0000-0000-000037960000}"/>
    <cellStyle name="Normal 63 2 2 3 2" xfId="38362" xr:uid="{00000000-0005-0000-0000-000038960000}"/>
    <cellStyle name="Normal 63 2 2 3 2 2" xfId="38363" xr:uid="{00000000-0005-0000-0000-000039960000}"/>
    <cellStyle name="Normal 63 2 2 3 3" xfId="38364" xr:uid="{00000000-0005-0000-0000-00003A960000}"/>
    <cellStyle name="Normal 63 2 2 4" xfId="38365" xr:uid="{00000000-0005-0000-0000-00003B960000}"/>
    <cellStyle name="Normal 63 2 2 4 2" xfId="38366" xr:uid="{00000000-0005-0000-0000-00003C960000}"/>
    <cellStyle name="Normal 63 2 2 4 2 2" xfId="38367" xr:uid="{00000000-0005-0000-0000-00003D960000}"/>
    <cellStyle name="Normal 63 2 2 4 3" xfId="38368" xr:uid="{00000000-0005-0000-0000-00003E960000}"/>
    <cellStyle name="Normal 63 2 2 5" xfId="38369" xr:uid="{00000000-0005-0000-0000-00003F960000}"/>
    <cellStyle name="Normal 63 2 3" xfId="38370" xr:uid="{00000000-0005-0000-0000-000040960000}"/>
    <cellStyle name="Normal 63 2 3 2" xfId="38371" xr:uid="{00000000-0005-0000-0000-000041960000}"/>
    <cellStyle name="Normal 63 2 3 2 2" xfId="38372" xr:uid="{00000000-0005-0000-0000-000042960000}"/>
    <cellStyle name="Normal 63 2 3 3" xfId="38373" xr:uid="{00000000-0005-0000-0000-000043960000}"/>
    <cellStyle name="Normal 63 2 4" xfId="38374" xr:uid="{00000000-0005-0000-0000-000044960000}"/>
    <cellStyle name="Normal 63 2 4 2" xfId="38375" xr:uid="{00000000-0005-0000-0000-000045960000}"/>
    <cellStyle name="Normal 63 2 4 2 2" xfId="38376" xr:uid="{00000000-0005-0000-0000-000046960000}"/>
    <cellStyle name="Normal 63 2 4 3" xfId="38377" xr:uid="{00000000-0005-0000-0000-000047960000}"/>
    <cellStyle name="Normal 63 2 5" xfId="38378" xr:uid="{00000000-0005-0000-0000-000048960000}"/>
    <cellStyle name="Normal 63 2 5 2" xfId="38379" xr:uid="{00000000-0005-0000-0000-000049960000}"/>
    <cellStyle name="Normal 63 2 5 2 2" xfId="38380" xr:uid="{00000000-0005-0000-0000-00004A960000}"/>
    <cellStyle name="Normal 63 2 5 3" xfId="38381" xr:uid="{00000000-0005-0000-0000-00004B960000}"/>
    <cellStyle name="Normal 63 2 6" xfId="38382" xr:uid="{00000000-0005-0000-0000-00004C960000}"/>
    <cellStyle name="Normal 63 3" xfId="38383" xr:uid="{00000000-0005-0000-0000-00004D960000}"/>
    <cellStyle name="Normal 63 3 2" xfId="38384" xr:uid="{00000000-0005-0000-0000-00004E960000}"/>
    <cellStyle name="Normal 63 3 2 2" xfId="38385" xr:uid="{00000000-0005-0000-0000-00004F960000}"/>
    <cellStyle name="Normal 63 3 3" xfId="38386" xr:uid="{00000000-0005-0000-0000-000050960000}"/>
    <cellStyle name="Normal 63 3 3 2" xfId="38387" xr:uid="{00000000-0005-0000-0000-000051960000}"/>
    <cellStyle name="Normal 63 3 3 2 2" xfId="38388" xr:uid="{00000000-0005-0000-0000-000052960000}"/>
    <cellStyle name="Normal 63 3 3 3" xfId="38389" xr:uid="{00000000-0005-0000-0000-000053960000}"/>
    <cellStyle name="Normal 63 3 4" xfId="38390" xr:uid="{00000000-0005-0000-0000-000054960000}"/>
    <cellStyle name="Normal 63 3 4 2" xfId="38391" xr:uid="{00000000-0005-0000-0000-000055960000}"/>
    <cellStyle name="Normal 63 3 4 2 2" xfId="38392" xr:uid="{00000000-0005-0000-0000-000056960000}"/>
    <cellStyle name="Normal 63 3 4 3" xfId="38393" xr:uid="{00000000-0005-0000-0000-000057960000}"/>
    <cellStyle name="Normal 63 3 5" xfId="38394" xr:uid="{00000000-0005-0000-0000-000058960000}"/>
    <cellStyle name="Normal 63 4" xfId="38395" xr:uid="{00000000-0005-0000-0000-000059960000}"/>
    <cellStyle name="Normal 63 4 2" xfId="38396" xr:uid="{00000000-0005-0000-0000-00005A960000}"/>
    <cellStyle name="Normal 63 4 2 2" xfId="38397" xr:uid="{00000000-0005-0000-0000-00005B960000}"/>
    <cellStyle name="Normal 63 4 3" xfId="38398" xr:uid="{00000000-0005-0000-0000-00005C960000}"/>
    <cellStyle name="Normal 63 5" xfId="38399" xr:uid="{00000000-0005-0000-0000-00005D960000}"/>
    <cellStyle name="Normal 63 5 2" xfId="38400" xr:uid="{00000000-0005-0000-0000-00005E960000}"/>
    <cellStyle name="Normal 63 5 2 2" xfId="38401" xr:uid="{00000000-0005-0000-0000-00005F960000}"/>
    <cellStyle name="Normal 63 5 3" xfId="38402" xr:uid="{00000000-0005-0000-0000-000060960000}"/>
    <cellStyle name="Normal 63 6" xfId="38403" xr:uid="{00000000-0005-0000-0000-000061960000}"/>
    <cellStyle name="Normal 63 6 2" xfId="38404" xr:uid="{00000000-0005-0000-0000-000062960000}"/>
    <cellStyle name="Normal 63 6 2 2" xfId="38405" xr:uid="{00000000-0005-0000-0000-000063960000}"/>
    <cellStyle name="Normal 63 6 3" xfId="38406" xr:uid="{00000000-0005-0000-0000-000064960000}"/>
    <cellStyle name="Normal 63 7" xfId="38407" xr:uid="{00000000-0005-0000-0000-000065960000}"/>
    <cellStyle name="Normal 630" xfId="38408" xr:uid="{00000000-0005-0000-0000-000066960000}"/>
    <cellStyle name="Normal 630 2" xfId="38409" xr:uid="{00000000-0005-0000-0000-000067960000}"/>
    <cellStyle name="Normal 631" xfId="38410" xr:uid="{00000000-0005-0000-0000-000068960000}"/>
    <cellStyle name="Normal 631 2" xfId="38411" xr:uid="{00000000-0005-0000-0000-000069960000}"/>
    <cellStyle name="Normal 632" xfId="38412" xr:uid="{00000000-0005-0000-0000-00006A960000}"/>
    <cellStyle name="Normal 632 2" xfId="38413" xr:uid="{00000000-0005-0000-0000-00006B960000}"/>
    <cellStyle name="Normal 633" xfId="38414" xr:uid="{00000000-0005-0000-0000-00006C960000}"/>
    <cellStyle name="Normal 633 2" xfId="38415" xr:uid="{00000000-0005-0000-0000-00006D960000}"/>
    <cellStyle name="Normal 634" xfId="38416" xr:uid="{00000000-0005-0000-0000-00006E960000}"/>
    <cellStyle name="Normal 634 2" xfId="38417" xr:uid="{00000000-0005-0000-0000-00006F960000}"/>
    <cellStyle name="Normal 635" xfId="38418" xr:uid="{00000000-0005-0000-0000-000070960000}"/>
    <cellStyle name="Normal 635 2" xfId="38419" xr:uid="{00000000-0005-0000-0000-000071960000}"/>
    <cellStyle name="Normal 636" xfId="38420" xr:uid="{00000000-0005-0000-0000-000072960000}"/>
    <cellStyle name="Normal 636 2" xfId="38421" xr:uid="{00000000-0005-0000-0000-000073960000}"/>
    <cellStyle name="Normal 637" xfId="38422" xr:uid="{00000000-0005-0000-0000-000074960000}"/>
    <cellStyle name="Normal 638" xfId="38423" xr:uid="{00000000-0005-0000-0000-000075960000}"/>
    <cellStyle name="Normal 639" xfId="38424" xr:uid="{00000000-0005-0000-0000-000076960000}"/>
    <cellStyle name="Normal 64" xfId="38425" xr:uid="{00000000-0005-0000-0000-000077960000}"/>
    <cellStyle name="Normal 64 2" xfId="38426" xr:uid="{00000000-0005-0000-0000-000078960000}"/>
    <cellStyle name="Normal 64 2 2" xfId="38427" xr:uid="{00000000-0005-0000-0000-000079960000}"/>
    <cellStyle name="Normal 64 2 2 2" xfId="38428" xr:uid="{00000000-0005-0000-0000-00007A960000}"/>
    <cellStyle name="Normal 64 2 2 2 2" xfId="38429" xr:uid="{00000000-0005-0000-0000-00007B960000}"/>
    <cellStyle name="Normal 64 2 2 3" xfId="38430" xr:uid="{00000000-0005-0000-0000-00007C960000}"/>
    <cellStyle name="Normal 64 2 2 3 2" xfId="38431" xr:uid="{00000000-0005-0000-0000-00007D960000}"/>
    <cellStyle name="Normal 64 2 2 3 2 2" xfId="38432" xr:uid="{00000000-0005-0000-0000-00007E960000}"/>
    <cellStyle name="Normal 64 2 2 3 3" xfId="38433" xr:uid="{00000000-0005-0000-0000-00007F960000}"/>
    <cellStyle name="Normal 64 2 2 4" xfId="38434" xr:uid="{00000000-0005-0000-0000-000080960000}"/>
    <cellStyle name="Normal 64 2 2 4 2" xfId="38435" xr:uid="{00000000-0005-0000-0000-000081960000}"/>
    <cellStyle name="Normal 64 2 2 4 2 2" xfId="38436" xr:uid="{00000000-0005-0000-0000-000082960000}"/>
    <cellStyle name="Normal 64 2 2 4 3" xfId="38437" xr:uid="{00000000-0005-0000-0000-000083960000}"/>
    <cellStyle name="Normal 64 2 2 5" xfId="38438" xr:uid="{00000000-0005-0000-0000-000084960000}"/>
    <cellStyle name="Normal 64 2 3" xfId="38439" xr:uid="{00000000-0005-0000-0000-000085960000}"/>
    <cellStyle name="Normal 64 2 3 2" xfId="38440" xr:uid="{00000000-0005-0000-0000-000086960000}"/>
    <cellStyle name="Normal 64 2 3 2 2" xfId="38441" xr:uid="{00000000-0005-0000-0000-000087960000}"/>
    <cellStyle name="Normal 64 2 3 3" xfId="38442" xr:uid="{00000000-0005-0000-0000-000088960000}"/>
    <cellStyle name="Normal 64 2 4" xfId="38443" xr:uid="{00000000-0005-0000-0000-000089960000}"/>
    <cellStyle name="Normal 64 2 4 2" xfId="38444" xr:uid="{00000000-0005-0000-0000-00008A960000}"/>
    <cellStyle name="Normal 64 2 4 2 2" xfId="38445" xr:uid="{00000000-0005-0000-0000-00008B960000}"/>
    <cellStyle name="Normal 64 2 4 3" xfId="38446" xr:uid="{00000000-0005-0000-0000-00008C960000}"/>
    <cellStyle name="Normal 64 2 5" xfId="38447" xr:uid="{00000000-0005-0000-0000-00008D960000}"/>
    <cellStyle name="Normal 64 2 5 2" xfId="38448" xr:uid="{00000000-0005-0000-0000-00008E960000}"/>
    <cellStyle name="Normal 64 2 5 2 2" xfId="38449" xr:uid="{00000000-0005-0000-0000-00008F960000}"/>
    <cellStyle name="Normal 64 2 5 3" xfId="38450" xr:uid="{00000000-0005-0000-0000-000090960000}"/>
    <cellStyle name="Normal 64 2 6" xfId="38451" xr:uid="{00000000-0005-0000-0000-000091960000}"/>
    <cellStyle name="Normal 64 3" xfId="38452" xr:uid="{00000000-0005-0000-0000-000092960000}"/>
    <cellStyle name="Normal 64 3 2" xfId="38453" xr:uid="{00000000-0005-0000-0000-000093960000}"/>
    <cellStyle name="Normal 64 3 2 2" xfId="38454" xr:uid="{00000000-0005-0000-0000-000094960000}"/>
    <cellStyle name="Normal 64 3 3" xfId="38455" xr:uid="{00000000-0005-0000-0000-000095960000}"/>
    <cellStyle name="Normal 64 3 3 2" xfId="38456" xr:uid="{00000000-0005-0000-0000-000096960000}"/>
    <cellStyle name="Normal 64 3 3 2 2" xfId="38457" xr:uid="{00000000-0005-0000-0000-000097960000}"/>
    <cellStyle name="Normal 64 3 3 3" xfId="38458" xr:uid="{00000000-0005-0000-0000-000098960000}"/>
    <cellStyle name="Normal 64 3 4" xfId="38459" xr:uid="{00000000-0005-0000-0000-000099960000}"/>
    <cellStyle name="Normal 64 3 4 2" xfId="38460" xr:uid="{00000000-0005-0000-0000-00009A960000}"/>
    <cellStyle name="Normal 64 3 4 2 2" xfId="38461" xr:uid="{00000000-0005-0000-0000-00009B960000}"/>
    <cellStyle name="Normal 64 3 4 3" xfId="38462" xr:uid="{00000000-0005-0000-0000-00009C960000}"/>
    <cellStyle name="Normal 64 3 5" xfId="38463" xr:uid="{00000000-0005-0000-0000-00009D960000}"/>
    <cellStyle name="Normal 64 4" xfId="38464" xr:uid="{00000000-0005-0000-0000-00009E960000}"/>
    <cellStyle name="Normal 64 4 2" xfId="38465" xr:uid="{00000000-0005-0000-0000-00009F960000}"/>
    <cellStyle name="Normal 64 4 2 2" xfId="38466" xr:uid="{00000000-0005-0000-0000-0000A0960000}"/>
    <cellStyle name="Normal 64 4 3" xfId="38467" xr:uid="{00000000-0005-0000-0000-0000A1960000}"/>
    <cellStyle name="Normal 64 5" xfId="38468" xr:uid="{00000000-0005-0000-0000-0000A2960000}"/>
    <cellStyle name="Normal 64 5 2" xfId="38469" xr:uid="{00000000-0005-0000-0000-0000A3960000}"/>
    <cellStyle name="Normal 64 5 2 2" xfId="38470" xr:uid="{00000000-0005-0000-0000-0000A4960000}"/>
    <cellStyle name="Normal 64 5 3" xfId="38471" xr:uid="{00000000-0005-0000-0000-0000A5960000}"/>
    <cellStyle name="Normal 64 6" xfId="38472" xr:uid="{00000000-0005-0000-0000-0000A6960000}"/>
    <cellStyle name="Normal 64 6 2" xfId="38473" xr:uid="{00000000-0005-0000-0000-0000A7960000}"/>
    <cellStyle name="Normal 64 6 2 2" xfId="38474" xr:uid="{00000000-0005-0000-0000-0000A8960000}"/>
    <cellStyle name="Normal 64 6 3" xfId="38475" xr:uid="{00000000-0005-0000-0000-0000A9960000}"/>
    <cellStyle name="Normal 64 7" xfId="38476" xr:uid="{00000000-0005-0000-0000-0000AA960000}"/>
    <cellStyle name="Normal 640" xfId="38477" xr:uid="{00000000-0005-0000-0000-0000AB960000}"/>
    <cellStyle name="Normal 641" xfId="38478" xr:uid="{00000000-0005-0000-0000-0000AC960000}"/>
    <cellStyle name="Normal 642" xfId="38479" xr:uid="{00000000-0005-0000-0000-0000AD960000}"/>
    <cellStyle name="Normal 643" xfId="38480" xr:uid="{00000000-0005-0000-0000-0000AE960000}"/>
    <cellStyle name="Normal 644" xfId="38481" xr:uid="{00000000-0005-0000-0000-0000AF960000}"/>
    <cellStyle name="Normal 645" xfId="38482" xr:uid="{00000000-0005-0000-0000-0000B0960000}"/>
    <cellStyle name="Normal 646" xfId="38483" xr:uid="{00000000-0005-0000-0000-0000B1960000}"/>
    <cellStyle name="Normal 647" xfId="38484" xr:uid="{00000000-0005-0000-0000-0000B2960000}"/>
    <cellStyle name="Normal 648" xfId="38485" xr:uid="{00000000-0005-0000-0000-0000B3960000}"/>
    <cellStyle name="Normal 649" xfId="38486" xr:uid="{00000000-0005-0000-0000-0000B4960000}"/>
    <cellStyle name="Normal 65" xfId="38487" xr:uid="{00000000-0005-0000-0000-0000B5960000}"/>
    <cellStyle name="Normal 65 2" xfId="38488" xr:uid="{00000000-0005-0000-0000-0000B6960000}"/>
    <cellStyle name="Normal 65 2 2" xfId="38489" xr:uid="{00000000-0005-0000-0000-0000B7960000}"/>
    <cellStyle name="Normal 65 2 2 2" xfId="38490" xr:uid="{00000000-0005-0000-0000-0000B8960000}"/>
    <cellStyle name="Normal 65 2 2 2 2" xfId="38491" xr:uid="{00000000-0005-0000-0000-0000B9960000}"/>
    <cellStyle name="Normal 65 2 2 3" xfId="38492" xr:uid="{00000000-0005-0000-0000-0000BA960000}"/>
    <cellStyle name="Normal 65 2 2 3 2" xfId="38493" xr:uid="{00000000-0005-0000-0000-0000BB960000}"/>
    <cellStyle name="Normal 65 2 2 3 2 2" xfId="38494" xr:uid="{00000000-0005-0000-0000-0000BC960000}"/>
    <cellStyle name="Normal 65 2 2 3 3" xfId="38495" xr:uid="{00000000-0005-0000-0000-0000BD960000}"/>
    <cellStyle name="Normal 65 2 2 4" xfId="38496" xr:uid="{00000000-0005-0000-0000-0000BE960000}"/>
    <cellStyle name="Normal 65 2 2 4 2" xfId="38497" xr:uid="{00000000-0005-0000-0000-0000BF960000}"/>
    <cellStyle name="Normal 65 2 2 4 2 2" xfId="38498" xr:uid="{00000000-0005-0000-0000-0000C0960000}"/>
    <cellStyle name="Normal 65 2 2 4 3" xfId="38499" xr:uid="{00000000-0005-0000-0000-0000C1960000}"/>
    <cellStyle name="Normal 65 2 2 5" xfId="38500" xr:uid="{00000000-0005-0000-0000-0000C2960000}"/>
    <cellStyle name="Normal 65 2 3" xfId="38501" xr:uid="{00000000-0005-0000-0000-0000C3960000}"/>
    <cellStyle name="Normal 65 2 3 2" xfId="38502" xr:uid="{00000000-0005-0000-0000-0000C4960000}"/>
    <cellStyle name="Normal 65 2 3 2 2" xfId="38503" xr:uid="{00000000-0005-0000-0000-0000C5960000}"/>
    <cellStyle name="Normal 65 2 3 3" xfId="38504" xr:uid="{00000000-0005-0000-0000-0000C6960000}"/>
    <cellStyle name="Normal 65 2 4" xfId="38505" xr:uid="{00000000-0005-0000-0000-0000C7960000}"/>
    <cellStyle name="Normal 65 2 4 2" xfId="38506" xr:uid="{00000000-0005-0000-0000-0000C8960000}"/>
    <cellStyle name="Normal 65 2 4 2 2" xfId="38507" xr:uid="{00000000-0005-0000-0000-0000C9960000}"/>
    <cellStyle name="Normal 65 2 4 3" xfId="38508" xr:uid="{00000000-0005-0000-0000-0000CA960000}"/>
    <cellStyle name="Normal 65 2 5" xfId="38509" xr:uid="{00000000-0005-0000-0000-0000CB960000}"/>
    <cellStyle name="Normal 65 2 5 2" xfId="38510" xr:uid="{00000000-0005-0000-0000-0000CC960000}"/>
    <cellStyle name="Normal 65 2 5 2 2" xfId="38511" xr:uid="{00000000-0005-0000-0000-0000CD960000}"/>
    <cellStyle name="Normal 65 2 5 3" xfId="38512" xr:uid="{00000000-0005-0000-0000-0000CE960000}"/>
    <cellStyle name="Normal 65 2 6" xfId="38513" xr:uid="{00000000-0005-0000-0000-0000CF960000}"/>
    <cellStyle name="Normal 65 3" xfId="38514" xr:uid="{00000000-0005-0000-0000-0000D0960000}"/>
    <cellStyle name="Normal 65 3 2" xfId="38515" xr:uid="{00000000-0005-0000-0000-0000D1960000}"/>
    <cellStyle name="Normal 65 3 2 2" xfId="38516" xr:uid="{00000000-0005-0000-0000-0000D2960000}"/>
    <cellStyle name="Normal 65 3 3" xfId="38517" xr:uid="{00000000-0005-0000-0000-0000D3960000}"/>
    <cellStyle name="Normal 65 3 3 2" xfId="38518" xr:uid="{00000000-0005-0000-0000-0000D4960000}"/>
    <cellStyle name="Normal 65 3 3 2 2" xfId="38519" xr:uid="{00000000-0005-0000-0000-0000D5960000}"/>
    <cellStyle name="Normal 65 3 3 3" xfId="38520" xr:uid="{00000000-0005-0000-0000-0000D6960000}"/>
    <cellStyle name="Normal 65 3 4" xfId="38521" xr:uid="{00000000-0005-0000-0000-0000D7960000}"/>
    <cellStyle name="Normal 65 3 4 2" xfId="38522" xr:uid="{00000000-0005-0000-0000-0000D8960000}"/>
    <cellStyle name="Normal 65 3 4 2 2" xfId="38523" xr:uid="{00000000-0005-0000-0000-0000D9960000}"/>
    <cellStyle name="Normal 65 3 4 3" xfId="38524" xr:uid="{00000000-0005-0000-0000-0000DA960000}"/>
    <cellStyle name="Normal 65 3 5" xfId="38525" xr:uid="{00000000-0005-0000-0000-0000DB960000}"/>
    <cellStyle name="Normal 65 4" xfId="38526" xr:uid="{00000000-0005-0000-0000-0000DC960000}"/>
    <cellStyle name="Normal 65 4 2" xfId="38527" xr:uid="{00000000-0005-0000-0000-0000DD960000}"/>
    <cellStyle name="Normal 65 4 2 2" xfId="38528" xr:uid="{00000000-0005-0000-0000-0000DE960000}"/>
    <cellStyle name="Normal 65 4 3" xfId="38529" xr:uid="{00000000-0005-0000-0000-0000DF960000}"/>
    <cellStyle name="Normal 65 5" xfId="38530" xr:uid="{00000000-0005-0000-0000-0000E0960000}"/>
    <cellStyle name="Normal 65 5 2" xfId="38531" xr:uid="{00000000-0005-0000-0000-0000E1960000}"/>
    <cellStyle name="Normal 65 5 2 2" xfId="38532" xr:uid="{00000000-0005-0000-0000-0000E2960000}"/>
    <cellStyle name="Normal 65 5 3" xfId="38533" xr:uid="{00000000-0005-0000-0000-0000E3960000}"/>
    <cellStyle name="Normal 65 6" xfId="38534" xr:uid="{00000000-0005-0000-0000-0000E4960000}"/>
    <cellStyle name="Normal 65 6 2" xfId="38535" xr:uid="{00000000-0005-0000-0000-0000E5960000}"/>
    <cellStyle name="Normal 65 6 2 2" xfId="38536" xr:uid="{00000000-0005-0000-0000-0000E6960000}"/>
    <cellStyle name="Normal 65 6 3" xfId="38537" xr:uid="{00000000-0005-0000-0000-0000E7960000}"/>
    <cellStyle name="Normal 65 7" xfId="38538" xr:uid="{00000000-0005-0000-0000-0000E8960000}"/>
    <cellStyle name="Normal 650" xfId="38539" xr:uid="{00000000-0005-0000-0000-0000E9960000}"/>
    <cellStyle name="Normal 651" xfId="38540" xr:uid="{00000000-0005-0000-0000-0000EA960000}"/>
    <cellStyle name="Normal 652" xfId="38541" xr:uid="{00000000-0005-0000-0000-0000EB960000}"/>
    <cellStyle name="Normal 653" xfId="38542" xr:uid="{00000000-0005-0000-0000-0000EC960000}"/>
    <cellStyle name="Normal 654" xfId="38543" xr:uid="{00000000-0005-0000-0000-0000ED960000}"/>
    <cellStyle name="Normal 655" xfId="38544" xr:uid="{00000000-0005-0000-0000-0000EE960000}"/>
    <cellStyle name="Normal 656" xfId="38545" xr:uid="{00000000-0005-0000-0000-0000EF960000}"/>
    <cellStyle name="Normal 657" xfId="38546" xr:uid="{00000000-0005-0000-0000-0000F0960000}"/>
    <cellStyle name="Normal 658" xfId="38547" xr:uid="{00000000-0005-0000-0000-0000F1960000}"/>
    <cellStyle name="Normal 659" xfId="38548" xr:uid="{00000000-0005-0000-0000-0000F2960000}"/>
    <cellStyle name="Normal 66" xfId="38549" xr:uid="{00000000-0005-0000-0000-0000F3960000}"/>
    <cellStyle name="Normal 66 2" xfId="38550" xr:uid="{00000000-0005-0000-0000-0000F4960000}"/>
    <cellStyle name="Normal 66 2 2" xfId="38551" xr:uid="{00000000-0005-0000-0000-0000F5960000}"/>
    <cellStyle name="Normal 66 2 2 2" xfId="38552" xr:uid="{00000000-0005-0000-0000-0000F6960000}"/>
    <cellStyle name="Normal 66 2 2 2 2" xfId="38553" xr:uid="{00000000-0005-0000-0000-0000F7960000}"/>
    <cellStyle name="Normal 66 2 2 3" xfId="38554" xr:uid="{00000000-0005-0000-0000-0000F8960000}"/>
    <cellStyle name="Normal 66 2 2 3 2" xfId="38555" xr:uid="{00000000-0005-0000-0000-0000F9960000}"/>
    <cellStyle name="Normal 66 2 2 3 2 2" xfId="38556" xr:uid="{00000000-0005-0000-0000-0000FA960000}"/>
    <cellStyle name="Normal 66 2 2 3 3" xfId="38557" xr:uid="{00000000-0005-0000-0000-0000FB960000}"/>
    <cellStyle name="Normal 66 2 2 4" xfId="38558" xr:uid="{00000000-0005-0000-0000-0000FC960000}"/>
    <cellStyle name="Normal 66 2 2 4 2" xfId="38559" xr:uid="{00000000-0005-0000-0000-0000FD960000}"/>
    <cellStyle name="Normal 66 2 2 4 2 2" xfId="38560" xr:uid="{00000000-0005-0000-0000-0000FE960000}"/>
    <cellStyle name="Normal 66 2 2 4 3" xfId="38561" xr:uid="{00000000-0005-0000-0000-0000FF960000}"/>
    <cellStyle name="Normal 66 2 2 5" xfId="38562" xr:uid="{00000000-0005-0000-0000-000000970000}"/>
    <cellStyle name="Normal 66 2 3" xfId="38563" xr:uid="{00000000-0005-0000-0000-000001970000}"/>
    <cellStyle name="Normal 66 2 3 2" xfId="38564" xr:uid="{00000000-0005-0000-0000-000002970000}"/>
    <cellStyle name="Normal 66 2 3 2 2" xfId="38565" xr:uid="{00000000-0005-0000-0000-000003970000}"/>
    <cellStyle name="Normal 66 2 3 3" xfId="38566" xr:uid="{00000000-0005-0000-0000-000004970000}"/>
    <cellStyle name="Normal 66 2 4" xfId="38567" xr:uid="{00000000-0005-0000-0000-000005970000}"/>
    <cellStyle name="Normal 66 2 4 2" xfId="38568" xr:uid="{00000000-0005-0000-0000-000006970000}"/>
    <cellStyle name="Normal 66 2 4 2 2" xfId="38569" xr:uid="{00000000-0005-0000-0000-000007970000}"/>
    <cellStyle name="Normal 66 2 4 3" xfId="38570" xr:uid="{00000000-0005-0000-0000-000008970000}"/>
    <cellStyle name="Normal 66 2 5" xfId="38571" xr:uid="{00000000-0005-0000-0000-000009970000}"/>
    <cellStyle name="Normal 66 2 5 2" xfId="38572" xr:uid="{00000000-0005-0000-0000-00000A970000}"/>
    <cellStyle name="Normal 66 2 5 2 2" xfId="38573" xr:uid="{00000000-0005-0000-0000-00000B970000}"/>
    <cellStyle name="Normal 66 2 5 3" xfId="38574" xr:uid="{00000000-0005-0000-0000-00000C970000}"/>
    <cellStyle name="Normal 66 2 6" xfId="38575" xr:uid="{00000000-0005-0000-0000-00000D970000}"/>
    <cellStyle name="Normal 66 3" xfId="38576" xr:uid="{00000000-0005-0000-0000-00000E970000}"/>
    <cellStyle name="Normal 66 3 2" xfId="38577" xr:uid="{00000000-0005-0000-0000-00000F970000}"/>
    <cellStyle name="Normal 66 3 2 2" xfId="38578" xr:uid="{00000000-0005-0000-0000-000010970000}"/>
    <cellStyle name="Normal 66 3 3" xfId="38579" xr:uid="{00000000-0005-0000-0000-000011970000}"/>
    <cellStyle name="Normal 66 3 3 2" xfId="38580" xr:uid="{00000000-0005-0000-0000-000012970000}"/>
    <cellStyle name="Normal 66 3 3 2 2" xfId="38581" xr:uid="{00000000-0005-0000-0000-000013970000}"/>
    <cellStyle name="Normal 66 3 3 3" xfId="38582" xr:uid="{00000000-0005-0000-0000-000014970000}"/>
    <cellStyle name="Normal 66 3 4" xfId="38583" xr:uid="{00000000-0005-0000-0000-000015970000}"/>
    <cellStyle name="Normal 66 3 4 2" xfId="38584" xr:uid="{00000000-0005-0000-0000-000016970000}"/>
    <cellStyle name="Normal 66 3 4 2 2" xfId="38585" xr:uid="{00000000-0005-0000-0000-000017970000}"/>
    <cellStyle name="Normal 66 3 4 3" xfId="38586" xr:uid="{00000000-0005-0000-0000-000018970000}"/>
    <cellStyle name="Normal 66 3 5" xfId="38587" xr:uid="{00000000-0005-0000-0000-000019970000}"/>
    <cellStyle name="Normal 66 4" xfId="38588" xr:uid="{00000000-0005-0000-0000-00001A970000}"/>
    <cellStyle name="Normal 66 4 2" xfId="38589" xr:uid="{00000000-0005-0000-0000-00001B970000}"/>
    <cellStyle name="Normal 66 4 2 2" xfId="38590" xr:uid="{00000000-0005-0000-0000-00001C970000}"/>
    <cellStyle name="Normal 66 4 3" xfId="38591" xr:uid="{00000000-0005-0000-0000-00001D970000}"/>
    <cellStyle name="Normal 66 5" xfId="38592" xr:uid="{00000000-0005-0000-0000-00001E970000}"/>
    <cellStyle name="Normal 66 5 2" xfId="38593" xr:uid="{00000000-0005-0000-0000-00001F970000}"/>
    <cellStyle name="Normal 66 5 2 2" xfId="38594" xr:uid="{00000000-0005-0000-0000-000020970000}"/>
    <cellStyle name="Normal 66 5 3" xfId="38595" xr:uid="{00000000-0005-0000-0000-000021970000}"/>
    <cellStyle name="Normal 66 6" xfId="38596" xr:uid="{00000000-0005-0000-0000-000022970000}"/>
    <cellStyle name="Normal 66 6 2" xfId="38597" xr:uid="{00000000-0005-0000-0000-000023970000}"/>
    <cellStyle name="Normal 66 6 2 2" xfId="38598" xr:uid="{00000000-0005-0000-0000-000024970000}"/>
    <cellStyle name="Normal 66 6 3" xfId="38599" xr:uid="{00000000-0005-0000-0000-000025970000}"/>
    <cellStyle name="Normal 66 7" xfId="38600" xr:uid="{00000000-0005-0000-0000-000026970000}"/>
    <cellStyle name="Normal 660" xfId="38601" xr:uid="{00000000-0005-0000-0000-000027970000}"/>
    <cellStyle name="Normal 661" xfId="38602" xr:uid="{00000000-0005-0000-0000-000028970000}"/>
    <cellStyle name="Normal 662" xfId="38603" xr:uid="{00000000-0005-0000-0000-000029970000}"/>
    <cellStyle name="Normal 663" xfId="38604" xr:uid="{00000000-0005-0000-0000-00002A970000}"/>
    <cellStyle name="Normal 664" xfId="38605" xr:uid="{00000000-0005-0000-0000-00002B970000}"/>
    <cellStyle name="Normal 665" xfId="38606" xr:uid="{00000000-0005-0000-0000-00002C970000}"/>
    <cellStyle name="Normal 666" xfId="38607" xr:uid="{00000000-0005-0000-0000-00002D970000}"/>
    <cellStyle name="Normal 667" xfId="38608" xr:uid="{00000000-0005-0000-0000-00002E970000}"/>
    <cellStyle name="Normal 668" xfId="38609" xr:uid="{00000000-0005-0000-0000-00002F970000}"/>
    <cellStyle name="Normal 669" xfId="38610" xr:uid="{00000000-0005-0000-0000-000030970000}"/>
    <cellStyle name="Normal 67" xfId="38611" xr:uid="{00000000-0005-0000-0000-000031970000}"/>
    <cellStyle name="Normal 67 2" xfId="38612" xr:uid="{00000000-0005-0000-0000-000032970000}"/>
    <cellStyle name="Normal 67 2 2" xfId="38613" xr:uid="{00000000-0005-0000-0000-000033970000}"/>
    <cellStyle name="Normal 67 2 2 2" xfId="38614" xr:uid="{00000000-0005-0000-0000-000034970000}"/>
    <cellStyle name="Normal 67 2 2 2 2" xfId="38615" xr:uid="{00000000-0005-0000-0000-000035970000}"/>
    <cellStyle name="Normal 67 2 2 3" xfId="38616" xr:uid="{00000000-0005-0000-0000-000036970000}"/>
    <cellStyle name="Normal 67 2 2 3 2" xfId="38617" xr:uid="{00000000-0005-0000-0000-000037970000}"/>
    <cellStyle name="Normal 67 2 2 3 2 2" xfId="38618" xr:uid="{00000000-0005-0000-0000-000038970000}"/>
    <cellStyle name="Normal 67 2 2 3 3" xfId="38619" xr:uid="{00000000-0005-0000-0000-000039970000}"/>
    <cellStyle name="Normal 67 2 2 4" xfId="38620" xr:uid="{00000000-0005-0000-0000-00003A970000}"/>
    <cellStyle name="Normal 67 2 2 4 2" xfId="38621" xr:uid="{00000000-0005-0000-0000-00003B970000}"/>
    <cellStyle name="Normal 67 2 2 4 2 2" xfId="38622" xr:uid="{00000000-0005-0000-0000-00003C970000}"/>
    <cellStyle name="Normal 67 2 2 4 3" xfId="38623" xr:uid="{00000000-0005-0000-0000-00003D970000}"/>
    <cellStyle name="Normal 67 2 2 5" xfId="38624" xr:uid="{00000000-0005-0000-0000-00003E970000}"/>
    <cellStyle name="Normal 67 2 3" xfId="38625" xr:uid="{00000000-0005-0000-0000-00003F970000}"/>
    <cellStyle name="Normal 67 2 3 2" xfId="38626" xr:uid="{00000000-0005-0000-0000-000040970000}"/>
    <cellStyle name="Normal 67 2 3 2 2" xfId="38627" xr:uid="{00000000-0005-0000-0000-000041970000}"/>
    <cellStyle name="Normal 67 2 3 3" xfId="38628" xr:uid="{00000000-0005-0000-0000-000042970000}"/>
    <cellStyle name="Normal 67 2 4" xfId="38629" xr:uid="{00000000-0005-0000-0000-000043970000}"/>
    <cellStyle name="Normal 67 2 4 2" xfId="38630" xr:uid="{00000000-0005-0000-0000-000044970000}"/>
    <cellStyle name="Normal 67 2 4 2 2" xfId="38631" xr:uid="{00000000-0005-0000-0000-000045970000}"/>
    <cellStyle name="Normal 67 2 4 3" xfId="38632" xr:uid="{00000000-0005-0000-0000-000046970000}"/>
    <cellStyle name="Normal 67 2 5" xfId="38633" xr:uid="{00000000-0005-0000-0000-000047970000}"/>
    <cellStyle name="Normal 67 2 5 2" xfId="38634" xr:uid="{00000000-0005-0000-0000-000048970000}"/>
    <cellStyle name="Normal 67 2 5 2 2" xfId="38635" xr:uid="{00000000-0005-0000-0000-000049970000}"/>
    <cellStyle name="Normal 67 2 5 3" xfId="38636" xr:uid="{00000000-0005-0000-0000-00004A970000}"/>
    <cellStyle name="Normal 67 2 6" xfId="38637" xr:uid="{00000000-0005-0000-0000-00004B970000}"/>
    <cellStyle name="Normal 67 3" xfId="38638" xr:uid="{00000000-0005-0000-0000-00004C970000}"/>
    <cellStyle name="Normal 67 3 2" xfId="38639" xr:uid="{00000000-0005-0000-0000-00004D970000}"/>
    <cellStyle name="Normal 67 3 2 2" xfId="38640" xr:uid="{00000000-0005-0000-0000-00004E970000}"/>
    <cellStyle name="Normal 67 3 3" xfId="38641" xr:uid="{00000000-0005-0000-0000-00004F970000}"/>
    <cellStyle name="Normal 67 3 3 2" xfId="38642" xr:uid="{00000000-0005-0000-0000-000050970000}"/>
    <cellStyle name="Normal 67 3 3 2 2" xfId="38643" xr:uid="{00000000-0005-0000-0000-000051970000}"/>
    <cellStyle name="Normal 67 3 3 3" xfId="38644" xr:uid="{00000000-0005-0000-0000-000052970000}"/>
    <cellStyle name="Normal 67 3 4" xfId="38645" xr:uid="{00000000-0005-0000-0000-000053970000}"/>
    <cellStyle name="Normal 67 3 4 2" xfId="38646" xr:uid="{00000000-0005-0000-0000-000054970000}"/>
    <cellStyle name="Normal 67 3 4 2 2" xfId="38647" xr:uid="{00000000-0005-0000-0000-000055970000}"/>
    <cellStyle name="Normal 67 3 4 3" xfId="38648" xr:uid="{00000000-0005-0000-0000-000056970000}"/>
    <cellStyle name="Normal 67 3 5" xfId="38649" xr:uid="{00000000-0005-0000-0000-000057970000}"/>
    <cellStyle name="Normal 67 4" xfId="38650" xr:uid="{00000000-0005-0000-0000-000058970000}"/>
    <cellStyle name="Normal 67 4 2" xfId="38651" xr:uid="{00000000-0005-0000-0000-000059970000}"/>
    <cellStyle name="Normal 67 4 2 2" xfId="38652" xr:uid="{00000000-0005-0000-0000-00005A970000}"/>
    <cellStyle name="Normal 67 4 3" xfId="38653" xr:uid="{00000000-0005-0000-0000-00005B970000}"/>
    <cellStyle name="Normal 67 5" xfId="38654" xr:uid="{00000000-0005-0000-0000-00005C970000}"/>
    <cellStyle name="Normal 67 5 2" xfId="38655" xr:uid="{00000000-0005-0000-0000-00005D970000}"/>
    <cellStyle name="Normal 67 5 2 2" xfId="38656" xr:uid="{00000000-0005-0000-0000-00005E970000}"/>
    <cellStyle name="Normal 67 5 3" xfId="38657" xr:uid="{00000000-0005-0000-0000-00005F970000}"/>
    <cellStyle name="Normal 67 6" xfId="38658" xr:uid="{00000000-0005-0000-0000-000060970000}"/>
    <cellStyle name="Normal 67 6 2" xfId="38659" xr:uid="{00000000-0005-0000-0000-000061970000}"/>
    <cellStyle name="Normal 67 6 2 2" xfId="38660" xr:uid="{00000000-0005-0000-0000-000062970000}"/>
    <cellStyle name="Normal 67 6 3" xfId="38661" xr:uid="{00000000-0005-0000-0000-000063970000}"/>
    <cellStyle name="Normal 67 7" xfId="38662" xr:uid="{00000000-0005-0000-0000-000064970000}"/>
    <cellStyle name="Normal 670" xfId="38663" xr:uid="{00000000-0005-0000-0000-000065970000}"/>
    <cellStyle name="Normal 671" xfId="38664" xr:uid="{00000000-0005-0000-0000-000066970000}"/>
    <cellStyle name="Normal 672" xfId="38665" xr:uid="{00000000-0005-0000-0000-000067970000}"/>
    <cellStyle name="Normal 673" xfId="38666" xr:uid="{00000000-0005-0000-0000-000068970000}"/>
    <cellStyle name="Normal 674" xfId="38667" xr:uid="{00000000-0005-0000-0000-000069970000}"/>
    <cellStyle name="Normal 675" xfId="38668" xr:uid="{00000000-0005-0000-0000-00006A970000}"/>
    <cellStyle name="Normal 676" xfId="38669" xr:uid="{00000000-0005-0000-0000-00006B970000}"/>
    <cellStyle name="Normal 677" xfId="38670" xr:uid="{00000000-0005-0000-0000-00006C970000}"/>
    <cellStyle name="Normal 678" xfId="38671" xr:uid="{00000000-0005-0000-0000-00006D970000}"/>
    <cellStyle name="Normal 679" xfId="38672" xr:uid="{00000000-0005-0000-0000-00006E970000}"/>
    <cellStyle name="Normal 68" xfId="38673" xr:uid="{00000000-0005-0000-0000-00006F970000}"/>
    <cellStyle name="Normal 68 2" xfId="38674" xr:uid="{00000000-0005-0000-0000-000070970000}"/>
    <cellStyle name="Normal 68 2 2" xfId="38675" xr:uid="{00000000-0005-0000-0000-000071970000}"/>
    <cellStyle name="Normal 68 2 2 2" xfId="38676" xr:uid="{00000000-0005-0000-0000-000072970000}"/>
    <cellStyle name="Normal 68 2 2 2 2" xfId="38677" xr:uid="{00000000-0005-0000-0000-000073970000}"/>
    <cellStyle name="Normal 68 2 2 3" xfId="38678" xr:uid="{00000000-0005-0000-0000-000074970000}"/>
    <cellStyle name="Normal 68 2 2 3 2" xfId="38679" xr:uid="{00000000-0005-0000-0000-000075970000}"/>
    <cellStyle name="Normal 68 2 2 3 2 2" xfId="38680" xr:uid="{00000000-0005-0000-0000-000076970000}"/>
    <cellStyle name="Normal 68 2 2 3 3" xfId="38681" xr:uid="{00000000-0005-0000-0000-000077970000}"/>
    <cellStyle name="Normal 68 2 2 4" xfId="38682" xr:uid="{00000000-0005-0000-0000-000078970000}"/>
    <cellStyle name="Normal 68 2 2 4 2" xfId="38683" xr:uid="{00000000-0005-0000-0000-000079970000}"/>
    <cellStyle name="Normal 68 2 2 4 2 2" xfId="38684" xr:uid="{00000000-0005-0000-0000-00007A970000}"/>
    <cellStyle name="Normal 68 2 2 4 3" xfId="38685" xr:uid="{00000000-0005-0000-0000-00007B970000}"/>
    <cellStyle name="Normal 68 2 2 5" xfId="38686" xr:uid="{00000000-0005-0000-0000-00007C970000}"/>
    <cellStyle name="Normal 68 2 3" xfId="38687" xr:uid="{00000000-0005-0000-0000-00007D970000}"/>
    <cellStyle name="Normal 68 2 3 2" xfId="38688" xr:uid="{00000000-0005-0000-0000-00007E970000}"/>
    <cellStyle name="Normal 68 2 3 2 2" xfId="38689" xr:uid="{00000000-0005-0000-0000-00007F970000}"/>
    <cellStyle name="Normal 68 2 3 3" xfId="38690" xr:uid="{00000000-0005-0000-0000-000080970000}"/>
    <cellStyle name="Normal 68 2 4" xfId="38691" xr:uid="{00000000-0005-0000-0000-000081970000}"/>
    <cellStyle name="Normal 68 2 4 2" xfId="38692" xr:uid="{00000000-0005-0000-0000-000082970000}"/>
    <cellStyle name="Normal 68 2 4 2 2" xfId="38693" xr:uid="{00000000-0005-0000-0000-000083970000}"/>
    <cellStyle name="Normal 68 2 4 3" xfId="38694" xr:uid="{00000000-0005-0000-0000-000084970000}"/>
    <cellStyle name="Normal 68 2 5" xfId="38695" xr:uid="{00000000-0005-0000-0000-000085970000}"/>
    <cellStyle name="Normal 68 2 5 2" xfId="38696" xr:uid="{00000000-0005-0000-0000-000086970000}"/>
    <cellStyle name="Normal 68 2 5 2 2" xfId="38697" xr:uid="{00000000-0005-0000-0000-000087970000}"/>
    <cellStyle name="Normal 68 2 5 3" xfId="38698" xr:uid="{00000000-0005-0000-0000-000088970000}"/>
    <cellStyle name="Normal 68 2 6" xfId="38699" xr:uid="{00000000-0005-0000-0000-000089970000}"/>
    <cellStyle name="Normal 68 3" xfId="38700" xr:uid="{00000000-0005-0000-0000-00008A970000}"/>
    <cellStyle name="Normal 68 3 2" xfId="38701" xr:uid="{00000000-0005-0000-0000-00008B970000}"/>
    <cellStyle name="Normal 68 3 2 2" xfId="38702" xr:uid="{00000000-0005-0000-0000-00008C970000}"/>
    <cellStyle name="Normal 68 3 3" xfId="38703" xr:uid="{00000000-0005-0000-0000-00008D970000}"/>
    <cellStyle name="Normal 68 3 3 2" xfId="38704" xr:uid="{00000000-0005-0000-0000-00008E970000}"/>
    <cellStyle name="Normal 68 3 3 2 2" xfId="38705" xr:uid="{00000000-0005-0000-0000-00008F970000}"/>
    <cellStyle name="Normal 68 3 3 3" xfId="38706" xr:uid="{00000000-0005-0000-0000-000090970000}"/>
    <cellStyle name="Normal 68 3 4" xfId="38707" xr:uid="{00000000-0005-0000-0000-000091970000}"/>
    <cellStyle name="Normal 68 3 4 2" xfId="38708" xr:uid="{00000000-0005-0000-0000-000092970000}"/>
    <cellStyle name="Normal 68 3 4 2 2" xfId="38709" xr:uid="{00000000-0005-0000-0000-000093970000}"/>
    <cellStyle name="Normal 68 3 4 3" xfId="38710" xr:uid="{00000000-0005-0000-0000-000094970000}"/>
    <cellStyle name="Normal 68 3 5" xfId="38711" xr:uid="{00000000-0005-0000-0000-000095970000}"/>
    <cellStyle name="Normal 68 4" xfId="38712" xr:uid="{00000000-0005-0000-0000-000096970000}"/>
    <cellStyle name="Normal 68 4 2" xfId="38713" xr:uid="{00000000-0005-0000-0000-000097970000}"/>
    <cellStyle name="Normal 68 4 2 2" xfId="38714" xr:uid="{00000000-0005-0000-0000-000098970000}"/>
    <cellStyle name="Normal 68 4 3" xfId="38715" xr:uid="{00000000-0005-0000-0000-000099970000}"/>
    <cellStyle name="Normal 68 5" xfId="38716" xr:uid="{00000000-0005-0000-0000-00009A970000}"/>
    <cellStyle name="Normal 68 5 2" xfId="38717" xr:uid="{00000000-0005-0000-0000-00009B970000}"/>
    <cellStyle name="Normal 68 5 2 2" xfId="38718" xr:uid="{00000000-0005-0000-0000-00009C970000}"/>
    <cellStyle name="Normal 68 5 3" xfId="38719" xr:uid="{00000000-0005-0000-0000-00009D970000}"/>
    <cellStyle name="Normal 68 6" xfId="38720" xr:uid="{00000000-0005-0000-0000-00009E970000}"/>
    <cellStyle name="Normal 68 6 2" xfId="38721" xr:uid="{00000000-0005-0000-0000-00009F970000}"/>
    <cellStyle name="Normal 68 6 2 2" xfId="38722" xr:uid="{00000000-0005-0000-0000-0000A0970000}"/>
    <cellStyle name="Normal 68 6 3" xfId="38723" xr:uid="{00000000-0005-0000-0000-0000A1970000}"/>
    <cellStyle name="Normal 68 7" xfId="38724" xr:uid="{00000000-0005-0000-0000-0000A2970000}"/>
    <cellStyle name="Normal 680" xfId="38725" xr:uid="{00000000-0005-0000-0000-0000A3970000}"/>
    <cellStyle name="Normal 681" xfId="38726" xr:uid="{00000000-0005-0000-0000-0000A4970000}"/>
    <cellStyle name="Normal 682" xfId="38727" xr:uid="{00000000-0005-0000-0000-0000A5970000}"/>
    <cellStyle name="Normal 683" xfId="38728" xr:uid="{00000000-0005-0000-0000-0000A6970000}"/>
    <cellStyle name="Normal 684" xfId="38729" xr:uid="{00000000-0005-0000-0000-0000A7970000}"/>
    <cellStyle name="Normal 685" xfId="38730" xr:uid="{00000000-0005-0000-0000-0000A8970000}"/>
    <cellStyle name="Normal 686" xfId="38731" xr:uid="{00000000-0005-0000-0000-0000A9970000}"/>
    <cellStyle name="Normal 687" xfId="38732" xr:uid="{00000000-0005-0000-0000-0000AA970000}"/>
    <cellStyle name="Normal 688" xfId="38733" xr:uid="{00000000-0005-0000-0000-0000AB970000}"/>
    <cellStyle name="Normal 689" xfId="38734" xr:uid="{00000000-0005-0000-0000-0000AC970000}"/>
    <cellStyle name="Normal 69" xfId="38735" xr:uid="{00000000-0005-0000-0000-0000AD970000}"/>
    <cellStyle name="Normal 69 2" xfId="38736" xr:uid="{00000000-0005-0000-0000-0000AE970000}"/>
    <cellStyle name="Normal 69 2 2" xfId="38737" xr:uid="{00000000-0005-0000-0000-0000AF970000}"/>
    <cellStyle name="Normal 69 2 2 2" xfId="38738" xr:uid="{00000000-0005-0000-0000-0000B0970000}"/>
    <cellStyle name="Normal 69 2 3" xfId="38739" xr:uid="{00000000-0005-0000-0000-0000B1970000}"/>
    <cellStyle name="Normal 69 2 3 2" xfId="38740" xr:uid="{00000000-0005-0000-0000-0000B2970000}"/>
    <cellStyle name="Normal 69 2 3 2 2" xfId="38741" xr:uid="{00000000-0005-0000-0000-0000B3970000}"/>
    <cellStyle name="Normal 69 2 3 3" xfId="38742" xr:uid="{00000000-0005-0000-0000-0000B4970000}"/>
    <cellStyle name="Normal 69 2 4" xfId="38743" xr:uid="{00000000-0005-0000-0000-0000B5970000}"/>
    <cellStyle name="Normal 69 2 4 2" xfId="38744" xr:uid="{00000000-0005-0000-0000-0000B6970000}"/>
    <cellStyle name="Normal 69 2 4 2 2" xfId="38745" xr:uid="{00000000-0005-0000-0000-0000B7970000}"/>
    <cellStyle name="Normal 69 2 4 3" xfId="38746" xr:uid="{00000000-0005-0000-0000-0000B8970000}"/>
    <cellStyle name="Normal 69 2 5" xfId="38747" xr:uid="{00000000-0005-0000-0000-0000B9970000}"/>
    <cellStyle name="Normal 69 3" xfId="38748" xr:uid="{00000000-0005-0000-0000-0000BA970000}"/>
    <cellStyle name="Normal 69 3 2" xfId="38749" xr:uid="{00000000-0005-0000-0000-0000BB970000}"/>
    <cellStyle name="Normal 69 3 2 2" xfId="38750" xr:uid="{00000000-0005-0000-0000-0000BC970000}"/>
    <cellStyle name="Normal 69 3 2 2 2" xfId="38751" xr:uid="{00000000-0005-0000-0000-0000BD970000}"/>
    <cellStyle name="Normal 69 3 2 3" xfId="38752" xr:uid="{00000000-0005-0000-0000-0000BE970000}"/>
    <cellStyle name="Normal 69 3 2 3 2" xfId="38753" xr:uid="{00000000-0005-0000-0000-0000BF970000}"/>
    <cellStyle name="Normal 69 3 2 3 2 2" xfId="38754" xr:uid="{00000000-0005-0000-0000-0000C0970000}"/>
    <cellStyle name="Normal 69 3 2 3 3" xfId="38755" xr:uid="{00000000-0005-0000-0000-0000C1970000}"/>
    <cellStyle name="Normal 69 3 2 4" xfId="38756" xr:uid="{00000000-0005-0000-0000-0000C2970000}"/>
    <cellStyle name="Normal 69 3 3" xfId="38757" xr:uid="{00000000-0005-0000-0000-0000C3970000}"/>
    <cellStyle name="Normal 69 3 3 2" xfId="38758" xr:uid="{00000000-0005-0000-0000-0000C4970000}"/>
    <cellStyle name="Normal 69 3 3 2 2" xfId="38759" xr:uid="{00000000-0005-0000-0000-0000C5970000}"/>
    <cellStyle name="Normal 69 3 3 3" xfId="38760" xr:uid="{00000000-0005-0000-0000-0000C6970000}"/>
    <cellStyle name="Normal 69 3 4" xfId="38761" xr:uid="{00000000-0005-0000-0000-0000C7970000}"/>
    <cellStyle name="Normal 69 3 4 2" xfId="38762" xr:uid="{00000000-0005-0000-0000-0000C8970000}"/>
    <cellStyle name="Normal 69 3 4 2 2" xfId="38763" xr:uid="{00000000-0005-0000-0000-0000C9970000}"/>
    <cellStyle name="Normal 69 3 4 3" xfId="38764" xr:uid="{00000000-0005-0000-0000-0000CA970000}"/>
    <cellStyle name="Normal 69 3 5" xfId="38765" xr:uid="{00000000-0005-0000-0000-0000CB970000}"/>
    <cellStyle name="Normal 69 3 5 2" xfId="38766" xr:uid="{00000000-0005-0000-0000-0000CC970000}"/>
    <cellStyle name="Normal 69 3 5 2 2" xfId="38767" xr:uid="{00000000-0005-0000-0000-0000CD970000}"/>
    <cellStyle name="Normal 69 3 5 3" xfId="38768" xr:uid="{00000000-0005-0000-0000-0000CE970000}"/>
    <cellStyle name="Normal 69 3 6" xfId="38769" xr:uid="{00000000-0005-0000-0000-0000CF970000}"/>
    <cellStyle name="Normal 69 4" xfId="38770" xr:uid="{00000000-0005-0000-0000-0000D0970000}"/>
    <cellStyle name="Normal 69 4 2" xfId="38771" xr:uid="{00000000-0005-0000-0000-0000D1970000}"/>
    <cellStyle name="Normal 69 4 2 2" xfId="38772" xr:uid="{00000000-0005-0000-0000-0000D2970000}"/>
    <cellStyle name="Normal 69 4 3" xfId="38773" xr:uid="{00000000-0005-0000-0000-0000D3970000}"/>
    <cellStyle name="Normal 69 5" xfId="38774" xr:uid="{00000000-0005-0000-0000-0000D4970000}"/>
    <cellStyle name="Normal 69 5 2" xfId="38775" xr:uid="{00000000-0005-0000-0000-0000D5970000}"/>
    <cellStyle name="Normal 69 5 2 2" xfId="38776" xr:uid="{00000000-0005-0000-0000-0000D6970000}"/>
    <cellStyle name="Normal 69 5 3" xfId="38777" xr:uid="{00000000-0005-0000-0000-0000D7970000}"/>
    <cellStyle name="Normal 69 6" xfId="38778" xr:uid="{00000000-0005-0000-0000-0000D8970000}"/>
    <cellStyle name="Normal 69 6 2" xfId="38779" xr:uid="{00000000-0005-0000-0000-0000D9970000}"/>
    <cellStyle name="Normal 69 6 2 2" xfId="38780" xr:uid="{00000000-0005-0000-0000-0000DA970000}"/>
    <cellStyle name="Normal 69 6 3" xfId="38781" xr:uid="{00000000-0005-0000-0000-0000DB970000}"/>
    <cellStyle name="Normal 69 7" xfId="38782" xr:uid="{00000000-0005-0000-0000-0000DC970000}"/>
    <cellStyle name="Normal 690" xfId="38783" xr:uid="{00000000-0005-0000-0000-0000DD970000}"/>
    <cellStyle name="Normal 691" xfId="38784" xr:uid="{00000000-0005-0000-0000-0000DE970000}"/>
    <cellStyle name="Normal 692" xfId="38785" xr:uid="{00000000-0005-0000-0000-0000DF970000}"/>
    <cellStyle name="Normal 693" xfId="38786" xr:uid="{00000000-0005-0000-0000-0000E0970000}"/>
    <cellStyle name="Normal 694" xfId="38787" xr:uid="{00000000-0005-0000-0000-0000E1970000}"/>
    <cellStyle name="Normal 695" xfId="38788" xr:uid="{00000000-0005-0000-0000-0000E2970000}"/>
    <cellStyle name="Normal 696" xfId="38789" xr:uid="{00000000-0005-0000-0000-0000E3970000}"/>
    <cellStyle name="Normal 697" xfId="38790" xr:uid="{00000000-0005-0000-0000-0000E4970000}"/>
    <cellStyle name="Normal 698" xfId="38791" xr:uid="{00000000-0005-0000-0000-0000E5970000}"/>
    <cellStyle name="Normal 699" xfId="38792" xr:uid="{00000000-0005-0000-0000-0000E6970000}"/>
    <cellStyle name="Normal 7" xfId="108" xr:uid="{00000000-0005-0000-0000-0000E7970000}"/>
    <cellStyle name="Normal 7 10" xfId="38794" xr:uid="{00000000-0005-0000-0000-0000E8970000}"/>
    <cellStyle name="Normal 7 11" xfId="38793" xr:uid="{00000000-0005-0000-0000-0000E9970000}"/>
    <cellStyle name="Normal 7 2" xfId="248" xr:uid="{00000000-0005-0000-0000-0000EA970000}"/>
    <cellStyle name="Normal 7 2 2" xfId="38796" xr:uid="{00000000-0005-0000-0000-0000EB970000}"/>
    <cellStyle name="Normal 7 2 2 2" xfId="38797" xr:uid="{00000000-0005-0000-0000-0000EC970000}"/>
    <cellStyle name="Normal 7 2 2 2 2" xfId="38798" xr:uid="{00000000-0005-0000-0000-0000ED970000}"/>
    <cellStyle name="Normal 7 2 2 3" xfId="38799" xr:uid="{00000000-0005-0000-0000-0000EE970000}"/>
    <cellStyle name="Normal 7 2 2 3 2" xfId="38800" xr:uid="{00000000-0005-0000-0000-0000EF970000}"/>
    <cellStyle name="Normal 7 2 2 3 2 2" xfId="38801" xr:uid="{00000000-0005-0000-0000-0000F0970000}"/>
    <cellStyle name="Normal 7 2 2 3 3" xfId="38802" xr:uid="{00000000-0005-0000-0000-0000F1970000}"/>
    <cellStyle name="Normal 7 2 2 4" xfId="38803" xr:uid="{00000000-0005-0000-0000-0000F2970000}"/>
    <cellStyle name="Normal 7 2 2 4 2" xfId="38804" xr:uid="{00000000-0005-0000-0000-0000F3970000}"/>
    <cellStyle name="Normal 7 2 2 4 2 2" xfId="38805" xr:uid="{00000000-0005-0000-0000-0000F4970000}"/>
    <cellStyle name="Normal 7 2 2 4 3" xfId="38806" xr:uid="{00000000-0005-0000-0000-0000F5970000}"/>
    <cellStyle name="Normal 7 2 2 5" xfId="38807" xr:uid="{00000000-0005-0000-0000-0000F6970000}"/>
    <cellStyle name="Normal 7 2 3" xfId="38808" xr:uid="{00000000-0005-0000-0000-0000F7970000}"/>
    <cellStyle name="Normal 7 2 3 2" xfId="38809" xr:uid="{00000000-0005-0000-0000-0000F8970000}"/>
    <cellStyle name="Normal 7 2 3 2 2" xfId="38810" xr:uid="{00000000-0005-0000-0000-0000F9970000}"/>
    <cellStyle name="Normal 7 2 3 2 2 2" xfId="38811" xr:uid="{00000000-0005-0000-0000-0000FA970000}"/>
    <cellStyle name="Normal 7 2 3 2 3" xfId="38812" xr:uid="{00000000-0005-0000-0000-0000FB970000}"/>
    <cellStyle name="Normal 7 2 3 2 3 2" xfId="38813" xr:uid="{00000000-0005-0000-0000-0000FC970000}"/>
    <cellStyle name="Normal 7 2 3 2 3 2 2" xfId="38814" xr:uid="{00000000-0005-0000-0000-0000FD970000}"/>
    <cellStyle name="Normal 7 2 3 2 3 3" xfId="38815" xr:uid="{00000000-0005-0000-0000-0000FE970000}"/>
    <cellStyle name="Normal 7 2 3 2 4" xfId="38816" xr:uid="{00000000-0005-0000-0000-0000FF970000}"/>
    <cellStyle name="Normal 7 2 3 3" xfId="38817" xr:uid="{00000000-0005-0000-0000-000000980000}"/>
    <cellStyle name="Normal 7 2 3 3 2" xfId="38818" xr:uid="{00000000-0005-0000-0000-000001980000}"/>
    <cellStyle name="Normal 7 2 3 3 2 2" xfId="38819" xr:uid="{00000000-0005-0000-0000-000002980000}"/>
    <cellStyle name="Normal 7 2 3 3 3" xfId="38820" xr:uid="{00000000-0005-0000-0000-000003980000}"/>
    <cellStyle name="Normal 7 2 3 4" xfId="38821" xr:uid="{00000000-0005-0000-0000-000004980000}"/>
    <cellStyle name="Normal 7 2 3 4 2" xfId="38822" xr:uid="{00000000-0005-0000-0000-000005980000}"/>
    <cellStyle name="Normal 7 2 3 4 2 2" xfId="38823" xr:uid="{00000000-0005-0000-0000-000006980000}"/>
    <cellStyle name="Normal 7 2 3 4 3" xfId="38824" xr:uid="{00000000-0005-0000-0000-000007980000}"/>
    <cellStyle name="Normal 7 2 3 5" xfId="38825" xr:uid="{00000000-0005-0000-0000-000008980000}"/>
    <cellStyle name="Normal 7 2 3 5 2" xfId="38826" xr:uid="{00000000-0005-0000-0000-000009980000}"/>
    <cellStyle name="Normal 7 2 3 5 2 2" xfId="38827" xr:uid="{00000000-0005-0000-0000-00000A980000}"/>
    <cellStyle name="Normal 7 2 3 5 3" xfId="38828" xr:uid="{00000000-0005-0000-0000-00000B980000}"/>
    <cellStyle name="Normal 7 2 3 6" xfId="38829" xr:uid="{00000000-0005-0000-0000-00000C980000}"/>
    <cellStyle name="Normal 7 2 4" xfId="38830" xr:uid="{00000000-0005-0000-0000-00000D980000}"/>
    <cellStyle name="Normal 7 2 4 2" xfId="38831" xr:uid="{00000000-0005-0000-0000-00000E980000}"/>
    <cellStyle name="Normal 7 2 4 2 2" xfId="38832" xr:uid="{00000000-0005-0000-0000-00000F980000}"/>
    <cellStyle name="Normal 7 2 4 3" xfId="38833" xr:uid="{00000000-0005-0000-0000-000010980000}"/>
    <cellStyle name="Normal 7 2 5" xfId="38834" xr:uid="{00000000-0005-0000-0000-000011980000}"/>
    <cellStyle name="Normal 7 2 5 2" xfId="38835" xr:uid="{00000000-0005-0000-0000-000012980000}"/>
    <cellStyle name="Normal 7 2 5 2 2" xfId="38836" xr:uid="{00000000-0005-0000-0000-000013980000}"/>
    <cellStyle name="Normal 7 2 5 3" xfId="38837" xr:uid="{00000000-0005-0000-0000-000014980000}"/>
    <cellStyle name="Normal 7 2 6" xfId="38838" xr:uid="{00000000-0005-0000-0000-000015980000}"/>
    <cellStyle name="Normal 7 2 6 2" xfId="38839" xr:uid="{00000000-0005-0000-0000-000016980000}"/>
    <cellStyle name="Normal 7 2 6 2 2" xfId="38840" xr:uid="{00000000-0005-0000-0000-000017980000}"/>
    <cellStyle name="Normal 7 2 6 3" xfId="38841" xr:uid="{00000000-0005-0000-0000-000018980000}"/>
    <cellStyle name="Normal 7 2 7" xfId="38842" xr:uid="{00000000-0005-0000-0000-000019980000}"/>
    <cellStyle name="Normal 7 2 8" xfId="38795" xr:uid="{00000000-0005-0000-0000-00001A980000}"/>
    <cellStyle name="Normal 7 3" xfId="38843" xr:uid="{00000000-0005-0000-0000-00001B980000}"/>
    <cellStyle name="Normal 7 3 2" xfId="38844" xr:uid="{00000000-0005-0000-0000-00001C980000}"/>
    <cellStyle name="Normal 7 3 2 2" xfId="38845" xr:uid="{00000000-0005-0000-0000-00001D980000}"/>
    <cellStyle name="Normal 7 3 2 2 2" xfId="38846" xr:uid="{00000000-0005-0000-0000-00001E980000}"/>
    <cellStyle name="Normal 7 3 2 3" xfId="38847" xr:uid="{00000000-0005-0000-0000-00001F980000}"/>
    <cellStyle name="Normal 7 3 2 3 2" xfId="38848" xr:uid="{00000000-0005-0000-0000-000020980000}"/>
    <cellStyle name="Normal 7 3 2 3 2 2" xfId="38849" xr:uid="{00000000-0005-0000-0000-000021980000}"/>
    <cellStyle name="Normal 7 3 2 3 3" xfId="38850" xr:uid="{00000000-0005-0000-0000-000022980000}"/>
    <cellStyle name="Normal 7 3 2 4" xfId="38851" xr:uid="{00000000-0005-0000-0000-000023980000}"/>
    <cellStyle name="Normal 7 3 2 4 2" xfId="38852" xr:uid="{00000000-0005-0000-0000-000024980000}"/>
    <cellStyle name="Normal 7 3 2 4 2 2" xfId="38853" xr:uid="{00000000-0005-0000-0000-000025980000}"/>
    <cellStyle name="Normal 7 3 2 4 3" xfId="38854" xr:uid="{00000000-0005-0000-0000-000026980000}"/>
    <cellStyle name="Normal 7 3 2 5" xfId="38855" xr:uid="{00000000-0005-0000-0000-000027980000}"/>
    <cellStyle name="Normal 7 3 3" xfId="38856" xr:uid="{00000000-0005-0000-0000-000028980000}"/>
    <cellStyle name="Normal 7 3 3 2" xfId="38857" xr:uid="{00000000-0005-0000-0000-000029980000}"/>
    <cellStyle name="Normal 7 3 3 2 2" xfId="38858" xr:uid="{00000000-0005-0000-0000-00002A980000}"/>
    <cellStyle name="Normal 7 3 3 3" xfId="38859" xr:uid="{00000000-0005-0000-0000-00002B980000}"/>
    <cellStyle name="Normal 7 3 4" xfId="38860" xr:uid="{00000000-0005-0000-0000-00002C980000}"/>
    <cellStyle name="Normal 7 3 4 2" xfId="38861" xr:uid="{00000000-0005-0000-0000-00002D980000}"/>
    <cellStyle name="Normal 7 3 4 2 2" xfId="38862" xr:uid="{00000000-0005-0000-0000-00002E980000}"/>
    <cellStyle name="Normal 7 3 4 3" xfId="38863" xr:uid="{00000000-0005-0000-0000-00002F980000}"/>
    <cellStyle name="Normal 7 3 5" xfId="38864" xr:uid="{00000000-0005-0000-0000-000030980000}"/>
    <cellStyle name="Normal 7 3 5 2" xfId="38865" xr:uid="{00000000-0005-0000-0000-000031980000}"/>
    <cellStyle name="Normal 7 3 5 2 2" xfId="38866" xr:uid="{00000000-0005-0000-0000-000032980000}"/>
    <cellStyle name="Normal 7 3 5 3" xfId="38867" xr:uid="{00000000-0005-0000-0000-000033980000}"/>
    <cellStyle name="Normal 7 3 6" xfId="38868" xr:uid="{00000000-0005-0000-0000-000034980000}"/>
    <cellStyle name="Normal 7 4" xfId="38869" xr:uid="{00000000-0005-0000-0000-000035980000}"/>
    <cellStyle name="Normal 7 4 2" xfId="38870" xr:uid="{00000000-0005-0000-0000-000036980000}"/>
    <cellStyle name="Normal 7 4 2 2" xfId="38871" xr:uid="{00000000-0005-0000-0000-000037980000}"/>
    <cellStyle name="Normal 7 4 2 2 2" xfId="38872" xr:uid="{00000000-0005-0000-0000-000038980000}"/>
    <cellStyle name="Normal 7 4 2 3" xfId="38873" xr:uid="{00000000-0005-0000-0000-000039980000}"/>
    <cellStyle name="Normal 7 4 2 3 2" xfId="38874" xr:uid="{00000000-0005-0000-0000-00003A980000}"/>
    <cellStyle name="Normal 7 4 2 3 2 2" xfId="38875" xr:uid="{00000000-0005-0000-0000-00003B980000}"/>
    <cellStyle name="Normal 7 4 2 3 3" xfId="38876" xr:uid="{00000000-0005-0000-0000-00003C980000}"/>
    <cellStyle name="Normal 7 4 2 4" xfId="38877" xr:uid="{00000000-0005-0000-0000-00003D980000}"/>
    <cellStyle name="Normal 7 4 2 4 2" xfId="38878" xr:uid="{00000000-0005-0000-0000-00003E980000}"/>
    <cellStyle name="Normal 7 4 2 4 2 2" xfId="38879" xr:uid="{00000000-0005-0000-0000-00003F980000}"/>
    <cellStyle name="Normal 7 4 2 4 3" xfId="38880" xr:uid="{00000000-0005-0000-0000-000040980000}"/>
    <cellStyle name="Normal 7 4 2 5" xfId="38881" xr:uid="{00000000-0005-0000-0000-000041980000}"/>
    <cellStyle name="Normal 7 4 3" xfId="38882" xr:uid="{00000000-0005-0000-0000-000042980000}"/>
    <cellStyle name="Normal 7 4 3 2" xfId="38883" xr:uid="{00000000-0005-0000-0000-000043980000}"/>
    <cellStyle name="Normal 7 4 3 2 2" xfId="38884" xr:uid="{00000000-0005-0000-0000-000044980000}"/>
    <cellStyle name="Normal 7 4 3 2 2 2" xfId="38885" xr:uid="{00000000-0005-0000-0000-000045980000}"/>
    <cellStyle name="Normal 7 4 3 2 3" xfId="38886" xr:uid="{00000000-0005-0000-0000-000046980000}"/>
    <cellStyle name="Normal 7 4 3 2 3 2" xfId="38887" xr:uid="{00000000-0005-0000-0000-000047980000}"/>
    <cellStyle name="Normal 7 4 3 2 3 2 2" xfId="38888" xr:uid="{00000000-0005-0000-0000-000048980000}"/>
    <cellStyle name="Normal 7 4 3 2 3 3" xfId="38889" xr:uid="{00000000-0005-0000-0000-000049980000}"/>
    <cellStyle name="Normal 7 4 3 2 4" xfId="38890" xr:uid="{00000000-0005-0000-0000-00004A980000}"/>
    <cellStyle name="Normal 7 4 3 3" xfId="38891" xr:uid="{00000000-0005-0000-0000-00004B980000}"/>
    <cellStyle name="Normal 7 4 3 3 2" xfId="38892" xr:uid="{00000000-0005-0000-0000-00004C980000}"/>
    <cellStyle name="Normal 7 4 3 3 2 2" xfId="38893" xr:uid="{00000000-0005-0000-0000-00004D980000}"/>
    <cellStyle name="Normal 7 4 3 3 3" xfId="38894" xr:uid="{00000000-0005-0000-0000-00004E980000}"/>
    <cellStyle name="Normal 7 4 3 4" xfId="38895" xr:uid="{00000000-0005-0000-0000-00004F980000}"/>
    <cellStyle name="Normal 7 4 3 4 2" xfId="38896" xr:uid="{00000000-0005-0000-0000-000050980000}"/>
    <cellStyle name="Normal 7 4 3 4 2 2" xfId="38897" xr:uid="{00000000-0005-0000-0000-000051980000}"/>
    <cellStyle name="Normal 7 4 3 4 3" xfId="38898" xr:uid="{00000000-0005-0000-0000-000052980000}"/>
    <cellStyle name="Normal 7 4 3 5" xfId="38899" xr:uid="{00000000-0005-0000-0000-000053980000}"/>
    <cellStyle name="Normal 7 4 3 5 2" xfId="38900" xr:uid="{00000000-0005-0000-0000-000054980000}"/>
    <cellStyle name="Normal 7 4 3 5 2 2" xfId="38901" xr:uid="{00000000-0005-0000-0000-000055980000}"/>
    <cellStyle name="Normal 7 4 3 5 3" xfId="38902" xr:uid="{00000000-0005-0000-0000-000056980000}"/>
    <cellStyle name="Normal 7 4 3 6" xfId="38903" xr:uid="{00000000-0005-0000-0000-000057980000}"/>
    <cellStyle name="Normal 7 4 4" xfId="38904" xr:uid="{00000000-0005-0000-0000-000058980000}"/>
    <cellStyle name="Normal 7 5" xfId="38905" xr:uid="{00000000-0005-0000-0000-000059980000}"/>
    <cellStyle name="Normal 7 5 2" xfId="38906" xr:uid="{00000000-0005-0000-0000-00005A980000}"/>
    <cellStyle name="Normal 7 5 2 2" xfId="38907" xr:uid="{00000000-0005-0000-0000-00005B980000}"/>
    <cellStyle name="Normal 7 5 3" xfId="38908" xr:uid="{00000000-0005-0000-0000-00005C980000}"/>
    <cellStyle name="Normal 7 5 3 2" xfId="38909" xr:uid="{00000000-0005-0000-0000-00005D980000}"/>
    <cellStyle name="Normal 7 5 3 2 2" xfId="38910" xr:uid="{00000000-0005-0000-0000-00005E980000}"/>
    <cellStyle name="Normal 7 5 3 3" xfId="38911" xr:uid="{00000000-0005-0000-0000-00005F980000}"/>
    <cellStyle name="Normal 7 5 4" xfId="38912" xr:uid="{00000000-0005-0000-0000-000060980000}"/>
    <cellStyle name="Normal 7 5 4 2" xfId="38913" xr:uid="{00000000-0005-0000-0000-000061980000}"/>
    <cellStyle name="Normal 7 5 4 2 2" xfId="38914" xr:uid="{00000000-0005-0000-0000-000062980000}"/>
    <cellStyle name="Normal 7 5 4 3" xfId="38915" xr:uid="{00000000-0005-0000-0000-000063980000}"/>
    <cellStyle name="Normal 7 5 5" xfId="38916" xr:uid="{00000000-0005-0000-0000-000064980000}"/>
    <cellStyle name="Normal 7 6" xfId="38917" xr:uid="{00000000-0005-0000-0000-000065980000}"/>
    <cellStyle name="Normal 7 6 2" xfId="38918" xr:uid="{00000000-0005-0000-0000-000066980000}"/>
    <cellStyle name="Normal 7 6 2 2" xfId="38919" xr:uid="{00000000-0005-0000-0000-000067980000}"/>
    <cellStyle name="Normal 7 6 3" xfId="38920" xr:uid="{00000000-0005-0000-0000-000068980000}"/>
    <cellStyle name="Normal 7 6 3 2" xfId="38921" xr:uid="{00000000-0005-0000-0000-000069980000}"/>
    <cellStyle name="Normal 7 6 3 2 2" xfId="38922" xr:uid="{00000000-0005-0000-0000-00006A980000}"/>
    <cellStyle name="Normal 7 6 3 3" xfId="38923" xr:uid="{00000000-0005-0000-0000-00006B980000}"/>
    <cellStyle name="Normal 7 6 4" xfId="38924" xr:uid="{00000000-0005-0000-0000-00006C980000}"/>
    <cellStyle name="Normal 7 6 4 2" xfId="38925" xr:uid="{00000000-0005-0000-0000-00006D980000}"/>
    <cellStyle name="Normal 7 6 4 2 2" xfId="38926" xr:uid="{00000000-0005-0000-0000-00006E980000}"/>
    <cellStyle name="Normal 7 6 4 3" xfId="38927" xr:uid="{00000000-0005-0000-0000-00006F980000}"/>
    <cellStyle name="Normal 7 6 5" xfId="38928" xr:uid="{00000000-0005-0000-0000-000070980000}"/>
    <cellStyle name="Normal 7 7" xfId="38929" xr:uid="{00000000-0005-0000-0000-000071980000}"/>
    <cellStyle name="Normal 7 7 2" xfId="38930" xr:uid="{00000000-0005-0000-0000-000072980000}"/>
    <cellStyle name="Normal 7 7 2 2" xfId="38931" xr:uid="{00000000-0005-0000-0000-000073980000}"/>
    <cellStyle name="Normal 7 7 3" xfId="38932" xr:uid="{00000000-0005-0000-0000-000074980000}"/>
    <cellStyle name="Normal 7 8" xfId="38933" xr:uid="{00000000-0005-0000-0000-000075980000}"/>
    <cellStyle name="Normal 7 8 2" xfId="38934" xr:uid="{00000000-0005-0000-0000-000076980000}"/>
    <cellStyle name="Normal 7 9" xfId="38935" xr:uid="{00000000-0005-0000-0000-000077980000}"/>
    <cellStyle name="Normal 70" xfId="38936" xr:uid="{00000000-0005-0000-0000-000078980000}"/>
    <cellStyle name="Normal 70 2" xfId="38937" xr:uid="{00000000-0005-0000-0000-000079980000}"/>
    <cellStyle name="Normal 70 2 2" xfId="38938" xr:uid="{00000000-0005-0000-0000-00007A980000}"/>
    <cellStyle name="Normal 70 2 2 2" xfId="38939" xr:uid="{00000000-0005-0000-0000-00007B980000}"/>
    <cellStyle name="Normal 70 2 3" xfId="38940" xr:uid="{00000000-0005-0000-0000-00007C980000}"/>
    <cellStyle name="Normal 70 2 3 2" xfId="38941" xr:uid="{00000000-0005-0000-0000-00007D980000}"/>
    <cellStyle name="Normal 70 2 3 2 2" xfId="38942" xr:uid="{00000000-0005-0000-0000-00007E980000}"/>
    <cellStyle name="Normal 70 2 3 3" xfId="38943" xr:uid="{00000000-0005-0000-0000-00007F980000}"/>
    <cellStyle name="Normal 70 2 4" xfId="38944" xr:uid="{00000000-0005-0000-0000-000080980000}"/>
    <cellStyle name="Normal 70 2 4 2" xfId="38945" xr:uid="{00000000-0005-0000-0000-000081980000}"/>
    <cellStyle name="Normal 70 2 4 2 2" xfId="38946" xr:uid="{00000000-0005-0000-0000-000082980000}"/>
    <cellStyle name="Normal 70 2 4 3" xfId="38947" xr:uid="{00000000-0005-0000-0000-000083980000}"/>
    <cellStyle name="Normal 70 2 5" xfId="38948" xr:uid="{00000000-0005-0000-0000-000084980000}"/>
    <cellStyle name="Normal 70 3" xfId="38949" xr:uid="{00000000-0005-0000-0000-000085980000}"/>
    <cellStyle name="Normal 70 3 2" xfId="38950" xr:uid="{00000000-0005-0000-0000-000086980000}"/>
    <cellStyle name="Normal 70 3 2 2" xfId="38951" xr:uid="{00000000-0005-0000-0000-000087980000}"/>
    <cellStyle name="Normal 70 3 2 2 2" xfId="38952" xr:uid="{00000000-0005-0000-0000-000088980000}"/>
    <cellStyle name="Normal 70 3 2 3" xfId="38953" xr:uid="{00000000-0005-0000-0000-000089980000}"/>
    <cellStyle name="Normal 70 3 2 3 2" xfId="38954" xr:uid="{00000000-0005-0000-0000-00008A980000}"/>
    <cellStyle name="Normal 70 3 2 3 2 2" xfId="38955" xr:uid="{00000000-0005-0000-0000-00008B980000}"/>
    <cellStyle name="Normal 70 3 2 3 3" xfId="38956" xr:uid="{00000000-0005-0000-0000-00008C980000}"/>
    <cellStyle name="Normal 70 3 2 4" xfId="38957" xr:uid="{00000000-0005-0000-0000-00008D980000}"/>
    <cellStyle name="Normal 70 3 3" xfId="38958" xr:uid="{00000000-0005-0000-0000-00008E980000}"/>
    <cellStyle name="Normal 70 3 3 2" xfId="38959" xr:uid="{00000000-0005-0000-0000-00008F980000}"/>
    <cellStyle name="Normal 70 3 3 2 2" xfId="38960" xr:uid="{00000000-0005-0000-0000-000090980000}"/>
    <cellStyle name="Normal 70 3 3 3" xfId="38961" xr:uid="{00000000-0005-0000-0000-000091980000}"/>
    <cellStyle name="Normal 70 3 4" xfId="38962" xr:uid="{00000000-0005-0000-0000-000092980000}"/>
    <cellStyle name="Normal 70 3 4 2" xfId="38963" xr:uid="{00000000-0005-0000-0000-000093980000}"/>
    <cellStyle name="Normal 70 3 4 2 2" xfId="38964" xr:uid="{00000000-0005-0000-0000-000094980000}"/>
    <cellStyle name="Normal 70 3 4 3" xfId="38965" xr:uid="{00000000-0005-0000-0000-000095980000}"/>
    <cellStyle name="Normal 70 3 5" xfId="38966" xr:uid="{00000000-0005-0000-0000-000096980000}"/>
    <cellStyle name="Normal 70 3 5 2" xfId="38967" xr:uid="{00000000-0005-0000-0000-000097980000}"/>
    <cellStyle name="Normal 70 3 5 2 2" xfId="38968" xr:uid="{00000000-0005-0000-0000-000098980000}"/>
    <cellStyle name="Normal 70 3 5 3" xfId="38969" xr:uid="{00000000-0005-0000-0000-000099980000}"/>
    <cellStyle name="Normal 70 3 6" xfId="38970" xr:uid="{00000000-0005-0000-0000-00009A980000}"/>
    <cellStyle name="Normal 70 4" xfId="38971" xr:uid="{00000000-0005-0000-0000-00009B980000}"/>
    <cellStyle name="Normal 70 4 2" xfId="38972" xr:uid="{00000000-0005-0000-0000-00009C980000}"/>
    <cellStyle name="Normal 70 4 2 2" xfId="38973" xr:uid="{00000000-0005-0000-0000-00009D980000}"/>
    <cellStyle name="Normal 70 4 3" xfId="38974" xr:uid="{00000000-0005-0000-0000-00009E980000}"/>
    <cellStyle name="Normal 70 5" xfId="38975" xr:uid="{00000000-0005-0000-0000-00009F980000}"/>
    <cellStyle name="Normal 70 5 2" xfId="38976" xr:uid="{00000000-0005-0000-0000-0000A0980000}"/>
    <cellStyle name="Normal 70 5 2 2" xfId="38977" xr:uid="{00000000-0005-0000-0000-0000A1980000}"/>
    <cellStyle name="Normal 70 5 3" xfId="38978" xr:uid="{00000000-0005-0000-0000-0000A2980000}"/>
    <cellStyle name="Normal 70 6" xfId="38979" xr:uid="{00000000-0005-0000-0000-0000A3980000}"/>
    <cellStyle name="Normal 70 6 2" xfId="38980" xr:uid="{00000000-0005-0000-0000-0000A4980000}"/>
    <cellStyle name="Normal 70 6 2 2" xfId="38981" xr:uid="{00000000-0005-0000-0000-0000A5980000}"/>
    <cellStyle name="Normal 70 6 3" xfId="38982" xr:uid="{00000000-0005-0000-0000-0000A6980000}"/>
    <cellStyle name="Normal 70 7" xfId="38983" xr:uid="{00000000-0005-0000-0000-0000A7980000}"/>
    <cellStyle name="Normal 700" xfId="38984" xr:uid="{00000000-0005-0000-0000-0000A8980000}"/>
    <cellStyle name="Normal 701" xfId="38985" xr:uid="{00000000-0005-0000-0000-0000A9980000}"/>
    <cellStyle name="Normal 702" xfId="38986" xr:uid="{00000000-0005-0000-0000-0000AA980000}"/>
    <cellStyle name="Normal 703" xfId="38987" xr:uid="{00000000-0005-0000-0000-0000AB980000}"/>
    <cellStyle name="Normal 704" xfId="38988" xr:uid="{00000000-0005-0000-0000-0000AC980000}"/>
    <cellStyle name="Normal 705" xfId="38989" xr:uid="{00000000-0005-0000-0000-0000AD980000}"/>
    <cellStyle name="Normal 706" xfId="38990" xr:uid="{00000000-0005-0000-0000-0000AE980000}"/>
    <cellStyle name="Normal 707" xfId="38991" xr:uid="{00000000-0005-0000-0000-0000AF980000}"/>
    <cellStyle name="Normal 708" xfId="38992" xr:uid="{00000000-0005-0000-0000-0000B0980000}"/>
    <cellStyle name="Normal 709" xfId="38993" xr:uid="{00000000-0005-0000-0000-0000B1980000}"/>
    <cellStyle name="Normal 71" xfId="38994" xr:uid="{00000000-0005-0000-0000-0000B2980000}"/>
    <cellStyle name="Normal 71 2" xfId="38995" xr:uid="{00000000-0005-0000-0000-0000B3980000}"/>
    <cellStyle name="Normal 71 2 2" xfId="38996" xr:uid="{00000000-0005-0000-0000-0000B4980000}"/>
    <cellStyle name="Normal 71 2 2 2" xfId="38997" xr:uid="{00000000-0005-0000-0000-0000B5980000}"/>
    <cellStyle name="Normal 71 2 3" xfId="38998" xr:uid="{00000000-0005-0000-0000-0000B6980000}"/>
    <cellStyle name="Normal 71 2 3 2" xfId="38999" xr:uid="{00000000-0005-0000-0000-0000B7980000}"/>
    <cellStyle name="Normal 71 2 3 2 2" xfId="39000" xr:uid="{00000000-0005-0000-0000-0000B8980000}"/>
    <cellStyle name="Normal 71 2 3 3" xfId="39001" xr:uid="{00000000-0005-0000-0000-0000B9980000}"/>
    <cellStyle name="Normal 71 2 4" xfId="39002" xr:uid="{00000000-0005-0000-0000-0000BA980000}"/>
    <cellStyle name="Normal 71 2 4 2" xfId="39003" xr:uid="{00000000-0005-0000-0000-0000BB980000}"/>
    <cellStyle name="Normal 71 2 4 2 2" xfId="39004" xr:uid="{00000000-0005-0000-0000-0000BC980000}"/>
    <cellStyle name="Normal 71 2 4 3" xfId="39005" xr:uid="{00000000-0005-0000-0000-0000BD980000}"/>
    <cellStyle name="Normal 71 2 5" xfId="39006" xr:uid="{00000000-0005-0000-0000-0000BE980000}"/>
    <cellStyle name="Normal 71 3" xfId="39007" xr:uid="{00000000-0005-0000-0000-0000BF980000}"/>
    <cellStyle name="Normal 71 3 2" xfId="39008" xr:uid="{00000000-0005-0000-0000-0000C0980000}"/>
    <cellStyle name="Normal 71 3 2 2" xfId="39009" xr:uid="{00000000-0005-0000-0000-0000C1980000}"/>
    <cellStyle name="Normal 71 3 2 2 2" xfId="39010" xr:uid="{00000000-0005-0000-0000-0000C2980000}"/>
    <cellStyle name="Normal 71 3 2 3" xfId="39011" xr:uid="{00000000-0005-0000-0000-0000C3980000}"/>
    <cellStyle name="Normal 71 3 2 3 2" xfId="39012" xr:uid="{00000000-0005-0000-0000-0000C4980000}"/>
    <cellStyle name="Normal 71 3 2 3 2 2" xfId="39013" xr:uid="{00000000-0005-0000-0000-0000C5980000}"/>
    <cellStyle name="Normal 71 3 2 3 3" xfId="39014" xr:uid="{00000000-0005-0000-0000-0000C6980000}"/>
    <cellStyle name="Normal 71 3 2 4" xfId="39015" xr:uid="{00000000-0005-0000-0000-0000C7980000}"/>
    <cellStyle name="Normal 71 3 3" xfId="39016" xr:uid="{00000000-0005-0000-0000-0000C8980000}"/>
    <cellStyle name="Normal 71 3 3 2" xfId="39017" xr:uid="{00000000-0005-0000-0000-0000C9980000}"/>
    <cellStyle name="Normal 71 3 3 2 2" xfId="39018" xr:uid="{00000000-0005-0000-0000-0000CA980000}"/>
    <cellStyle name="Normal 71 3 3 3" xfId="39019" xr:uid="{00000000-0005-0000-0000-0000CB980000}"/>
    <cellStyle name="Normal 71 3 4" xfId="39020" xr:uid="{00000000-0005-0000-0000-0000CC980000}"/>
    <cellStyle name="Normal 71 3 4 2" xfId="39021" xr:uid="{00000000-0005-0000-0000-0000CD980000}"/>
    <cellStyle name="Normal 71 3 4 2 2" xfId="39022" xr:uid="{00000000-0005-0000-0000-0000CE980000}"/>
    <cellStyle name="Normal 71 3 4 3" xfId="39023" xr:uid="{00000000-0005-0000-0000-0000CF980000}"/>
    <cellStyle name="Normal 71 3 5" xfId="39024" xr:uid="{00000000-0005-0000-0000-0000D0980000}"/>
    <cellStyle name="Normal 71 3 5 2" xfId="39025" xr:uid="{00000000-0005-0000-0000-0000D1980000}"/>
    <cellStyle name="Normal 71 3 5 2 2" xfId="39026" xr:uid="{00000000-0005-0000-0000-0000D2980000}"/>
    <cellStyle name="Normal 71 3 5 3" xfId="39027" xr:uid="{00000000-0005-0000-0000-0000D3980000}"/>
    <cellStyle name="Normal 71 3 6" xfId="39028" xr:uid="{00000000-0005-0000-0000-0000D4980000}"/>
    <cellStyle name="Normal 71 4" xfId="39029" xr:uid="{00000000-0005-0000-0000-0000D5980000}"/>
    <cellStyle name="Normal 71 4 2" xfId="39030" xr:uid="{00000000-0005-0000-0000-0000D6980000}"/>
    <cellStyle name="Normal 71 4 2 2" xfId="39031" xr:uid="{00000000-0005-0000-0000-0000D7980000}"/>
    <cellStyle name="Normal 71 4 3" xfId="39032" xr:uid="{00000000-0005-0000-0000-0000D8980000}"/>
    <cellStyle name="Normal 71 5" xfId="39033" xr:uid="{00000000-0005-0000-0000-0000D9980000}"/>
    <cellStyle name="Normal 71 5 2" xfId="39034" xr:uid="{00000000-0005-0000-0000-0000DA980000}"/>
    <cellStyle name="Normal 71 5 2 2" xfId="39035" xr:uid="{00000000-0005-0000-0000-0000DB980000}"/>
    <cellStyle name="Normal 71 5 3" xfId="39036" xr:uid="{00000000-0005-0000-0000-0000DC980000}"/>
    <cellStyle name="Normal 71 6" xfId="39037" xr:uid="{00000000-0005-0000-0000-0000DD980000}"/>
    <cellStyle name="Normal 71 6 2" xfId="39038" xr:uid="{00000000-0005-0000-0000-0000DE980000}"/>
    <cellStyle name="Normal 71 6 2 2" xfId="39039" xr:uid="{00000000-0005-0000-0000-0000DF980000}"/>
    <cellStyle name="Normal 71 6 3" xfId="39040" xr:uid="{00000000-0005-0000-0000-0000E0980000}"/>
    <cellStyle name="Normal 71 7" xfId="39041" xr:uid="{00000000-0005-0000-0000-0000E1980000}"/>
    <cellStyle name="Normal 710" xfId="39042" xr:uid="{00000000-0005-0000-0000-0000E2980000}"/>
    <cellStyle name="Normal 711" xfId="39043" xr:uid="{00000000-0005-0000-0000-0000E3980000}"/>
    <cellStyle name="Normal 712" xfId="39044" xr:uid="{00000000-0005-0000-0000-0000E4980000}"/>
    <cellStyle name="Normal 713" xfId="39045" xr:uid="{00000000-0005-0000-0000-0000E5980000}"/>
    <cellStyle name="Normal 714" xfId="39046" xr:uid="{00000000-0005-0000-0000-0000E6980000}"/>
    <cellStyle name="Normal 715" xfId="39047" xr:uid="{00000000-0005-0000-0000-0000E7980000}"/>
    <cellStyle name="Normal 716" xfId="39048" xr:uid="{00000000-0005-0000-0000-0000E8980000}"/>
    <cellStyle name="Normal 717" xfId="39049" xr:uid="{00000000-0005-0000-0000-0000E9980000}"/>
    <cellStyle name="Normal 718" xfId="39050" xr:uid="{00000000-0005-0000-0000-0000EA980000}"/>
    <cellStyle name="Normal 719" xfId="39051" xr:uid="{00000000-0005-0000-0000-0000EB980000}"/>
    <cellStyle name="Normal 72" xfId="39052" xr:uid="{00000000-0005-0000-0000-0000EC980000}"/>
    <cellStyle name="Normal 72 2" xfId="39053" xr:uid="{00000000-0005-0000-0000-0000ED980000}"/>
    <cellStyle name="Normal 72 2 2" xfId="39054" xr:uid="{00000000-0005-0000-0000-0000EE980000}"/>
    <cellStyle name="Normal 72 2 2 2" xfId="39055" xr:uid="{00000000-0005-0000-0000-0000EF980000}"/>
    <cellStyle name="Normal 72 2 3" xfId="39056" xr:uid="{00000000-0005-0000-0000-0000F0980000}"/>
    <cellStyle name="Normal 72 2 3 2" xfId="39057" xr:uid="{00000000-0005-0000-0000-0000F1980000}"/>
    <cellStyle name="Normal 72 2 3 2 2" xfId="39058" xr:uid="{00000000-0005-0000-0000-0000F2980000}"/>
    <cellStyle name="Normal 72 2 3 3" xfId="39059" xr:uid="{00000000-0005-0000-0000-0000F3980000}"/>
    <cellStyle name="Normal 72 2 4" xfId="39060" xr:uid="{00000000-0005-0000-0000-0000F4980000}"/>
    <cellStyle name="Normal 72 2 4 2" xfId="39061" xr:uid="{00000000-0005-0000-0000-0000F5980000}"/>
    <cellStyle name="Normal 72 2 4 2 2" xfId="39062" xr:uid="{00000000-0005-0000-0000-0000F6980000}"/>
    <cellStyle name="Normal 72 2 4 3" xfId="39063" xr:uid="{00000000-0005-0000-0000-0000F7980000}"/>
    <cellStyle name="Normal 72 2 5" xfId="39064" xr:uid="{00000000-0005-0000-0000-0000F8980000}"/>
    <cellStyle name="Normal 72 3" xfId="39065" xr:uid="{00000000-0005-0000-0000-0000F9980000}"/>
    <cellStyle name="Normal 72 3 2" xfId="39066" xr:uid="{00000000-0005-0000-0000-0000FA980000}"/>
    <cellStyle name="Normal 72 3 2 2" xfId="39067" xr:uid="{00000000-0005-0000-0000-0000FB980000}"/>
    <cellStyle name="Normal 72 3 2 2 2" xfId="39068" xr:uid="{00000000-0005-0000-0000-0000FC980000}"/>
    <cellStyle name="Normal 72 3 2 3" xfId="39069" xr:uid="{00000000-0005-0000-0000-0000FD980000}"/>
    <cellStyle name="Normal 72 3 2 3 2" xfId="39070" xr:uid="{00000000-0005-0000-0000-0000FE980000}"/>
    <cellStyle name="Normal 72 3 2 3 2 2" xfId="39071" xr:uid="{00000000-0005-0000-0000-0000FF980000}"/>
    <cellStyle name="Normal 72 3 2 3 3" xfId="39072" xr:uid="{00000000-0005-0000-0000-000000990000}"/>
    <cellStyle name="Normal 72 3 2 4" xfId="39073" xr:uid="{00000000-0005-0000-0000-000001990000}"/>
    <cellStyle name="Normal 72 3 3" xfId="39074" xr:uid="{00000000-0005-0000-0000-000002990000}"/>
    <cellStyle name="Normal 72 3 3 2" xfId="39075" xr:uid="{00000000-0005-0000-0000-000003990000}"/>
    <cellStyle name="Normal 72 3 3 2 2" xfId="39076" xr:uid="{00000000-0005-0000-0000-000004990000}"/>
    <cellStyle name="Normal 72 3 3 3" xfId="39077" xr:uid="{00000000-0005-0000-0000-000005990000}"/>
    <cellStyle name="Normal 72 3 4" xfId="39078" xr:uid="{00000000-0005-0000-0000-000006990000}"/>
    <cellStyle name="Normal 72 3 4 2" xfId="39079" xr:uid="{00000000-0005-0000-0000-000007990000}"/>
    <cellStyle name="Normal 72 3 4 2 2" xfId="39080" xr:uid="{00000000-0005-0000-0000-000008990000}"/>
    <cellStyle name="Normal 72 3 4 3" xfId="39081" xr:uid="{00000000-0005-0000-0000-000009990000}"/>
    <cellStyle name="Normal 72 3 5" xfId="39082" xr:uid="{00000000-0005-0000-0000-00000A990000}"/>
    <cellStyle name="Normal 72 3 5 2" xfId="39083" xr:uid="{00000000-0005-0000-0000-00000B990000}"/>
    <cellStyle name="Normal 72 3 5 2 2" xfId="39084" xr:uid="{00000000-0005-0000-0000-00000C990000}"/>
    <cellStyle name="Normal 72 3 5 3" xfId="39085" xr:uid="{00000000-0005-0000-0000-00000D990000}"/>
    <cellStyle name="Normal 72 3 6" xfId="39086" xr:uid="{00000000-0005-0000-0000-00000E990000}"/>
    <cellStyle name="Normal 72 4" xfId="39087" xr:uid="{00000000-0005-0000-0000-00000F990000}"/>
    <cellStyle name="Normal 72 4 2" xfId="39088" xr:uid="{00000000-0005-0000-0000-000010990000}"/>
    <cellStyle name="Normal 72 4 2 2" xfId="39089" xr:uid="{00000000-0005-0000-0000-000011990000}"/>
    <cellStyle name="Normal 72 4 3" xfId="39090" xr:uid="{00000000-0005-0000-0000-000012990000}"/>
    <cellStyle name="Normal 72 5" xfId="39091" xr:uid="{00000000-0005-0000-0000-000013990000}"/>
    <cellStyle name="Normal 72 5 2" xfId="39092" xr:uid="{00000000-0005-0000-0000-000014990000}"/>
    <cellStyle name="Normal 72 5 2 2" xfId="39093" xr:uid="{00000000-0005-0000-0000-000015990000}"/>
    <cellStyle name="Normal 72 5 3" xfId="39094" xr:uid="{00000000-0005-0000-0000-000016990000}"/>
    <cellStyle name="Normal 72 6" xfId="39095" xr:uid="{00000000-0005-0000-0000-000017990000}"/>
    <cellStyle name="Normal 72 6 2" xfId="39096" xr:uid="{00000000-0005-0000-0000-000018990000}"/>
    <cellStyle name="Normal 72 6 2 2" xfId="39097" xr:uid="{00000000-0005-0000-0000-000019990000}"/>
    <cellStyle name="Normal 72 6 3" xfId="39098" xr:uid="{00000000-0005-0000-0000-00001A990000}"/>
    <cellStyle name="Normal 72 7" xfId="39099" xr:uid="{00000000-0005-0000-0000-00001B990000}"/>
    <cellStyle name="Normal 720" xfId="39100" xr:uid="{00000000-0005-0000-0000-00001C990000}"/>
    <cellStyle name="Normal 721" xfId="39101" xr:uid="{00000000-0005-0000-0000-00001D990000}"/>
    <cellStyle name="Normal 722" xfId="39102" xr:uid="{00000000-0005-0000-0000-00001E990000}"/>
    <cellStyle name="Normal 723" xfId="39103" xr:uid="{00000000-0005-0000-0000-00001F990000}"/>
    <cellStyle name="Normal 724" xfId="39104" xr:uid="{00000000-0005-0000-0000-000020990000}"/>
    <cellStyle name="Normal 725" xfId="39105" xr:uid="{00000000-0005-0000-0000-000021990000}"/>
    <cellStyle name="Normal 726" xfId="39106" xr:uid="{00000000-0005-0000-0000-000022990000}"/>
    <cellStyle name="Normal 727" xfId="39107" xr:uid="{00000000-0005-0000-0000-000023990000}"/>
    <cellStyle name="Normal 728" xfId="39108" xr:uid="{00000000-0005-0000-0000-000024990000}"/>
    <cellStyle name="Normal 729" xfId="39109" xr:uid="{00000000-0005-0000-0000-000025990000}"/>
    <cellStyle name="Normal 73" xfId="39110" xr:uid="{00000000-0005-0000-0000-000026990000}"/>
    <cellStyle name="Normal 73 2" xfId="39111" xr:uid="{00000000-0005-0000-0000-000027990000}"/>
    <cellStyle name="Normal 73 2 2" xfId="39112" xr:uid="{00000000-0005-0000-0000-000028990000}"/>
    <cellStyle name="Normal 73 2 2 2" xfId="39113" xr:uid="{00000000-0005-0000-0000-000029990000}"/>
    <cellStyle name="Normal 73 2 3" xfId="39114" xr:uid="{00000000-0005-0000-0000-00002A990000}"/>
    <cellStyle name="Normal 73 2 3 2" xfId="39115" xr:uid="{00000000-0005-0000-0000-00002B990000}"/>
    <cellStyle name="Normal 73 2 3 2 2" xfId="39116" xr:uid="{00000000-0005-0000-0000-00002C990000}"/>
    <cellStyle name="Normal 73 2 3 3" xfId="39117" xr:uid="{00000000-0005-0000-0000-00002D990000}"/>
    <cellStyle name="Normal 73 2 4" xfId="39118" xr:uid="{00000000-0005-0000-0000-00002E990000}"/>
    <cellStyle name="Normal 73 2 4 2" xfId="39119" xr:uid="{00000000-0005-0000-0000-00002F990000}"/>
    <cellStyle name="Normal 73 2 4 2 2" xfId="39120" xr:uid="{00000000-0005-0000-0000-000030990000}"/>
    <cellStyle name="Normal 73 2 4 3" xfId="39121" xr:uid="{00000000-0005-0000-0000-000031990000}"/>
    <cellStyle name="Normal 73 2 5" xfId="39122" xr:uid="{00000000-0005-0000-0000-000032990000}"/>
    <cellStyle name="Normal 73 3" xfId="39123" xr:uid="{00000000-0005-0000-0000-000033990000}"/>
    <cellStyle name="Normal 73 3 2" xfId="39124" xr:uid="{00000000-0005-0000-0000-000034990000}"/>
    <cellStyle name="Normal 73 3 2 2" xfId="39125" xr:uid="{00000000-0005-0000-0000-000035990000}"/>
    <cellStyle name="Normal 73 3 2 2 2" xfId="39126" xr:uid="{00000000-0005-0000-0000-000036990000}"/>
    <cellStyle name="Normal 73 3 2 3" xfId="39127" xr:uid="{00000000-0005-0000-0000-000037990000}"/>
    <cellStyle name="Normal 73 3 2 3 2" xfId="39128" xr:uid="{00000000-0005-0000-0000-000038990000}"/>
    <cellStyle name="Normal 73 3 2 3 2 2" xfId="39129" xr:uid="{00000000-0005-0000-0000-000039990000}"/>
    <cellStyle name="Normal 73 3 2 3 3" xfId="39130" xr:uid="{00000000-0005-0000-0000-00003A990000}"/>
    <cellStyle name="Normal 73 3 2 4" xfId="39131" xr:uid="{00000000-0005-0000-0000-00003B990000}"/>
    <cellStyle name="Normal 73 3 3" xfId="39132" xr:uid="{00000000-0005-0000-0000-00003C990000}"/>
    <cellStyle name="Normal 73 3 3 2" xfId="39133" xr:uid="{00000000-0005-0000-0000-00003D990000}"/>
    <cellStyle name="Normal 73 3 3 2 2" xfId="39134" xr:uid="{00000000-0005-0000-0000-00003E990000}"/>
    <cellStyle name="Normal 73 3 3 3" xfId="39135" xr:uid="{00000000-0005-0000-0000-00003F990000}"/>
    <cellStyle name="Normal 73 3 4" xfId="39136" xr:uid="{00000000-0005-0000-0000-000040990000}"/>
    <cellStyle name="Normal 73 3 4 2" xfId="39137" xr:uid="{00000000-0005-0000-0000-000041990000}"/>
    <cellStyle name="Normal 73 3 4 2 2" xfId="39138" xr:uid="{00000000-0005-0000-0000-000042990000}"/>
    <cellStyle name="Normal 73 3 4 3" xfId="39139" xr:uid="{00000000-0005-0000-0000-000043990000}"/>
    <cellStyle name="Normal 73 3 5" xfId="39140" xr:uid="{00000000-0005-0000-0000-000044990000}"/>
    <cellStyle name="Normal 73 3 5 2" xfId="39141" xr:uid="{00000000-0005-0000-0000-000045990000}"/>
    <cellStyle name="Normal 73 3 5 2 2" xfId="39142" xr:uid="{00000000-0005-0000-0000-000046990000}"/>
    <cellStyle name="Normal 73 3 5 3" xfId="39143" xr:uid="{00000000-0005-0000-0000-000047990000}"/>
    <cellStyle name="Normal 73 3 6" xfId="39144" xr:uid="{00000000-0005-0000-0000-000048990000}"/>
    <cellStyle name="Normal 73 4" xfId="39145" xr:uid="{00000000-0005-0000-0000-000049990000}"/>
    <cellStyle name="Normal 73 4 2" xfId="39146" xr:uid="{00000000-0005-0000-0000-00004A990000}"/>
    <cellStyle name="Normal 73 4 2 2" xfId="39147" xr:uid="{00000000-0005-0000-0000-00004B990000}"/>
    <cellStyle name="Normal 73 4 3" xfId="39148" xr:uid="{00000000-0005-0000-0000-00004C990000}"/>
    <cellStyle name="Normal 73 5" xfId="39149" xr:uid="{00000000-0005-0000-0000-00004D990000}"/>
    <cellStyle name="Normal 73 5 2" xfId="39150" xr:uid="{00000000-0005-0000-0000-00004E990000}"/>
    <cellStyle name="Normal 73 5 2 2" xfId="39151" xr:uid="{00000000-0005-0000-0000-00004F990000}"/>
    <cellStyle name="Normal 73 5 3" xfId="39152" xr:uid="{00000000-0005-0000-0000-000050990000}"/>
    <cellStyle name="Normal 73 6" xfId="39153" xr:uid="{00000000-0005-0000-0000-000051990000}"/>
    <cellStyle name="Normal 73 6 2" xfId="39154" xr:uid="{00000000-0005-0000-0000-000052990000}"/>
    <cellStyle name="Normal 73 6 2 2" xfId="39155" xr:uid="{00000000-0005-0000-0000-000053990000}"/>
    <cellStyle name="Normal 73 6 3" xfId="39156" xr:uid="{00000000-0005-0000-0000-000054990000}"/>
    <cellStyle name="Normal 73 7" xfId="39157" xr:uid="{00000000-0005-0000-0000-000055990000}"/>
    <cellStyle name="Normal 730" xfId="39158" xr:uid="{00000000-0005-0000-0000-000056990000}"/>
    <cellStyle name="Normal 731" xfId="39159" xr:uid="{00000000-0005-0000-0000-000057990000}"/>
    <cellStyle name="Normal 732" xfId="39160" xr:uid="{00000000-0005-0000-0000-000058990000}"/>
    <cellStyle name="Normal 733" xfId="39161" xr:uid="{00000000-0005-0000-0000-000059990000}"/>
    <cellStyle name="Normal 734" xfId="39162" xr:uid="{00000000-0005-0000-0000-00005A990000}"/>
    <cellStyle name="Normal 735" xfId="39163" xr:uid="{00000000-0005-0000-0000-00005B990000}"/>
    <cellStyle name="Normal 736" xfId="39164" xr:uid="{00000000-0005-0000-0000-00005C990000}"/>
    <cellStyle name="Normal 737" xfId="667" xr:uid="{00000000-0005-0000-0000-00005D990000}"/>
    <cellStyle name="Normal 738" xfId="53745" xr:uid="{00000000-0005-0000-0000-00005E990000}"/>
    <cellStyle name="Normal 739" xfId="53787" xr:uid="{00000000-0005-0000-0000-00005F990000}"/>
    <cellStyle name="Normal 74" xfId="39165" xr:uid="{00000000-0005-0000-0000-000060990000}"/>
    <cellStyle name="Normal 74 2" xfId="39166" xr:uid="{00000000-0005-0000-0000-000061990000}"/>
    <cellStyle name="Normal 74 2 2" xfId="39167" xr:uid="{00000000-0005-0000-0000-000062990000}"/>
    <cellStyle name="Normal 74 2 2 2" xfId="39168" xr:uid="{00000000-0005-0000-0000-000063990000}"/>
    <cellStyle name="Normal 74 2 3" xfId="39169" xr:uid="{00000000-0005-0000-0000-000064990000}"/>
    <cellStyle name="Normal 74 2 3 2" xfId="39170" xr:uid="{00000000-0005-0000-0000-000065990000}"/>
    <cellStyle name="Normal 74 2 3 2 2" xfId="39171" xr:uid="{00000000-0005-0000-0000-000066990000}"/>
    <cellStyle name="Normal 74 2 3 3" xfId="39172" xr:uid="{00000000-0005-0000-0000-000067990000}"/>
    <cellStyle name="Normal 74 2 4" xfId="39173" xr:uid="{00000000-0005-0000-0000-000068990000}"/>
    <cellStyle name="Normal 74 2 4 2" xfId="39174" xr:uid="{00000000-0005-0000-0000-000069990000}"/>
    <cellStyle name="Normal 74 2 4 2 2" xfId="39175" xr:uid="{00000000-0005-0000-0000-00006A990000}"/>
    <cellStyle name="Normal 74 2 4 3" xfId="39176" xr:uid="{00000000-0005-0000-0000-00006B990000}"/>
    <cellStyle name="Normal 74 2 5" xfId="39177" xr:uid="{00000000-0005-0000-0000-00006C990000}"/>
    <cellStyle name="Normal 74 3" xfId="39178" xr:uid="{00000000-0005-0000-0000-00006D990000}"/>
    <cellStyle name="Normal 74 3 2" xfId="39179" xr:uid="{00000000-0005-0000-0000-00006E990000}"/>
    <cellStyle name="Normal 74 3 2 2" xfId="39180" xr:uid="{00000000-0005-0000-0000-00006F990000}"/>
    <cellStyle name="Normal 74 3 2 2 2" xfId="39181" xr:uid="{00000000-0005-0000-0000-000070990000}"/>
    <cellStyle name="Normal 74 3 2 3" xfId="39182" xr:uid="{00000000-0005-0000-0000-000071990000}"/>
    <cellStyle name="Normal 74 3 2 3 2" xfId="39183" xr:uid="{00000000-0005-0000-0000-000072990000}"/>
    <cellStyle name="Normal 74 3 2 3 2 2" xfId="39184" xr:uid="{00000000-0005-0000-0000-000073990000}"/>
    <cellStyle name="Normal 74 3 2 3 3" xfId="39185" xr:uid="{00000000-0005-0000-0000-000074990000}"/>
    <cellStyle name="Normal 74 3 2 4" xfId="39186" xr:uid="{00000000-0005-0000-0000-000075990000}"/>
    <cellStyle name="Normal 74 3 3" xfId="39187" xr:uid="{00000000-0005-0000-0000-000076990000}"/>
    <cellStyle name="Normal 74 3 3 2" xfId="39188" xr:uid="{00000000-0005-0000-0000-000077990000}"/>
    <cellStyle name="Normal 74 3 3 2 2" xfId="39189" xr:uid="{00000000-0005-0000-0000-000078990000}"/>
    <cellStyle name="Normal 74 3 3 3" xfId="39190" xr:uid="{00000000-0005-0000-0000-000079990000}"/>
    <cellStyle name="Normal 74 3 4" xfId="39191" xr:uid="{00000000-0005-0000-0000-00007A990000}"/>
    <cellStyle name="Normal 74 3 4 2" xfId="39192" xr:uid="{00000000-0005-0000-0000-00007B990000}"/>
    <cellStyle name="Normal 74 3 4 2 2" xfId="39193" xr:uid="{00000000-0005-0000-0000-00007C990000}"/>
    <cellStyle name="Normal 74 3 4 3" xfId="39194" xr:uid="{00000000-0005-0000-0000-00007D990000}"/>
    <cellStyle name="Normal 74 3 5" xfId="39195" xr:uid="{00000000-0005-0000-0000-00007E990000}"/>
    <cellStyle name="Normal 74 3 5 2" xfId="39196" xr:uid="{00000000-0005-0000-0000-00007F990000}"/>
    <cellStyle name="Normal 74 3 5 2 2" xfId="39197" xr:uid="{00000000-0005-0000-0000-000080990000}"/>
    <cellStyle name="Normal 74 3 5 3" xfId="39198" xr:uid="{00000000-0005-0000-0000-000081990000}"/>
    <cellStyle name="Normal 74 3 6" xfId="39199" xr:uid="{00000000-0005-0000-0000-000082990000}"/>
    <cellStyle name="Normal 74 4" xfId="39200" xr:uid="{00000000-0005-0000-0000-000083990000}"/>
    <cellStyle name="Normal 74 4 2" xfId="39201" xr:uid="{00000000-0005-0000-0000-000084990000}"/>
    <cellStyle name="Normal 74 4 2 2" xfId="39202" xr:uid="{00000000-0005-0000-0000-000085990000}"/>
    <cellStyle name="Normal 74 4 3" xfId="39203" xr:uid="{00000000-0005-0000-0000-000086990000}"/>
    <cellStyle name="Normal 74 5" xfId="39204" xr:uid="{00000000-0005-0000-0000-000087990000}"/>
    <cellStyle name="Normal 74 5 2" xfId="39205" xr:uid="{00000000-0005-0000-0000-000088990000}"/>
    <cellStyle name="Normal 74 5 2 2" xfId="39206" xr:uid="{00000000-0005-0000-0000-000089990000}"/>
    <cellStyle name="Normal 74 5 3" xfId="39207" xr:uid="{00000000-0005-0000-0000-00008A990000}"/>
    <cellStyle name="Normal 74 6" xfId="39208" xr:uid="{00000000-0005-0000-0000-00008B990000}"/>
    <cellStyle name="Normal 74 6 2" xfId="39209" xr:uid="{00000000-0005-0000-0000-00008C990000}"/>
    <cellStyle name="Normal 74 6 2 2" xfId="39210" xr:uid="{00000000-0005-0000-0000-00008D990000}"/>
    <cellStyle name="Normal 74 6 3" xfId="39211" xr:uid="{00000000-0005-0000-0000-00008E990000}"/>
    <cellStyle name="Normal 74 7" xfId="39212" xr:uid="{00000000-0005-0000-0000-00008F990000}"/>
    <cellStyle name="Normal 740" xfId="53870" xr:uid="{00000000-0005-0000-0000-000090990000}"/>
    <cellStyle name="Normal 741" xfId="53874" xr:uid="{00000000-0005-0000-0000-000091990000}"/>
    <cellStyle name="Normal 742" xfId="53877" xr:uid="{00000000-0005-0000-0000-000092990000}"/>
    <cellStyle name="Normal 743" xfId="53880" xr:uid="{00000000-0005-0000-0000-000093990000}"/>
    <cellStyle name="Normal 744" xfId="53883" xr:uid="{00000000-0005-0000-0000-000094990000}"/>
    <cellStyle name="Normal 745" xfId="53886" xr:uid="{00000000-0005-0000-0000-000095990000}"/>
    <cellStyle name="Normal 746" xfId="53890" xr:uid="{00000000-0005-0000-0000-000096990000}"/>
    <cellStyle name="Normal 747" xfId="53893" xr:uid="{6DBCCEF8-EFA8-4D28-B57F-2D0A6FD5C38E}"/>
    <cellStyle name="Normal 75" xfId="39213" xr:uid="{00000000-0005-0000-0000-000097990000}"/>
    <cellStyle name="Normal 75 2" xfId="39214" xr:uid="{00000000-0005-0000-0000-000098990000}"/>
    <cellStyle name="Normal 75 2 2" xfId="39215" xr:uid="{00000000-0005-0000-0000-000099990000}"/>
    <cellStyle name="Normal 75 2 2 2" xfId="39216" xr:uid="{00000000-0005-0000-0000-00009A990000}"/>
    <cellStyle name="Normal 75 2 3" xfId="39217" xr:uid="{00000000-0005-0000-0000-00009B990000}"/>
    <cellStyle name="Normal 75 2 3 2" xfId="39218" xr:uid="{00000000-0005-0000-0000-00009C990000}"/>
    <cellStyle name="Normal 75 2 3 2 2" xfId="39219" xr:uid="{00000000-0005-0000-0000-00009D990000}"/>
    <cellStyle name="Normal 75 2 3 3" xfId="39220" xr:uid="{00000000-0005-0000-0000-00009E990000}"/>
    <cellStyle name="Normal 75 2 4" xfId="39221" xr:uid="{00000000-0005-0000-0000-00009F990000}"/>
    <cellStyle name="Normal 75 2 4 2" xfId="39222" xr:uid="{00000000-0005-0000-0000-0000A0990000}"/>
    <cellStyle name="Normal 75 2 4 2 2" xfId="39223" xr:uid="{00000000-0005-0000-0000-0000A1990000}"/>
    <cellStyle name="Normal 75 2 4 3" xfId="39224" xr:uid="{00000000-0005-0000-0000-0000A2990000}"/>
    <cellStyle name="Normal 75 2 5" xfId="39225" xr:uid="{00000000-0005-0000-0000-0000A3990000}"/>
    <cellStyle name="Normal 75 3" xfId="39226" xr:uid="{00000000-0005-0000-0000-0000A4990000}"/>
    <cellStyle name="Normal 75 3 2" xfId="39227" xr:uid="{00000000-0005-0000-0000-0000A5990000}"/>
    <cellStyle name="Normal 75 3 2 2" xfId="39228" xr:uid="{00000000-0005-0000-0000-0000A6990000}"/>
    <cellStyle name="Normal 75 3 2 2 2" xfId="39229" xr:uid="{00000000-0005-0000-0000-0000A7990000}"/>
    <cellStyle name="Normal 75 3 2 3" xfId="39230" xr:uid="{00000000-0005-0000-0000-0000A8990000}"/>
    <cellStyle name="Normal 75 3 2 3 2" xfId="39231" xr:uid="{00000000-0005-0000-0000-0000A9990000}"/>
    <cellStyle name="Normal 75 3 2 3 2 2" xfId="39232" xr:uid="{00000000-0005-0000-0000-0000AA990000}"/>
    <cellStyle name="Normal 75 3 2 3 3" xfId="39233" xr:uid="{00000000-0005-0000-0000-0000AB990000}"/>
    <cellStyle name="Normal 75 3 2 4" xfId="39234" xr:uid="{00000000-0005-0000-0000-0000AC990000}"/>
    <cellStyle name="Normal 75 3 3" xfId="39235" xr:uid="{00000000-0005-0000-0000-0000AD990000}"/>
    <cellStyle name="Normal 75 3 3 2" xfId="39236" xr:uid="{00000000-0005-0000-0000-0000AE990000}"/>
    <cellStyle name="Normal 75 3 3 2 2" xfId="39237" xr:uid="{00000000-0005-0000-0000-0000AF990000}"/>
    <cellStyle name="Normal 75 3 3 3" xfId="39238" xr:uid="{00000000-0005-0000-0000-0000B0990000}"/>
    <cellStyle name="Normal 75 3 4" xfId="39239" xr:uid="{00000000-0005-0000-0000-0000B1990000}"/>
    <cellStyle name="Normal 75 3 4 2" xfId="39240" xr:uid="{00000000-0005-0000-0000-0000B2990000}"/>
    <cellStyle name="Normal 75 3 4 2 2" xfId="39241" xr:uid="{00000000-0005-0000-0000-0000B3990000}"/>
    <cellStyle name="Normal 75 3 4 3" xfId="39242" xr:uid="{00000000-0005-0000-0000-0000B4990000}"/>
    <cellStyle name="Normal 75 3 5" xfId="39243" xr:uid="{00000000-0005-0000-0000-0000B5990000}"/>
    <cellStyle name="Normal 75 3 5 2" xfId="39244" xr:uid="{00000000-0005-0000-0000-0000B6990000}"/>
    <cellStyle name="Normal 75 3 5 2 2" xfId="39245" xr:uid="{00000000-0005-0000-0000-0000B7990000}"/>
    <cellStyle name="Normal 75 3 5 3" xfId="39246" xr:uid="{00000000-0005-0000-0000-0000B8990000}"/>
    <cellStyle name="Normal 75 3 6" xfId="39247" xr:uid="{00000000-0005-0000-0000-0000B9990000}"/>
    <cellStyle name="Normal 75 4" xfId="39248" xr:uid="{00000000-0005-0000-0000-0000BA990000}"/>
    <cellStyle name="Normal 75 4 2" xfId="39249" xr:uid="{00000000-0005-0000-0000-0000BB990000}"/>
    <cellStyle name="Normal 75 4 2 2" xfId="39250" xr:uid="{00000000-0005-0000-0000-0000BC990000}"/>
    <cellStyle name="Normal 75 4 3" xfId="39251" xr:uid="{00000000-0005-0000-0000-0000BD990000}"/>
    <cellStyle name="Normal 75 5" xfId="39252" xr:uid="{00000000-0005-0000-0000-0000BE990000}"/>
    <cellStyle name="Normal 75 5 2" xfId="39253" xr:uid="{00000000-0005-0000-0000-0000BF990000}"/>
    <cellStyle name="Normal 75 5 2 2" xfId="39254" xr:uid="{00000000-0005-0000-0000-0000C0990000}"/>
    <cellStyle name="Normal 75 5 3" xfId="39255" xr:uid="{00000000-0005-0000-0000-0000C1990000}"/>
    <cellStyle name="Normal 75 6" xfId="39256" xr:uid="{00000000-0005-0000-0000-0000C2990000}"/>
    <cellStyle name="Normal 75 6 2" xfId="39257" xr:uid="{00000000-0005-0000-0000-0000C3990000}"/>
    <cellStyle name="Normal 75 6 2 2" xfId="39258" xr:uid="{00000000-0005-0000-0000-0000C4990000}"/>
    <cellStyle name="Normal 75 6 3" xfId="39259" xr:uid="{00000000-0005-0000-0000-0000C5990000}"/>
    <cellStyle name="Normal 75 7" xfId="39260" xr:uid="{00000000-0005-0000-0000-0000C6990000}"/>
    <cellStyle name="Normal 76" xfId="39261" xr:uid="{00000000-0005-0000-0000-0000C7990000}"/>
    <cellStyle name="Normal 76 2" xfId="39262" xr:uid="{00000000-0005-0000-0000-0000C8990000}"/>
    <cellStyle name="Normal 76 2 2" xfId="39263" xr:uid="{00000000-0005-0000-0000-0000C9990000}"/>
    <cellStyle name="Normal 76 2 2 2" xfId="39264" xr:uid="{00000000-0005-0000-0000-0000CA990000}"/>
    <cellStyle name="Normal 76 2 3" xfId="39265" xr:uid="{00000000-0005-0000-0000-0000CB990000}"/>
    <cellStyle name="Normal 76 2 3 2" xfId="39266" xr:uid="{00000000-0005-0000-0000-0000CC990000}"/>
    <cellStyle name="Normal 76 2 3 2 2" xfId="39267" xr:uid="{00000000-0005-0000-0000-0000CD990000}"/>
    <cellStyle name="Normal 76 2 3 3" xfId="39268" xr:uid="{00000000-0005-0000-0000-0000CE990000}"/>
    <cellStyle name="Normal 76 2 4" xfId="39269" xr:uid="{00000000-0005-0000-0000-0000CF990000}"/>
    <cellStyle name="Normal 76 2 4 2" xfId="39270" xr:uid="{00000000-0005-0000-0000-0000D0990000}"/>
    <cellStyle name="Normal 76 2 4 2 2" xfId="39271" xr:uid="{00000000-0005-0000-0000-0000D1990000}"/>
    <cellStyle name="Normal 76 2 4 3" xfId="39272" xr:uid="{00000000-0005-0000-0000-0000D2990000}"/>
    <cellStyle name="Normal 76 2 5" xfId="39273" xr:uid="{00000000-0005-0000-0000-0000D3990000}"/>
    <cellStyle name="Normal 76 3" xfId="39274" xr:uid="{00000000-0005-0000-0000-0000D4990000}"/>
    <cellStyle name="Normal 76 3 2" xfId="39275" xr:uid="{00000000-0005-0000-0000-0000D5990000}"/>
    <cellStyle name="Normal 76 3 2 2" xfId="39276" xr:uid="{00000000-0005-0000-0000-0000D6990000}"/>
    <cellStyle name="Normal 76 3 2 2 2" xfId="39277" xr:uid="{00000000-0005-0000-0000-0000D7990000}"/>
    <cellStyle name="Normal 76 3 2 3" xfId="39278" xr:uid="{00000000-0005-0000-0000-0000D8990000}"/>
    <cellStyle name="Normal 76 3 2 3 2" xfId="39279" xr:uid="{00000000-0005-0000-0000-0000D9990000}"/>
    <cellStyle name="Normal 76 3 2 3 2 2" xfId="39280" xr:uid="{00000000-0005-0000-0000-0000DA990000}"/>
    <cellStyle name="Normal 76 3 2 3 3" xfId="39281" xr:uid="{00000000-0005-0000-0000-0000DB990000}"/>
    <cellStyle name="Normal 76 3 2 4" xfId="39282" xr:uid="{00000000-0005-0000-0000-0000DC990000}"/>
    <cellStyle name="Normal 76 3 3" xfId="39283" xr:uid="{00000000-0005-0000-0000-0000DD990000}"/>
    <cellStyle name="Normal 76 3 3 2" xfId="39284" xr:uid="{00000000-0005-0000-0000-0000DE990000}"/>
    <cellStyle name="Normal 76 3 3 2 2" xfId="39285" xr:uid="{00000000-0005-0000-0000-0000DF990000}"/>
    <cellStyle name="Normal 76 3 3 3" xfId="39286" xr:uid="{00000000-0005-0000-0000-0000E0990000}"/>
    <cellStyle name="Normal 76 3 4" xfId="39287" xr:uid="{00000000-0005-0000-0000-0000E1990000}"/>
    <cellStyle name="Normal 76 3 4 2" xfId="39288" xr:uid="{00000000-0005-0000-0000-0000E2990000}"/>
    <cellStyle name="Normal 76 3 4 2 2" xfId="39289" xr:uid="{00000000-0005-0000-0000-0000E3990000}"/>
    <cellStyle name="Normal 76 3 4 3" xfId="39290" xr:uid="{00000000-0005-0000-0000-0000E4990000}"/>
    <cellStyle name="Normal 76 3 5" xfId="39291" xr:uid="{00000000-0005-0000-0000-0000E5990000}"/>
    <cellStyle name="Normal 76 3 5 2" xfId="39292" xr:uid="{00000000-0005-0000-0000-0000E6990000}"/>
    <cellStyle name="Normal 76 3 5 2 2" xfId="39293" xr:uid="{00000000-0005-0000-0000-0000E7990000}"/>
    <cellStyle name="Normal 76 3 5 3" xfId="39294" xr:uid="{00000000-0005-0000-0000-0000E8990000}"/>
    <cellStyle name="Normal 76 3 6" xfId="39295" xr:uid="{00000000-0005-0000-0000-0000E9990000}"/>
    <cellStyle name="Normal 76 4" xfId="39296" xr:uid="{00000000-0005-0000-0000-0000EA990000}"/>
    <cellStyle name="Normal 76 4 2" xfId="39297" xr:uid="{00000000-0005-0000-0000-0000EB990000}"/>
    <cellStyle name="Normal 76 4 2 2" xfId="39298" xr:uid="{00000000-0005-0000-0000-0000EC990000}"/>
    <cellStyle name="Normal 76 4 3" xfId="39299" xr:uid="{00000000-0005-0000-0000-0000ED990000}"/>
    <cellStyle name="Normal 76 5" xfId="39300" xr:uid="{00000000-0005-0000-0000-0000EE990000}"/>
    <cellStyle name="Normal 76 5 2" xfId="39301" xr:uid="{00000000-0005-0000-0000-0000EF990000}"/>
    <cellStyle name="Normal 76 5 2 2" xfId="39302" xr:uid="{00000000-0005-0000-0000-0000F0990000}"/>
    <cellStyle name="Normal 76 5 3" xfId="39303" xr:uid="{00000000-0005-0000-0000-0000F1990000}"/>
    <cellStyle name="Normal 76 6" xfId="39304" xr:uid="{00000000-0005-0000-0000-0000F2990000}"/>
    <cellStyle name="Normal 76 6 2" xfId="39305" xr:uid="{00000000-0005-0000-0000-0000F3990000}"/>
    <cellStyle name="Normal 76 6 2 2" xfId="39306" xr:uid="{00000000-0005-0000-0000-0000F4990000}"/>
    <cellStyle name="Normal 76 6 3" xfId="39307" xr:uid="{00000000-0005-0000-0000-0000F5990000}"/>
    <cellStyle name="Normal 76 7" xfId="39308" xr:uid="{00000000-0005-0000-0000-0000F6990000}"/>
    <cellStyle name="Normal 77" xfId="39309" xr:uid="{00000000-0005-0000-0000-0000F7990000}"/>
    <cellStyle name="Normal 77 2" xfId="39310" xr:uid="{00000000-0005-0000-0000-0000F8990000}"/>
    <cellStyle name="Normal 77 2 2" xfId="39311" xr:uid="{00000000-0005-0000-0000-0000F9990000}"/>
    <cellStyle name="Normal 77 2 2 2" xfId="39312" xr:uid="{00000000-0005-0000-0000-0000FA990000}"/>
    <cellStyle name="Normal 77 2 3" xfId="39313" xr:uid="{00000000-0005-0000-0000-0000FB990000}"/>
    <cellStyle name="Normal 77 2 3 2" xfId="39314" xr:uid="{00000000-0005-0000-0000-0000FC990000}"/>
    <cellStyle name="Normal 77 2 3 2 2" xfId="39315" xr:uid="{00000000-0005-0000-0000-0000FD990000}"/>
    <cellStyle name="Normal 77 2 3 3" xfId="39316" xr:uid="{00000000-0005-0000-0000-0000FE990000}"/>
    <cellStyle name="Normal 77 2 4" xfId="39317" xr:uid="{00000000-0005-0000-0000-0000FF990000}"/>
    <cellStyle name="Normal 77 2 4 2" xfId="39318" xr:uid="{00000000-0005-0000-0000-0000009A0000}"/>
    <cellStyle name="Normal 77 2 4 2 2" xfId="39319" xr:uid="{00000000-0005-0000-0000-0000019A0000}"/>
    <cellStyle name="Normal 77 2 4 3" xfId="39320" xr:uid="{00000000-0005-0000-0000-0000029A0000}"/>
    <cellStyle name="Normal 77 2 5" xfId="39321" xr:uid="{00000000-0005-0000-0000-0000039A0000}"/>
    <cellStyle name="Normal 77 3" xfId="39322" xr:uid="{00000000-0005-0000-0000-0000049A0000}"/>
    <cellStyle name="Normal 77 3 2" xfId="39323" xr:uid="{00000000-0005-0000-0000-0000059A0000}"/>
    <cellStyle name="Normal 77 3 2 2" xfId="39324" xr:uid="{00000000-0005-0000-0000-0000069A0000}"/>
    <cellStyle name="Normal 77 3 2 2 2" xfId="39325" xr:uid="{00000000-0005-0000-0000-0000079A0000}"/>
    <cellStyle name="Normal 77 3 2 3" xfId="39326" xr:uid="{00000000-0005-0000-0000-0000089A0000}"/>
    <cellStyle name="Normal 77 3 2 3 2" xfId="39327" xr:uid="{00000000-0005-0000-0000-0000099A0000}"/>
    <cellStyle name="Normal 77 3 2 3 2 2" xfId="39328" xr:uid="{00000000-0005-0000-0000-00000A9A0000}"/>
    <cellStyle name="Normal 77 3 2 3 3" xfId="39329" xr:uid="{00000000-0005-0000-0000-00000B9A0000}"/>
    <cellStyle name="Normal 77 3 2 4" xfId="39330" xr:uid="{00000000-0005-0000-0000-00000C9A0000}"/>
    <cellStyle name="Normal 77 3 3" xfId="39331" xr:uid="{00000000-0005-0000-0000-00000D9A0000}"/>
    <cellStyle name="Normal 77 3 3 2" xfId="39332" xr:uid="{00000000-0005-0000-0000-00000E9A0000}"/>
    <cellStyle name="Normal 77 3 3 2 2" xfId="39333" xr:uid="{00000000-0005-0000-0000-00000F9A0000}"/>
    <cellStyle name="Normal 77 3 3 3" xfId="39334" xr:uid="{00000000-0005-0000-0000-0000109A0000}"/>
    <cellStyle name="Normal 77 3 4" xfId="39335" xr:uid="{00000000-0005-0000-0000-0000119A0000}"/>
    <cellStyle name="Normal 77 3 4 2" xfId="39336" xr:uid="{00000000-0005-0000-0000-0000129A0000}"/>
    <cellStyle name="Normal 77 3 4 2 2" xfId="39337" xr:uid="{00000000-0005-0000-0000-0000139A0000}"/>
    <cellStyle name="Normal 77 3 4 3" xfId="39338" xr:uid="{00000000-0005-0000-0000-0000149A0000}"/>
    <cellStyle name="Normal 77 3 5" xfId="39339" xr:uid="{00000000-0005-0000-0000-0000159A0000}"/>
    <cellStyle name="Normal 77 3 5 2" xfId="39340" xr:uid="{00000000-0005-0000-0000-0000169A0000}"/>
    <cellStyle name="Normal 77 3 5 2 2" xfId="39341" xr:uid="{00000000-0005-0000-0000-0000179A0000}"/>
    <cellStyle name="Normal 77 3 5 3" xfId="39342" xr:uid="{00000000-0005-0000-0000-0000189A0000}"/>
    <cellStyle name="Normal 77 3 6" xfId="39343" xr:uid="{00000000-0005-0000-0000-0000199A0000}"/>
    <cellStyle name="Normal 77 4" xfId="39344" xr:uid="{00000000-0005-0000-0000-00001A9A0000}"/>
    <cellStyle name="Normal 77 4 2" xfId="39345" xr:uid="{00000000-0005-0000-0000-00001B9A0000}"/>
    <cellStyle name="Normal 77 4 2 2" xfId="39346" xr:uid="{00000000-0005-0000-0000-00001C9A0000}"/>
    <cellStyle name="Normal 77 4 3" xfId="39347" xr:uid="{00000000-0005-0000-0000-00001D9A0000}"/>
    <cellStyle name="Normal 77 5" xfId="39348" xr:uid="{00000000-0005-0000-0000-00001E9A0000}"/>
    <cellStyle name="Normal 77 5 2" xfId="39349" xr:uid="{00000000-0005-0000-0000-00001F9A0000}"/>
    <cellStyle name="Normal 77 5 2 2" xfId="39350" xr:uid="{00000000-0005-0000-0000-0000209A0000}"/>
    <cellStyle name="Normal 77 5 3" xfId="39351" xr:uid="{00000000-0005-0000-0000-0000219A0000}"/>
    <cellStyle name="Normal 77 6" xfId="39352" xr:uid="{00000000-0005-0000-0000-0000229A0000}"/>
    <cellStyle name="Normal 77 6 2" xfId="39353" xr:uid="{00000000-0005-0000-0000-0000239A0000}"/>
    <cellStyle name="Normal 77 6 2 2" xfId="39354" xr:uid="{00000000-0005-0000-0000-0000249A0000}"/>
    <cellStyle name="Normal 77 6 3" xfId="39355" xr:uid="{00000000-0005-0000-0000-0000259A0000}"/>
    <cellStyle name="Normal 77 7" xfId="39356" xr:uid="{00000000-0005-0000-0000-0000269A0000}"/>
    <cellStyle name="Normal 78" xfId="39357" xr:uid="{00000000-0005-0000-0000-0000279A0000}"/>
    <cellStyle name="Normal 78 2" xfId="39358" xr:uid="{00000000-0005-0000-0000-0000289A0000}"/>
    <cellStyle name="Normal 78 2 2" xfId="39359" xr:uid="{00000000-0005-0000-0000-0000299A0000}"/>
    <cellStyle name="Normal 78 2 2 2" xfId="39360" xr:uid="{00000000-0005-0000-0000-00002A9A0000}"/>
    <cellStyle name="Normal 78 2 3" xfId="39361" xr:uid="{00000000-0005-0000-0000-00002B9A0000}"/>
    <cellStyle name="Normal 78 2 3 2" xfId="39362" xr:uid="{00000000-0005-0000-0000-00002C9A0000}"/>
    <cellStyle name="Normal 78 2 3 2 2" xfId="39363" xr:uid="{00000000-0005-0000-0000-00002D9A0000}"/>
    <cellStyle name="Normal 78 2 3 3" xfId="39364" xr:uid="{00000000-0005-0000-0000-00002E9A0000}"/>
    <cellStyle name="Normal 78 2 4" xfId="39365" xr:uid="{00000000-0005-0000-0000-00002F9A0000}"/>
    <cellStyle name="Normal 78 2 4 2" xfId="39366" xr:uid="{00000000-0005-0000-0000-0000309A0000}"/>
    <cellStyle name="Normal 78 2 4 2 2" xfId="39367" xr:uid="{00000000-0005-0000-0000-0000319A0000}"/>
    <cellStyle name="Normal 78 2 4 3" xfId="39368" xr:uid="{00000000-0005-0000-0000-0000329A0000}"/>
    <cellStyle name="Normal 78 2 5" xfId="39369" xr:uid="{00000000-0005-0000-0000-0000339A0000}"/>
    <cellStyle name="Normal 78 3" xfId="39370" xr:uid="{00000000-0005-0000-0000-0000349A0000}"/>
    <cellStyle name="Normal 78 3 2" xfId="39371" xr:uid="{00000000-0005-0000-0000-0000359A0000}"/>
    <cellStyle name="Normal 78 3 2 2" xfId="39372" xr:uid="{00000000-0005-0000-0000-0000369A0000}"/>
    <cellStyle name="Normal 78 3 2 2 2" xfId="39373" xr:uid="{00000000-0005-0000-0000-0000379A0000}"/>
    <cellStyle name="Normal 78 3 2 3" xfId="39374" xr:uid="{00000000-0005-0000-0000-0000389A0000}"/>
    <cellStyle name="Normal 78 3 2 3 2" xfId="39375" xr:uid="{00000000-0005-0000-0000-0000399A0000}"/>
    <cellStyle name="Normal 78 3 2 3 2 2" xfId="39376" xr:uid="{00000000-0005-0000-0000-00003A9A0000}"/>
    <cellStyle name="Normal 78 3 2 3 3" xfId="39377" xr:uid="{00000000-0005-0000-0000-00003B9A0000}"/>
    <cellStyle name="Normal 78 3 2 4" xfId="39378" xr:uid="{00000000-0005-0000-0000-00003C9A0000}"/>
    <cellStyle name="Normal 78 3 3" xfId="39379" xr:uid="{00000000-0005-0000-0000-00003D9A0000}"/>
    <cellStyle name="Normal 78 3 3 2" xfId="39380" xr:uid="{00000000-0005-0000-0000-00003E9A0000}"/>
    <cellStyle name="Normal 78 3 3 2 2" xfId="39381" xr:uid="{00000000-0005-0000-0000-00003F9A0000}"/>
    <cellStyle name="Normal 78 3 3 3" xfId="39382" xr:uid="{00000000-0005-0000-0000-0000409A0000}"/>
    <cellStyle name="Normal 78 3 4" xfId="39383" xr:uid="{00000000-0005-0000-0000-0000419A0000}"/>
    <cellStyle name="Normal 78 3 4 2" xfId="39384" xr:uid="{00000000-0005-0000-0000-0000429A0000}"/>
    <cellStyle name="Normal 78 3 4 2 2" xfId="39385" xr:uid="{00000000-0005-0000-0000-0000439A0000}"/>
    <cellStyle name="Normal 78 3 4 3" xfId="39386" xr:uid="{00000000-0005-0000-0000-0000449A0000}"/>
    <cellStyle name="Normal 78 3 5" xfId="39387" xr:uid="{00000000-0005-0000-0000-0000459A0000}"/>
    <cellStyle name="Normal 78 3 5 2" xfId="39388" xr:uid="{00000000-0005-0000-0000-0000469A0000}"/>
    <cellStyle name="Normal 78 3 5 2 2" xfId="39389" xr:uid="{00000000-0005-0000-0000-0000479A0000}"/>
    <cellStyle name="Normal 78 3 5 3" xfId="39390" xr:uid="{00000000-0005-0000-0000-0000489A0000}"/>
    <cellStyle name="Normal 78 3 6" xfId="39391" xr:uid="{00000000-0005-0000-0000-0000499A0000}"/>
    <cellStyle name="Normal 78 4" xfId="39392" xr:uid="{00000000-0005-0000-0000-00004A9A0000}"/>
    <cellStyle name="Normal 78 4 2" xfId="39393" xr:uid="{00000000-0005-0000-0000-00004B9A0000}"/>
    <cellStyle name="Normal 78 4 2 2" xfId="39394" xr:uid="{00000000-0005-0000-0000-00004C9A0000}"/>
    <cellStyle name="Normal 78 4 3" xfId="39395" xr:uid="{00000000-0005-0000-0000-00004D9A0000}"/>
    <cellStyle name="Normal 78 5" xfId="39396" xr:uid="{00000000-0005-0000-0000-00004E9A0000}"/>
    <cellStyle name="Normal 78 5 2" xfId="39397" xr:uid="{00000000-0005-0000-0000-00004F9A0000}"/>
    <cellStyle name="Normal 78 5 2 2" xfId="39398" xr:uid="{00000000-0005-0000-0000-0000509A0000}"/>
    <cellStyle name="Normal 78 5 3" xfId="39399" xr:uid="{00000000-0005-0000-0000-0000519A0000}"/>
    <cellStyle name="Normal 78 6" xfId="39400" xr:uid="{00000000-0005-0000-0000-0000529A0000}"/>
    <cellStyle name="Normal 78 6 2" xfId="39401" xr:uid="{00000000-0005-0000-0000-0000539A0000}"/>
    <cellStyle name="Normal 78 6 2 2" xfId="39402" xr:uid="{00000000-0005-0000-0000-0000549A0000}"/>
    <cellStyle name="Normal 78 6 3" xfId="39403" xr:uid="{00000000-0005-0000-0000-0000559A0000}"/>
    <cellStyle name="Normal 78 7" xfId="39404" xr:uid="{00000000-0005-0000-0000-0000569A0000}"/>
    <cellStyle name="Normal 79" xfId="39405" xr:uid="{00000000-0005-0000-0000-0000579A0000}"/>
    <cellStyle name="Normal 79 2" xfId="39406" xr:uid="{00000000-0005-0000-0000-0000589A0000}"/>
    <cellStyle name="Normal 79 2 2" xfId="39407" xr:uid="{00000000-0005-0000-0000-0000599A0000}"/>
    <cellStyle name="Normal 79 2 2 2" xfId="39408" xr:uid="{00000000-0005-0000-0000-00005A9A0000}"/>
    <cellStyle name="Normal 79 2 3" xfId="39409" xr:uid="{00000000-0005-0000-0000-00005B9A0000}"/>
    <cellStyle name="Normal 79 2 3 2" xfId="39410" xr:uid="{00000000-0005-0000-0000-00005C9A0000}"/>
    <cellStyle name="Normal 79 2 3 2 2" xfId="39411" xr:uid="{00000000-0005-0000-0000-00005D9A0000}"/>
    <cellStyle name="Normal 79 2 3 3" xfId="39412" xr:uid="{00000000-0005-0000-0000-00005E9A0000}"/>
    <cellStyle name="Normal 79 2 4" xfId="39413" xr:uid="{00000000-0005-0000-0000-00005F9A0000}"/>
    <cellStyle name="Normal 79 2 4 2" xfId="39414" xr:uid="{00000000-0005-0000-0000-0000609A0000}"/>
    <cellStyle name="Normal 79 2 4 2 2" xfId="39415" xr:uid="{00000000-0005-0000-0000-0000619A0000}"/>
    <cellStyle name="Normal 79 2 4 3" xfId="39416" xr:uid="{00000000-0005-0000-0000-0000629A0000}"/>
    <cellStyle name="Normal 79 2 5" xfId="39417" xr:uid="{00000000-0005-0000-0000-0000639A0000}"/>
    <cellStyle name="Normal 79 3" xfId="39418" xr:uid="{00000000-0005-0000-0000-0000649A0000}"/>
    <cellStyle name="Normal 79 3 2" xfId="39419" xr:uid="{00000000-0005-0000-0000-0000659A0000}"/>
    <cellStyle name="Normal 79 3 2 2" xfId="39420" xr:uid="{00000000-0005-0000-0000-0000669A0000}"/>
    <cellStyle name="Normal 79 3 2 2 2" xfId="39421" xr:uid="{00000000-0005-0000-0000-0000679A0000}"/>
    <cellStyle name="Normal 79 3 2 3" xfId="39422" xr:uid="{00000000-0005-0000-0000-0000689A0000}"/>
    <cellStyle name="Normal 79 3 2 3 2" xfId="39423" xr:uid="{00000000-0005-0000-0000-0000699A0000}"/>
    <cellStyle name="Normal 79 3 2 3 2 2" xfId="39424" xr:uid="{00000000-0005-0000-0000-00006A9A0000}"/>
    <cellStyle name="Normal 79 3 2 3 3" xfId="39425" xr:uid="{00000000-0005-0000-0000-00006B9A0000}"/>
    <cellStyle name="Normal 79 3 2 4" xfId="39426" xr:uid="{00000000-0005-0000-0000-00006C9A0000}"/>
    <cellStyle name="Normal 79 3 3" xfId="39427" xr:uid="{00000000-0005-0000-0000-00006D9A0000}"/>
    <cellStyle name="Normal 79 3 3 2" xfId="39428" xr:uid="{00000000-0005-0000-0000-00006E9A0000}"/>
    <cellStyle name="Normal 79 3 3 2 2" xfId="39429" xr:uid="{00000000-0005-0000-0000-00006F9A0000}"/>
    <cellStyle name="Normal 79 3 3 3" xfId="39430" xr:uid="{00000000-0005-0000-0000-0000709A0000}"/>
    <cellStyle name="Normal 79 3 4" xfId="39431" xr:uid="{00000000-0005-0000-0000-0000719A0000}"/>
    <cellStyle name="Normal 79 3 4 2" xfId="39432" xr:uid="{00000000-0005-0000-0000-0000729A0000}"/>
    <cellStyle name="Normal 79 3 4 2 2" xfId="39433" xr:uid="{00000000-0005-0000-0000-0000739A0000}"/>
    <cellStyle name="Normal 79 3 4 3" xfId="39434" xr:uid="{00000000-0005-0000-0000-0000749A0000}"/>
    <cellStyle name="Normal 79 3 5" xfId="39435" xr:uid="{00000000-0005-0000-0000-0000759A0000}"/>
    <cellStyle name="Normal 79 3 5 2" xfId="39436" xr:uid="{00000000-0005-0000-0000-0000769A0000}"/>
    <cellStyle name="Normal 79 3 5 2 2" xfId="39437" xr:uid="{00000000-0005-0000-0000-0000779A0000}"/>
    <cellStyle name="Normal 79 3 5 3" xfId="39438" xr:uid="{00000000-0005-0000-0000-0000789A0000}"/>
    <cellStyle name="Normal 79 3 6" xfId="39439" xr:uid="{00000000-0005-0000-0000-0000799A0000}"/>
    <cellStyle name="Normal 79 4" xfId="39440" xr:uid="{00000000-0005-0000-0000-00007A9A0000}"/>
    <cellStyle name="Normal 79 4 2" xfId="39441" xr:uid="{00000000-0005-0000-0000-00007B9A0000}"/>
    <cellStyle name="Normal 79 4 2 2" xfId="39442" xr:uid="{00000000-0005-0000-0000-00007C9A0000}"/>
    <cellStyle name="Normal 79 4 3" xfId="39443" xr:uid="{00000000-0005-0000-0000-00007D9A0000}"/>
    <cellStyle name="Normal 79 5" xfId="39444" xr:uid="{00000000-0005-0000-0000-00007E9A0000}"/>
    <cellStyle name="Normal 79 5 2" xfId="39445" xr:uid="{00000000-0005-0000-0000-00007F9A0000}"/>
    <cellStyle name="Normal 79 5 2 2" xfId="39446" xr:uid="{00000000-0005-0000-0000-0000809A0000}"/>
    <cellStyle name="Normal 79 5 3" xfId="39447" xr:uid="{00000000-0005-0000-0000-0000819A0000}"/>
    <cellStyle name="Normal 79 6" xfId="39448" xr:uid="{00000000-0005-0000-0000-0000829A0000}"/>
    <cellStyle name="Normal 79 6 2" xfId="39449" xr:uid="{00000000-0005-0000-0000-0000839A0000}"/>
    <cellStyle name="Normal 79 6 2 2" xfId="39450" xr:uid="{00000000-0005-0000-0000-0000849A0000}"/>
    <cellStyle name="Normal 79 6 3" xfId="39451" xr:uid="{00000000-0005-0000-0000-0000859A0000}"/>
    <cellStyle name="Normal 79 7" xfId="39452" xr:uid="{00000000-0005-0000-0000-0000869A0000}"/>
    <cellStyle name="Normal 8" xfId="126" xr:uid="{00000000-0005-0000-0000-0000879A0000}"/>
    <cellStyle name="Normal 8 10" xfId="39454" xr:uid="{00000000-0005-0000-0000-0000889A0000}"/>
    <cellStyle name="Normal 8 11" xfId="39453" xr:uid="{00000000-0005-0000-0000-0000899A0000}"/>
    <cellStyle name="Normal 8 2" xfId="39455" xr:uid="{00000000-0005-0000-0000-00008A9A0000}"/>
    <cellStyle name="Normal 8 2 2" xfId="39456" xr:uid="{00000000-0005-0000-0000-00008B9A0000}"/>
    <cellStyle name="Normal 8 2 2 2" xfId="39457" xr:uid="{00000000-0005-0000-0000-00008C9A0000}"/>
    <cellStyle name="Normal 8 2 2 2 2" xfId="39458" xr:uid="{00000000-0005-0000-0000-00008D9A0000}"/>
    <cellStyle name="Normal 8 2 2 3" xfId="39459" xr:uid="{00000000-0005-0000-0000-00008E9A0000}"/>
    <cellStyle name="Normal 8 2 2 3 2" xfId="39460" xr:uid="{00000000-0005-0000-0000-00008F9A0000}"/>
    <cellStyle name="Normal 8 2 2 3 2 2" xfId="39461" xr:uid="{00000000-0005-0000-0000-0000909A0000}"/>
    <cellStyle name="Normal 8 2 2 3 3" xfId="39462" xr:uid="{00000000-0005-0000-0000-0000919A0000}"/>
    <cellStyle name="Normal 8 2 2 4" xfId="39463" xr:uid="{00000000-0005-0000-0000-0000929A0000}"/>
    <cellStyle name="Normal 8 2 2 4 2" xfId="39464" xr:uid="{00000000-0005-0000-0000-0000939A0000}"/>
    <cellStyle name="Normal 8 2 2 4 2 2" xfId="39465" xr:uid="{00000000-0005-0000-0000-0000949A0000}"/>
    <cellStyle name="Normal 8 2 2 4 3" xfId="39466" xr:uid="{00000000-0005-0000-0000-0000959A0000}"/>
    <cellStyle name="Normal 8 2 2 5" xfId="39467" xr:uid="{00000000-0005-0000-0000-0000969A0000}"/>
    <cellStyle name="Normal 8 2 3" xfId="39468" xr:uid="{00000000-0005-0000-0000-0000979A0000}"/>
    <cellStyle name="Normal 8 2 3 2" xfId="39469" xr:uid="{00000000-0005-0000-0000-0000989A0000}"/>
    <cellStyle name="Normal 8 2 3 2 2" xfId="39470" xr:uid="{00000000-0005-0000-0000-0000999A0000}"/>
    <cellStyle name="Normal 8 2 3 2 2 2" xfId="39471" xr:uid="{00000000-0005-0000-0000-00009A9A0000}"/>
    <cellStyle name="Normal 8 2 3 2 3" xfId="39472" xr:uid="{00000000-0005-0000-0000-00009B9A0000}"/>
    <cellStyle name="Normal 8 2 3 2 3 2" xfId="39473" xr:uid="{00000000-0005-0000-0000-00009C9A0000}"/>
    <cellStyle name="Normal 8 2 3 2 3 2 2" xfId="39474" xr:uid="{00000000-0005-0000-0000-00009D9A0000}"/>
    <cellStyle name="Normal 8 2 3 2 3 3" xfId="39475" xr:uid="{00000000-0005-0000-0000-00009E9A0000}"/>
    <cellStyle name="Normal 8 2 3 2 4" xfId="39476" xr:uid="{00000000-0005-0000-0000-00009F9A0000}"/>
    <cellStyle name="Normal 8 2 3 3" xfId="39477" xr:uid="{00000000-0005-0000-0000-0000A09A0000}"/>
    <cellStyle name="Normal 8 2 3 3 2" xfId="39478" xr:uid="{00000000-0005-0000-0000-0000A19A0000}"/>
    <cellStyle name="Normal 8 2 3 3 2 2" xfId="39479" xr:uid="{00000000-0005-0000-0000-0000A29A0000}"/>
    <cellStyle name="Normal 8 2 3 3 3" xfId="39480" xr:uid="{00000000-0005-0000-0000-0000A39A0000}"/>
    <cellStyle name="Normal 8 2 3 4" xfId="39481" xr:uid="{00000000-0005-0000-0000-0000A49A0000}"/>
    <cellStyle name="Normal 8 2 3 4 2" xfId="39482" xr:uid="{00000000-0005-0000-0000-0000A59A0000}"/>
    <cellStyle name="Normal 8 2 3 4 2 2" xfId="39483" xr:uid="{00000000-0005-0000-0000-0000A69A0000}"/>
    <cellStyle name="Normal 8 2 3 4 3" xfId="39484" xr:uid="{00000000-0005-0000-0000-0000A79A0000}"/>
    <cellStyle name="Normal 8 2 3 5" xfId="39485" xr:uid="{00000000-0005-0000-0000-0000A89A0000}"/>
    <cellStyle name="Normal 8 2 3 5 2" xfId="39486" xr:uid="{00000000-0005-0000-0000-0000A99A0000}"/>
    <cellStyle name="Normal 8 2 3 5 2 2" xfId="39487" xr:uid="{00000000-0005-0000-0000-0000AA9A0000}"/>
    <cellStyle name="Normal 8 2 3 5 3" xfId="39488" xr:uid="{00000000-0005-0000-0000-0000AB9A0000}"/>
    <cellStyle name="Normal 8 2 3 6" xfId="39489" xr:uid="{00000000-0005-0000-0000-0000AC9A0000}"/>
    <cellStyle name="Normal 8 2 4" xfId="39490" xr:uid="{00000000-0005-0000-0000-0000AD9A0000}"/>
    <cellStyle name="Normal 8 3" xfId="39491" xr:uid="{00000000-0005-0000-0000-0000AE9A0000}"/>
    <cellStyle name="Normal 8 3 2" xfId="39492" xr:uid="{00000000-0005-0000-0000-0000AF9A0000}"/>
    <cellStyle name="Normal 8 3 2 2" xfId="39493" xr:uid="{00000000-0005-0000-0000-0000B09A0000}"/>
    <cellStyle name="Normal 8 3 2 2 2" xfId="39494" xr:uid="{00000000-0005-0000-0000-0000B19A0000}"/>
    <cellStyle name="Normal 8 3 2 3" xfId="39495" xr:uid="{00000000-0005-0000-0000-0000B29A0000}"/>
    <cellStyle name="Normal 8 3 2 3 2" xfId="39496" xr:uid="{00000000-0005-0000-0000-0000B39A0000}"/>
    <cellStyle name="Normal 8 3 2 3 2 2" xfId="39497" xr:uid="{00000000-0005-0000-0000-0000B49A0000}"/>
    <cellStyle name="Normal 8 3 2 3 3" xfId="39498" xr:uid="{00000000-0005-0000-0000-0000B59A0000}"/>
    <cellStyle name="Normal 8 3 2 4" xfId="39499" xr:uid="{00000000-0005-0000-0000-0000B69A0000}"/>
    <cellStyle name="Normal 8 3 2 4 2" xfId="39500" xr:uid="{00000000-0005-0000-0000-0000B79A0000}"/>
    <cellStyle name="Normal 8 3 2 4 2 2" xfId="39501" xr:uid="{00000000-0005-0000-0000-0000B89A0000}"/>
    <cellStyle name="Normal 8 3 2 4 3" xfId="39502" xr:uid="{00000000-0005-0000-0000-0000B99A0000}"/>
    <cellStyle name="Normal 8 3 2 5" xfId="39503" xr:uid="{00000000-0005-0000-0000-0000BA9A0000}"/>
    <cellStyle name="Normal 8 3 3" xfId="39504" xr:uid="{00000000-0005-0000-0000-0000BB9A0000}"/>
    <cellStyle name="Normal 8 3 3 2" xfId="39505" xr:uid="{00000000-0005-0000-0000-0000BC9A0000}"/>
    <cellStyle name="Normal 8 3 3 2 2" xfId="39506" xr:uid="{00000000-0005-0000-0000-0000BD9A0000}"/>
    <cellStyle name="Normal 8 3 3 2 2 2" xfId="39507" xr:uid="{00000000-0005-0000-0000-0000BE9A0000}"/>
    <cellStyle name="Normal 8 3 3 2 3" xfId="39508" xr:uid="{00000000-0005-0000-0000-0000BF9A0000}"/>
    <cellStyle name="Normal 8 3 3 2 3 2" xfId="39509" xr:uid="{00000000-0005-0000-0000-0000C09A0000}"/>
    <cellStyle name="Normal 8 3 3 2 3 2 2" xfId="39510" xr:uid="{00000000-0005-0000-0000-0000C19A0000}"/>
    <cellStyle name="Normal 8 3 3 2 3 3" xfId="39511" xr:uid="{00000000-0005-0000-0000-0000C29A0000}"/>
    <cellStyle name="Normal 8 3 3 2 4" xfId="39512" xr:uid="{00000000-0005-0000-0000-0000C39A0000}"/>
    <cellStyle name="Normal 8 3 3 3" xfId="39513" xr:uid="{00000000-0005-0000-0000-0000C49A0000}"/>
    <cellStyle name="Normal 8 3 3 3 2" xfId="39514" xr:uid="{00000000-0005-0000-0000-0000C59A0000}"/>
    <cellStyle name="Normal 8 3 3 3 2 2" xfId="39515" xr:uid="{00000000-0005-0000-0000-0000C69A0000}"/>
    <cellStyle name="Normal 8 3 3 3 3" xfId="39516" xr:uid="{00000000-0005-0000-0000-0000C79A0000}"/>
    <cellStyle name="Normal 8 3 3 4" xfId="39517" xr:uid="{00000000-0005-0000-0000-0000C89A0000}"/>
    <cellStyle name="Normal 8 3 3 4 2" xfId="39518" xr:uid="{00000000-0005-0000-0000-0000C99A0000}"/>
    <cellStyle name="Normal 8 3 3 4 2 2" xfId="39519" xr:uid="{00000000-0005-0000-0000-0000CA9A0000}"/>
    <cellStyle name="Normal 8 3 3 4 3" xfId="39520" xr:uid="{00000000-0005-0000-0000-0000CB9A0000}"/>
    <cellStyle name="Normal 8 3 3 5" xfId="39521" xr:uid="{00000000-0005-0000-0000-0000CC9A0000}"/>
    <cellStyle name="Normal 8 3 3 5 2" xfId="39522" xr:uid="{00000000-0005-0000-0000-0000CD9A0000}"/>
    <cellStyle name="Normal 8 3 3 5 2 2" xfId="39523" xr:uid="{00000000-0005-0000-0000-0000CE9A0000}"/>
    <cellStyle name="Normal 8 3 3 5 3" xfId="39524" xr:uid="{00000000-0005-0000-0000-0000CF9A0000}"/>
    <cellStyle name="Normal 8 3 3 6" xfId="39525" xr:uid="{00000000-0005-0000-0000-0000D09A0000}"/>
    <cellStyle name="Normal 8 3 4" xfId="39526" xr:uid="{00000000-0005-0000-0000-0000D19A0000}"/>
    <cellStyle name="Normal 8 4" xfId="39527" xr:uid="{00000000-0005-0000-0000-0000D29A0000}"/>
    <cellStyle name="Normal 8 4 2" xfId="39528" xr:uid="{00000000-0005-0000-0000-0000D39A0000}"/>
    <cellStyle name="Normal 8 4 2 2" xfId="39529" xr:uid="{00000000-0005-0000-0000-0000D49A0000}"/>
    <cellStyle name="Normal 8 4 3" xfId="39530" xr:uid="{00000000-0005-0000-0000-0000D59A0000}"/>
    <cellStyle name="Normal 8 4 3 2" xfId="39531" xr:uid="{00000000-0005-0000-0000-0000D69A0000}"/>
    <cellStyle name="Normal 8 4 3 2 2" xfId="39532" xr:uid="{00000000-0005-0000-0000-0000D79A0000}"/>
    <cellStyle name="Normal 8 4 3 3" xfId="39533" xr:uid="{00000000-0005-0000-0000-0000D89A0000}"/>
    <cellStyle name="Normal 8 4 4" xfId="39534" xr:uid="{00000000-0005-0000-0000-0000D99A0000}"/>
    <cellStyle name="Normal 8 4 4 2" xfId="39535" xr:uid="{00000000-0005-0000-0000-0000DA9A0000}"/>
    <cellStyle name="Normal 8 4 4 2 2" xfId="39536" xr:uid="{00000000-0005-0000-0000-0000DB9A0000}"/>
    <cellStyle name="Normal 8 4 4 3" xfId="39537" xr:uid="{00000000-0005-0000-0000-0000DC9A0000}"/>
    <cellStyle name="Normal 8 4 5" xfId="39538" xr:uid="{00000000-0005-0000-0000-0000DD9A0000}"/>
    <cellStyle name="Normal 8 5" xfId="39539" xr:uid="{00000000-0005-0000-0000-0000DE9A0000}"/>
    <cellStyle name="Normal 8 5 2" xfId="39540" xr:uid="{00000000-0005-0000-0000-0000DF9A0000}"/>
    <cellStyle name="Normal 8 5 2 2" xfId="39541" xr:uid="{00000000-0005-0000-0000-0000E09A0000}"/>
    <cellStyle name="Normal 8 5 3" xfId="39542" xr:uid="{00000000-0005-0000-0000-0000E19A0000}"/>
    <cellStyle name="Normal 8 5 3 2" xfId="39543" xr:uid="{00000000-0005-0000-0000-0000E29A0000}"/>
    <cellStyle name="Normal 8 5 3 2 2" xfId="39544" xr:uid="{00000000-0005-0000-0000-0000E39A0000}"/>
    <cellStyle name="Normal 8 5 3 3" xfId="39545" xr:uid="{00000000-0005-0000-0000-0000E49A0000}"/>
    <cellStyle name="Normal 8 5 4" xfId="39546" xr:uid="{00000000-0005-0000-0000-0000E59A0000}"/>
    <cellStyle name="Normal 8 5 4 2" xfId="39547" xr:uid="{00000000-0005-0000-0000-0000E69A0000}"/>
    <cellStyle name="Normal 8 5 4 2 2" xfId="39548" xr:uid="{00000000-0005-0000-0000-0000E79A0000}"/>
    <cellStyle name="Normal 8 5 4 3" xfId="39549" xr:uid="{00000000-0005-0000-0000-0000E89A0000}"/>
    <cellStyle name="Normal 8 5 5" xfId="39550" xr:uid="{00000000-0005-0000-0000-0000E99A0000}"/>
    <cellStyle name="Normal 8 6" xfId="39551" xr:uid="{00000000-0005-0000-0000-0000EA9A0000}"/>
    <cellStyle name="Normal 8 6 2" xfId="39552" xr:uid="{00000000-0005-0000-0000-0000EB9A0000}"/>
    <cellStyle name="Normal 8 6 2 2" xfId="39553" xr:uid="{00000000-0005-0000-0000-0000EC9A0000}"/>
    <cellStyle name="Normal 8 6 2 2 2" xfId="39554" xr:uid="{00000000-0005-0000-0000-0000ED9A0000}"/>
    <cellStyle name="Normal 8 6 2 3" xfId="39555" xr:uid="{00000000-0005-0000-0000-0000EE9A0000}"/>
    <cellStyle name="Normal 8 6 2 3 2" xfId="39556" xr:uid="{00000000-0005-0000-0000-0000EF9A0000}"/>
    <cellStyle name="Normal 8 6 2 3 2 2" xfId="39557" xr:uid="{00000000-0005-0000-0000-0000F09A0000}"/>
    <cellStyle name="Normal 8 6 2 3 3" xfId="39558" xr:uid="{00000000-0005-0000-0000-0000F19A0000}"/>
    <cellStyle name="Normal 8 6 2 4" xfId="39559" xr:uid="{00000000-0005-0000-0000-0000F29A0000}"/>
    <cellStyle name="Normal 8 6 3" xfId="39560" xr:uid="{00000000-0005-0000-0000-0000F39A0000}"/>
    <cellStyle name="Normal 8 6 3 2" xfId="39561" xr:uid="{00000000-0005-0000-0000-0000F49A0000}"/>
    <cellStyle name="Normal 8 6 3 2 2" xfId="39562" xr:uid="{00000000-0005-0000-0000-0000F59A0000}"/>
    <cellStyle name="Normal 8 6 3 3" xfId="39563" xr:uid="{00000000-0005-0000-0000-0000F69A0000}"/>
    <cellStyle name="Normal 8 6 4" xfId="39564" xr:uid="{00000000-0005-0000-0000-0000F79A0000}"/>
    <cellStyle name="Normal 8 6 4 2" xfId="39565" xr:uid="{00000000-0005-0000-0000-0000F89A0000}"/>
    <cellStyle name="Normal 8 6 4 2 2" xfId="39566" xr:uid="{00000000-0005-0000-0000-0000F99A0000}"/>
    <cellStyle name="Normal 8 6 4 3" xfId="39567" xr:uid="{00000000-0005-0000-0000-0000FA9A0000}"/>
    <cellStyle name="Normal 8 6 5" xfId="39568" xr:uid="{00000000-0005-0000-0000-0000FB9A0000}"/>
    <cellStyle name="Normal 8 6 5 2" xfId="39569" xr:uid="{00000000-0005-0000-0000-0000FC9A0000}"/>
    <cellStyle name="Normal 8 6 5 2 2" xfId="39570" xr:uid="{00000000-0005-0000-0000-0000FD9A0000}"/>
    <cellStyle name="Normal 8 6 5 3" xfId="39571" xr:uid="{00000000-0005-0000-0000-0000FE9A0000}"/>
    <cellStyle name="Normal 8 6 6" xfId="39572" xr:uid="{00000000-0005-0000-0000-0000FF9A0000}"/>
    <cellStyle name="Normal 8 7" xfId="39573" xr:uid="{00000000-0005-0000-0000-0000009B0000}"/>
    <cellStyle name="Normal 8 7 2" xfId="39574" xr:uid="{00000000-0005-0000-0000-0000019B0000}"/>
    <cellStyle name="Normal 8 7 2 2" xfId="39575" xr:uid="{00000000-0005-0000-0000-0000029B0000}"/>
    <cellStyle name="Normal 8 7 3" xfId="39576" xr:uid="{00000000-0005-0000-0000-0000039B0000}"/>
    <cellStyle name="Normal 8 8" xfId="39577" xr:uid="{00000000-0005-0000-0000-0000049B0000}"/>
    <cellStyle name="Normal 8 8 2" xfId="39578" xr:uid="{00000000-0005-0000-0000-0000059B0000}"/>
    <cellStyle name="Normal 8 8 2 2" xfId="39579" xr:uid="{00000000-0005-0000-0000-0000069B0000}"/>
    <cellStyle name="Normal 8 8 3" xfId="39580" xr:uid="{00000000-0005-0000-0000-0000079B0000}"/>
    <cellStyle name="Normal 8 9" xfId="39581" xr:uid="{00000000-0005-0000-0000-0000089B0000}"/>
    <cellStyle name="Normal 8 9 2" xfId="39582" xr:uid="{00000000-0005-0000-0000-0000099B0000}"/>
    <cellStyle name="Normal 80" xfId="39583" xr:uid="{00000000-0005-0000-0000-00000A9B0000}"/>
    <cellStyle name="Normal 80 2" xfId="39584" xr:uid="{00000000-0005-0000-0000-00000B9B0000}"/>
    <cellStyle name="Normal 80 2 2" xfId="39585" xr:uid="{00000000-0005-0000-0000-00000C9B0000}"/>
    <cellStyle name="Normal 80 2 2 2" xfId="39586" xr:uid="{00000000-0005-0000-0000-00000D9B0000}"/>
    <cellStyle name="Normal 80 2 3" xfId="39587" xr:uid="{00000000-0005-0000-0000-00000E9B0000}"/>
    <cellStyle name="Normal 80 2 3 2" xfId="39588" xr:uid="{00000000-0005-0000-0000-00000F9B0000}"/>
    <cellStyle name="Normal 80 2 3 2 2" xfId="39589" xr:uid="{00000000-0005-0000-0000-0000109B0000}"/>
    <cellStyle name="Normal 80 2 3 3" xfId="39590" xr:uid="{00000000-0005-0000-0000-0000119B0000}"/>
    <cellStyle name="Normal 80 2 4" xfId="39591" xr:uid="{00000000-0005-0000-0000-0000129B0000}"/>
    <cellStyle name="Normal 80 2 4 2" xfId="39592" xr:uid="{00000000-0005-0000-0000-0000139B0000}"/>
    <cellStyle name="Normal 80 2 4 2 2" xfId="39593" xr:uid="{00000000-0005-0000-0000-0000149B0000}"/>
    <cellStyle name="Normal 80 2 4 3" xfId="39594" xr:uid="{00000000-0005-0000-0000-0000159B0000}"/>
    <cellStyle name="Normal 80 2 5" xfId="39595" xr:uid="{00000000-0005-0000-0000-0000169B0000}"/>
    <cellStyle name="Normal 80 3" xfId="39596" xr:uid="{00000000-0005-0000-0000-0000179B0000}"/>
    <cellStyle name="Normal 80 3 2" xfId="39597" xr:uid="{00000000-0005-0000-0000-0000189B0000}"/>
    <cellStyle name="Normal 80 3 2 2" xfId="39598" xr:uid="{00000000-0005-0000-0000-0000199B0000}"/>
    <cellStyle name="Normal 80 3 2 2 2" xfId="39599" xr:uid="{00000000-0005-0000-0000-00001A9B0000}"/>
    <cellStyle name="Normal 80 3 2 3" xfId="39600" xr:uid="{00000000-0005-0000-0000-00001B9B0000}"/>
    <cellStyle name="Normal 80 3 2 3 2" xfId="39601" xr:uid="{00000000-0005-0000-0000-00001C9B0000}"/>
    <cellStyle name="Normal 80 3 2 3 2 2" xfId="39602" xr:uid="{00000000-0005-0000-0000-00001D9B0000}"/>
    <cellStyle name="Normal 80 3 2 3 3" xfId="39603" xr:uid="{00000000-0005-0000-0000-00001E9B0000}"/>
    <cellStyle name="Normal 80 3 2 4" xfId="39604" xr:uid="{00000000-0005-0000-0000-00001F9B0000}"/>
    <cellStyle name="Normal 80 3 3" xfId="39605" xr:uid="{00000000-0005-0000-0000-0000209B0000}"/>
    <cellStyle name="Normal 80 3 3 2" xfId="39606" xr:uid="{00000000-0005-0000-0000-0000219B0000}"/>
    <cellStyle name="Normal 80 3 3 2 2" xfId="39607" xr:uid="{00000000-0005-0000-0000-0000229B0000}"/>
    <cellStyle name="Normal 80 3 3 3" xfId="39608" xr:uid="{00000000-0005-0000-0000-0000239B0000}"/>
    <cellStyle name="Normal 80 3 4" xfId="39609" xr:uid="{00000000-0005-0000-0000-0000249B0000}"/>
    <cellStyle name="Normal 80 3 4 2" xfId="39610" xr:uid="{00000000-0005-0000-0000-0000259B0000}"/>
    <cellStyle name="Normal 80 3 4 2 2" xfId="39611" xr:uid="{00000000-0005-0000-0000-0000269B0000}"/>
    <cellStyle name="Normal 80 3 4 3" xfId="39612" xr:uid="{00000000-0005-0000-0000-0000279B0000}"/>
    <cellStyle name="Normal 80 3 5" xfId="39613" xr:uid="{00000000-0005-0000-0000-0000289B0000}"/>
    <cellStyle name="Normal 80 3 5 2" xfId="39614" xr:uid="{00000000-0005-0000-0000-0000299B0000}"/>
    <cellStyle name="Normal 80 3 5 2 2" xfId="39615" xr:uid="{00000000-0005-0000-0000-00002A9B0000}"/>
    <cellStyle name="Normal 80 3 5 3" xfId="39616" xr:uid="{00000000-0005-0000-0000-00002B9B0000}"/>
    <cellStyle name="Normal 80 3 6" xfId="39617" xr:uid="{00000000-0005-0000-0000-00002C9B0000}"/>
    <cellStyle name="Normal 80 4" xfId="39618" xr:uid="{00000000-0005-0000-0000-00002D9B0000}"/>
    <cellStyle name="Normal 80 4 2" xfId="39619" xr:uid="{00000000-0005-0000-0000-00002E9B0000}"/>
    <cellStyle name="Normal 80 4 2 2" xfId="39620" xr:uid="{00000000-0005-0000-0000-00002F9B0000}"/>
    <cellStyle name="Normal 80 4 3" xfId="39621" xr:uid="{00000000-0005-0000-0000-0000309B0000}"/>
    <cellStyle name="Normal 80 5" xfId="39622" xr:uid="{00000000-0005-0000-0000-0000319B0000}"/>
    <cellStyle name="Normal 80 5 2" xfId="39623" xr:uid="{00000000-0005-0000-0000-0000329B0000}"/>
    <cellStyle name="Normal 80 5 2 2" xfId="39624" xr:uid="{00000000-0005-0000-0000-0000339B0000}"/>
    <cellStyle name="Normal 80 5 3" xfId="39625" xr:uid="{00000000-0005-0000-0000-0000349B0000}"/>
    <cellStyle name="Normal 80 6" xfId="39626" xr:uid="{00000000-0005-0000-0000-0000359B0000}"/>
    <cellStyle name="Normal 80 6 2" xfId="39627" xr:uid="{00000000-0005-0000-0000-0000369B0000}"/>
    <cellStyle name="Normal 80 6 2 2" xfId="39628" xr:uid="{00000000-0005-0000-0000-0000379B0000}"/>
    <cellStyle name="Normal 80 6 3" xfId="39629" xr:uid="{00000000-0005-0000-0000-0000389B0000}"/>
    <cellStyle name="Normal 80 7" xfId="39630" xr:uid="{00000000-0005-0000-0000-0000399B0000}"/>
    <cellStyle name="Normal 81" xfId="39631" xr:uid="{00000000-0005-0000-0000-00003A9B0000}"/>
    <cellStyle name="Normal 81 2" xfId="39632" xr:uid="{00000000-0005-0000-0000-00003B9B0000}"/>
    <cellStyle name="Normal 81 2 2" xfId="39633" xr:uid="{00000000-0005-0000-0000-00003C9B0000}"/>
    <cellStyle name="Normal 81 2 2 2" xfId="39634" xr:uid="{00000000-0005-0000-0000-00003D9B0000}"/>
    <cellStyle name="Normal 81 2 3" xfId="39635" xr:uid="{00000000-0005-0000-0000-00003E9B0000}"/>
    <cellStyle name="Normal 81 2 3 2" xfId="39636" xr:uid="{00000000-0005-0000-0000-00003F9B0000}"/>
    <cellStyle name="Normal 81 2 3 2 2" xfId="39637" xr:uid="{00000000-0005-0000-0000-0000409B0000}"/>
    <cellStyle name="Normal 81 2 3 3" xfId="39638" xr:uid="{00000000-0005-0000-0000-0000419B0000}"/>
    <cellStyle name="Normal 81 2 4" xfId="39639" xr:uid="{00000000-0005-0000-0000-0000429B0000}"/>
    <cellStyle name="Normal 81 2 4 2" xfId="39640" xr:uid="{00000000-0005-0000-0000-0000439B0000}"/>
    <cellStyle name="Normal 81 2 4 2 2" xfId="39641" xr:uid="{00000000-0005-0000-0000-0000449B0000}"/>
    <cellStyle name="Normal 81 2 4 3" xfId="39642" xr:uid="{00000000-0005-0000-0000-0000459B0000}"/>
    <cellStyle name="Normal 81 2 5" xfId="39643" xr:uid="{00000000-0005-0000-0000-0000469B0000}"/>
    <cellStyle name="Normal 81 3" xfId="39644" xr:uid="{00000000-0005-0000-0000-0000479B0000}"/>
    <cellStyle name="Normal 81 3 2" xfId="39645" xr:uid="{00000000-0005-0000-0000-0000489B0000}"/>
    <cellStyle name="Normal 81 3 2 2" xfId="39646" xr:uid="{00000000-0005-0000-0000-0000499B0000}"/>
    <cellStyle name="Normal 81 3 2 2 2" xfId="39647" xr:uid="{00000000-0005-0000-0000-00004A9B0000}"/>
    <cellStyle name="Normal 81 3 2 3" xfId="39648" xr:uid="{00000000-0005-0000-0000-00004B9B0000}"/>
    <cellStyle name="Normal 81 3 2 3 2" xfId="39649" xr:uid="{00000000-0005-0000-0000-00004C9B0000}"/>
    <cellStyle name="Normal 81 3 2 3 2 2" xfId="39650" xr:uid="{00000000-0005-0000-0000-00004D9B0000}"/>
    <cellStyle name="Normal 81 3 2 3 3" xfId="39651" xr:uid="{00000000-0005-0000-0000-00004E9B0000}"/>
    <cellStyle name="Normal 81 3 2 4" xfId="39652" xr:uid="{00000000-0005-0000-0000-00004F9B0000}"/>
    <cellStyle name="Normal 81 3 3" xfId="39653" xr:uid="{00000000-0005-0000-0000-0000509B0000}"/>
    <cellStyle name="Normal 81 3 3 2" xfId="39654" xr:uid="{00000000-0005-0000-0000-0000519B0000}"/>
    <cellStyle name="Normal 81 3 3 2 2" xfId="39655" xr:uid="{00000000-0005-0000-0000-0000529B0000}"/>
    <cellStyle name="Normal 81 3 3 3" xfId="39656" xr:uid="{00000000-0005-0000-0000-0000539B0000}"/>
    <cellStyle name="Normal 81 3 4" xfId="39657" xr:uid="{00000000-0005-0000-0000-0000549B0000}"/>
    <cellStyle name="Normal 81 3 4 2" xfId="39658" xr:uid="{00000000-0005-0000-0000-0000559B0000}"/>
    <cellStyle name="Normal 81 3 4 2 2" xfId="39659" xr:uid="{00000000-0005-0000-0000-0000569B0000}"/>
    <cellStyle name="Normal 81 3 4 3" xfId="39660" xr:uid="{00000000-0005-0000-0000-0000579B0000}"/>
    <cellStyle name="Normal 81 3 5" xfId="39661" xr:uid="{00000000-0005-0000-0000-0000589B0000}"/>
    <cellStyle name="Normal 81 3 5 2" xfId="39662" xr:uid="{00000000-0005-0000-0000-0000599B0000}"/>
    <cellStyle name="Normal 81 3 5 2 2" xfId="39663" xr:uid="{00000000-0005-0000-0000-00005A9B0000}"/>
    <cellStyle name="Normal 81 3 5 3" xfId="39664" xr:uid="{00000000-0005-0000-0000-00005B9B0000}"/>
    <cellStyle name="Normal 81 3 6" xfId="39665" xr:uid="{00000000-0005-0000-0000-00005C9B0000}"/>
    <cellStyle name="Normal 81 4" xfId="39666" xr:uid="{00000000-0005-0000-0000-00005D9B0000}"/>
    <cellStyle name="Normal 81 4 2" xfId="39667" xr:uid="{00000000-0005-0000-0000-00005E9B0000}"/>
    <cellStyle name="Normal 81 4 2 2" xfId="39668" xr:uid="{00000000-0005-0000-0000-00005F9B0000}"/>
    <cellStyle name="Normal 81 4 3" xfId="39669" xr:uid="{00000000-0005-0000-0000-0000609B0000}"/>
    <cellStyle name="Normal 81 5" xfId="39670" xr:uid="{00000000-0005-0000-0000-0000619B0000}"/>
    <cellStyle name="Normal 81 5 2" xfId="39671" xr:uid="{00000000-0005-0000-0000-0000629B0000}"/>
    <cellStyle name="Normal 81 5 2 2" xfId="39672" xr:uid="{00000000-0005-0000-0000-0000639B0000}"/>
    <cellStyle name="Normal 81 5 3" xfId="39673" xr:uid="{00000000-0005-0000-0000-0000649B0000}"/>
    <cellStyle name="Normal 81 6" xfId="39674" xr:uid="{00000000-0005-0000-0000-0000659B0000}"/>
    <cellStyle name="Normal 81 6 2" xfId="39675" xr:uid="{00000000-0005-0000-0000-0000669B0000}"/>
    <cellStyle name="Normal 81 6 2 2" xfId="39676" xr:uid="{00000000-0005-0000-0000-0000679B0000}"/>
    <cellStyle name="Normal 81 6 3" xfId="39677" xr:uid="{00000000-0005-0000-0000-0000689B0000}"/>
    <cellStyle name="Normal 81 7" xfId="39678" xr:uid="{00000000-0005-0000-0000-0000699B0000}"/>
    <cellStyle name="Normal 82" xfId="39679" xr:uid="{00000000-0005-0000-0000-00006A9B0000}"/>
    <cellStyle name="Normal 82 2" xfId="39680" xr:uid="{00000000-0005-0000-0000-00006B9B0000}"/>
    <cellStyle name="Normal 82 2 2" xfId="39681" xr:uid="{00000000-0005-0000-0000-00006C9B0000}"/>
    <cellStyle name="Normal 82 2 2 2" xfId="39682" xr:uid="{00000000-0005-0000-0000-00006D9B0000}"/>
    <cellStyle name="Normal 82 2 3" xfId="39683" xr:uid="{00000000-0005-0000-0000-00006E9B0000}"/>
    <cellStyle name="Normal 82 2 3 2" xfId="39684" xr:uid="{00000000-0005-0000-0000-00006F9B0000}"/>
    <cellStyle name="Normal 82 2 3 2 2" xfId="39685" xr:uid="{00000000-0005-0000-0000-0000709B0000}"/>
    <cellStyle name="Normal 82 2 3 3" xfId="39686" xr:uid="{00000000-0005-0000-0000-0000719B0000}"/>
    <cellStyle name="Normal 82 2 4" xfId="39687" xr:uid="{00000000-0005-0000-0000-0000729B0000}"/>
    <cellStyle name="Normal 82 2 4 2" xfId="39688" xr:uid="{00000000-0005-0000-0000-0000739B0000}"/>
    <cellStyle name="Normal 82 2 4 2 2" xfId="39689" xr:uid="{00000000-0005-0000-0000-0000749B0000}"/>
    <cellStyle name="Normal 82 2 4 3" xfId="39690" xr:uid="{00000000-0005-0000-0000-0000759B0000}"/>
    <cellStyle name="Normal 82 2 5" xfId="39691" xr:uid="{00000000-0005-0000-0000-0000769B0000}"/>
    <cellStyle name="Normal 82 3" xfId="39692" xr:uid="{00000000-0005-0000-0000-0000779B0000}"/>
    <cellStyle name="Normal 82 3 2" xfId="39693" xr:uid="{00000000-0005-0000-0000-0000789B0000}"/>
    <cellStyle name="Normal 82 3 2 2" xfId="39694" xr:uid="{00000000-0005-0000-0000-0000799B0000}"/>
    <cellStyle name="Normal 82 3 2 2 2" xfId="39695" xr:uid="{00000000-0005-0000-0000-00007A9B0000}"/>
    <cellStyle name="Normal 82 3 2 3" xfId="39696" xr:uid="{00000000-0005-0000-0000-00007B9B0000}"/>
    <cellStyle name="Normal 82 3 2 3 2" xfId="39697" xr:uid="{00000000-0005-0000-0000-00007C9B0000}"/>
    <cellStyle name="Normal 82 3 2 3 2 2" xfId="39698" xr:uid="{00000000-0005-0000-0000-00007D9B0000}"/>
    <cellStyle name="Normal 82 3 2 3 3" xfId="39699" xr:uid="{00000000-0005-0000-0000-00007E9B0000}"/>
    <cellStyle name="Normal 82 3 2 4" xfId="39700" xr:uid="{00000000-0005-0000-0000-00007F9B0000}"/>
    <cellStyle name="Normal 82 3 3" xfId="39701" xr:uid="{00000000-0005-0000-0000-0000809B0000}"/>
    <cellStyle name="Normal 82 3 3 2" xfId="39702" xr:uid="{00000000-0005-0000-0000-0000819B0000}"/>
    <cellStyle name="Normal 82 3 3 2 2" xfId="39703" xr:uid="{00000000-0005-0000-0000-0000829B0000}"/>
    <cellStyle name="Normal 82 3 3 3" xfId="39704" xr:uid="{00000000-0005-0000-0000-0000839B0000}"/>
    <cellStyle name="Normal 82 3 4" xfId="39705" xr:uid="{00000000-0005-0000-0000-0000849B0000}"/>
    <cellStyle name="Normal 82 3 4 2" xfId="39706" xr:uid="{00000000-0005-0000-0000-0000859B0000}"/>
    <cellStyle name="Normal 82 3 4 2 2" xfId="39707" xr:uid="{00000000-0005-0000-0000-0000869B0000}"/>
    <cellStyle name="Normal 82 3 4 3" xfId="39708" xr:uid="{00000000-0005-0000-0000-0000879B0000}"/>
    <cellStyle name="Normal 82 3 5" xfId="39709" xr:uid="{00000000-0005-0000-0000-0000889B0000}"/>
    <cellStyle name="Normal 82 3 5 2" xfId="39710" xr:uid="{00000000-0005-0000-0000-0000899B0000}"/>
    <cellStyle name="Normal 82 3 5 2 2" xfId="39711" xr:uid="{00000000-0005-0000-0000-00008A9B0000}"/>
    <cellStyle name="Normal 82 3 5 3" xfId="39712" xr:uid="{00000000-0005-0000-0000-00008B9B0000}"/>
    <cellStyle name="Normal 82 3 6" xfId="39713" xr:uid="{00000000-0005-0000-0000-00008C9B0000}"/>
    <cellStyle name="Normal 82 4" xfId="39714" xr:uid="{00000000-0005-0000-0000-00008D9B0000}"/>
    <cellStyle name="Normal 82 4 2" xfId="39715" xr:uid="{00000000-0005-0000-0000-00008E9B0000}"/>
    <cellStyle name="Normal 82 4 2 2" xfId="39716" xr:uid="{00000000-0005-0000-0000-00008F9B0000}"/>
    <cellStyle name="Normal 82 4 3" xfId="39717" xr:uid="{00000000-0005-0000-0000-0000909B0000}"/>
    <cellStyle name="Normal 82 5" xfId="39718" xr:uid="{00000000-0005-0000-0000-0000919B0000}"/>
    <cellStyle name="Normal 82 5 2" xfId="39719" xr:uid="{00000000-0005-0000-0000-0000929B0000}"/>
    <cellStyle name="Normal 82 5 2 2" xfId="39720" xr:uid="{00000000-0005-0000-0000-0000939B0000}"/>
    <cellStyle name="Normal 82 5 3" xfId="39721" xr:uid="{00000000-0005-0000-0000-0000949B0000}"/>
    <cellStyle name="Normal 82 6" xfId="39722" xr:uid="{00000000-0005-0000-0000-0000959B0000}"/>
    <cellStyle name="Normal 82 6 2" xfId="39723" xr:uid="{00000000-0005-0000-0000-0000969B0000}"/>
    <cellStyle name="Normal 82 6 2 2" xfId="39724" xr:uid="{00000000-0005-0000-0000-0000979B0000}"/>
    <cellStyle name="Normal 82 6 3" xfId="39725" xr:uid="{00000000-0005-0000-0000-0000989B0000}"/>
    <cellStyle name="Normal 82 7" xfId="39726" xr:uid="{00000000-0005-0000-0000-0000999B0000}"/>
    <cellStyle name="Normal 83" xfId="39727" xr:uid="{00000000-0005-0000-0000-00009A9B0000}"/>
    <cellStyle name="Normal 83 2" xfId="39728" xr:uid="{00000000-0005-0000-0000-00009B9B0000}"/>
    <cellStyle name="Normal 83 2 2" xfId="39729" xr:uid="{00000000-0005-0000-0000-00009C9B0000}"/>
    <cellStyle name="Normal 83 2 2 2" xfId="39730" xr:uid="{00000000-0005-0000-0000-00009D9B0000}"/>
    <cellStyle name="Normal 83 2 3" xfId="39731" xr:uid="{00000000-0005-0000-0000-00009E9B0000}"/>
    <cellStyle name="Normal 83 2 3 2" xfId="39732" xr:uid="{00000000-0005-0000-0000-00009F9B0000}"/>
    <cellStyle name="Normal 83 2 3 2 2" xfId="39733" xr:uid="{00000000-0005-0000-0000-0000A09B0000}"/>
    <cellStyle name="Normal 83 2 3 3" xfId="39734" xr:uid="{00000000-0005-0000-0000-0000A19B0000}"/>
    <cellStyle name="Normal 83 2 4" xfId="39735" xr:uid="{00000000-0005-0000-0000-0000A29B0000}"/>
    <cellStyle name="Normal 83 2 4 2" xfId="39736" xr:uid="{00000000-0005-0000-0000-0000A39B0000}"/>
    <cellStyle name="Normal 83 2 4 2 2" xfId="39737" xr:uid="{00000000-0005-0000-0000-0000A49B0000}"/>
    <cellStyle name="Normal 83 2 4 3" xfId="39738" xr:uid="{00000000-0005-0000-0000-0000A59B0000}"/>
    <cellStyle name="Normal 83 2 5" xfId="39739" xr:uid="{00000000-0005-0000-0000-0000A69B0000}"/>
    <cellStyle name="Normal 83 3" xfId="39740" xr:uid="{00000000-0005-0000-0000-0000A79B0000}"/>
    <cellStyle name="Normal 83 3 2" xfId="39741" xr:uid="{00000000-0005-0000-0000-0000A89B0000}"/>
    <cellStyle name="Normal 83 3 2 2" xfId="39742" xr:uid="{00000000-0005-0000-0000-0000A99B0000}"/>
    <cellStyle name="Normal 83 3 2 2 2" xfId="39743" xr:uid="{00000000-0005-0000-0000-0000AA9B0000}"/>
    <cellStyle name="Normal 83 3 2 3" xfId="39744" xr:uid="{00000000-0005-0000-0000-0000AB9B0000}"/>
    <cellStyle name="Normal 83 3 2 3 2" xfId="39745" xr:uid="{00000000-0005-0000-0000-0000AC9B0000}"/>
    <cellStyle name="Normal 83 3 2 3 2 2" xfId="39746" xr:uid="{00000000-0005-0000-0000-0000AD9B0000}"/>
    <cellStyle name="Normal 83 3 2 3 3" xfId="39747" xr:uid="{00000000-0005-0000-0000-0000AE9B0000}"/>
    <cellStyle name="Normal 83 3 2 4" xfId="39748" xr:uid="{00000000-0005-0000-0000-0000AF9B0000}"/>
    <cellStyle name="Normal 83 3 3" xfId="39749" xr:uid="{00000000-0005-0000-0000-0000B09B0000}"/>
    <cellStyle name="Normal 83 3 3 2" xfId="39750" xr:uid="{00000000-0005-0000-0000-0000B19B0000}"/>
    <cellStyle name="Normal 83 3 3 2 2" xfId="39751" xr:uid="{00000000-0005-0000-0000-0000B29B0000}"/>
    <cellStyle name="Normal 83 3 3 3" xfId="39752" xr:uid="{00000000-0005-0000-0000-0000B39B0000}"/>
    <cellStyle name="Normal 83 3 4" xfId="39753" xr:uid="{00000000-0005-0000-0000-0000B49B0000}"/>
    <cellStyle name="Normal 83 3 4 2" xfId="39754" xr:uid="{00000000-0005-0000-0000-0000B59B0000}"/>
    <cellStyle name="Normal 83 3 4 2 2" xfId="39755" xr:uid="{00000000-0005-0000-0000-0000B69B0000}"/>
    <cellStyle name="Normal 83 3 4 3" xfId="39756" xr:uid="{00000000-0005-0000-0000-0000B79B0000}"/>
    <cellStyle name="Normal 83 3 5" xfId="39757" xr:uid="{00000000-0005-0000-0000-0000B89B0000}"/>
    <cellStyle name="Normal 83 3 5 2" xfId="39758" xr:uid="{00000000-0005-0000-0000-0000B99B0000}"/>
    <cellStyle name="Normal 83 3 5 2 2" xfId="39759" xr:uid="{00000000-0005-0000-0000-0000BA9B0000}"/>
    <cellStyle name="Normal 83 3 5 3" xfId="39760" xr:uid="{00000000-0005-0000-0000-0000BB9B0000}"/>
    <cellStyle name="Normal 83 3 6" xfId="39761" xr:uid="{00000000-0005-0000-0000-0000BC9B0000}"/>
    <cellStyle name="Normal 83 4" xfId="39762" xr:uid="{00000000-0005-0000-0000-0000BD9B0000}"/>
    <cellStyle name="Normal 83 4 2" xfId="39763" xr:uid="{00000000-0005-0000-0000-0000BE9B0000}"/>
    <cellStyle name="Normal 83 4 2 2" xfId="39764" xr:uid="{00000000-0005-0000-0000-0000BF9B0000}"/>
    <cellStyle name="Normal 83 4 3" xfId="39765" xr:uid="{00000000-0005-0000-0000-0000C09B0000}"/>
    <cellStyle name="Normal 83 5" xfId="39766" xr:uid="{00000000-0005-0000-0000-0000C19B0000}"/>
    <cellStyle name="Normal 83 5 2" xfId="39767" xr:uid="{00000000-0005-0000-0000-0000C29B0000}"/>
    <cellStyle name="Normal 83 5 2 2" xfId="39768" xr:uid="{00000000-0005-0000-0000-0000C39B0000}"/>
    <cellStyle name="Normal 83 5 3" xfId="39769" xr:uid="{00000000-0005-0000-0000-0000C49B0000}"/>
    <cellStyle name="Normal 83 6" xfId="39770" xr:uid="{00000000-0005-0000-0000-0000C59B0000}"/>
    <cellStyle name="Normal 83 6 2" xfId="39771" xr:uid="{00000000-0005-0000-0000-0000C69B0000}"/>
    <cellStyle name="Normal 83 6 2 2" xfId="39772" xr:uid="{00000000-0005-0000-0000-0000C79B0000}"/>
    <cellStyle name="Normal 83 6 3" xfId="39773" xr:uid="{00000000-0005-0000-0000-0000C89B0000}"/>
    <cellStyle name="Normal 83 7" xfId="39774" xr:uid="{00000000-0005-0000-0000-0000C99B0000}"/>
    <cellStyle name="Normal 84" xfId="39775" xr:uid="{00000000-0005-0000-0000-0000CA9B0000}"/>
    <cellStyle name="Normal 84 2" xfId="39776" xr:uid="{00000000-0005-0000-0000-0000CB9B0000}"/>
    <cellStyle name="Normal 84 2 2" xfId="39777" xr:uid="{00000000-0005-0000-0000-0000CC9B0000}"/>
    <cellStyle name="Normal 84 2 2 2" xfId="39778" xr:uid="{00000000-0005-0000-0000-0000CD9B0000}"/>
    <cellStyle name="Normal 84 2 3" xfId="39779" xr:uid="{00000000-0005-0000-0000-0000CE9B0000}"/>
    <cellStyle name="Normal 84 2 3 2" xfId="39780" xr:uid="{00000000-0005-0000-0000-0000CF9B0000}"/>
    <cellStyle name="Normal 84 2 3 2 2" xfId="39781" xr:uid="{00000000-0005-0000-0000-0000D09B0000}"/>
    <cellStyle name="Normal 84 2 3 3" xfId="39782" xr:uid="{00000000-0005-0000-0000-0000D19B0000}"/>
    <cellStyle name="Normal 84 2 4" xfId="39783" xr:uid="{00000000-0005-0000-0000-0000D29B0000}"/>
    <cellStyle name="Normal 84 2 4 2" xfId="39784" xr:uid="{00000000-0005-0000-0000-0000D39B0000}"/>
    <cellStyle name="Normal 84 2 4 2 2" xfId="39785" xr:uid="{00000000-0005-0000-0000-0000D49B0000}"/>
    <cellStyle name="Normal 84 2 4 3" xfId="39786" xr:uid="{00000000-0005-0000-0000-0000D59B0000}"/>
    <cellStyle name="Normal 84 2 5" xfId="39787" xr:uid="{00000000-0005-0000-0000-0000D69B0000}"/>
    <cellStyle name="Normal 84 3" xfId="39788" xr:uid="{00000000-0005-0000-0000-0000D79B0000}"/>
    <cellStyle name="Normal 84 3 2" xfId="39789" xr:uid="{00000000-0005-0000-0000-0000D89B0000}"/>
    <cellStyle name="Normal 84 3 2 2" xfId="39790" xr:uid="{00000000-0005-0000-0000-0000D99B0000}"/>
    <cellStyle name="Normal 84 3 2 2 2" xfId="39791" xr:uid="{00000000-0005-0000-0000-0000DA9B0000}"/>
    <cellStyle name="Normal 84 3 2 3" xfId="39792" xr:uid="{00000000-0005-0000-0000-0000DB9B0000}"/>
    <cellStyle name="Normal 84 3 2 3 2" xfId="39793" xr:uid="{00000000-0005-0000-0000-0000DC9B0000}"/>
    <cellStyle name="Normal 84 3 2 3 2 2" xfId="39794" xr:uid="{00000000-0005-0000-0000-0000DD9B0000}"/>
    <cellStyle name="Normal 84 3 2 3 3" xfId="39795" xr:uid="{00000000-0005-0000-0000-0000DE9B0000}"/>
    <cellStyle name="Normal 84 3 2 4" xfId="39796" xr:uid="{00000000-0005-0000-0000-0000DF9B0000}"/>
    <cellStyle name="Normal 84 3 3" xfId="39797" xr:uid="{00000000-0005-0000-0000-0000E09B0000}"/>
    <cellStyle name="Normal 84 3 3 2" xfId="39798" xr:uid="{00000000-0005-0000-0000-0000E19B0000}"/>
    <cellStyle name="Normal 84 3 3 2 2" xfId="39799" xr:uid="{00000000-0005-0000-0000-0000E29B0000}"/>
    <cellStyle name="Normal 84 3 3 3" xfId="39800" xr:uid="{00000000-0005-0000-0000-0000E39B0000}"/>
    <cellStyle name="Normal 84 3 4" xfId="39801" xr:uid="{00000000-0005-0000-0000-0000E49B0000}"/>
    <cellStyle name="Normal 84 3 4 2" xfId="39802" xr:uid="{00000000-0005-0000-0000-0000E59B0000}"/>
    <cellStyle name="Normal 84 3 4 2 2" xfId="39803" xr:uid="{00000000-0005-0000-0000-0000E69B0000}"/>
    <cellStyle name="Normal 84 3 4 3" xfId="39804" xr:uid="{00000000-0005-0000-0000-0000E79B0000}"/>
    <cellStyle name="Normal 84 3 5" xfId="39805" xr:uid="{00000000-0005-0000-0000-0000E89B0000}"/>
    <cellStyle name="Normal 84 3 5 2" xfId="39806" xr:uid="{00000000-0005-0000-0000-0000E99B0000}"/>
    <cellStyle name="Normal 84 3 5 2 2" xfId="39807" xr:uid="{00000000-0005-0000-0000-0000EA9B0000}"/>
    <cellStyle name="Normal 84 3 5 3" xfId="39808" xr:uid="{00000000-0005-0000-0000-0000EB9B0000}"/>
    <cellStyle name="Normal 84 3 6" xfId="39809" xr:uid="{00000000-0005-0000-0000-0000EC9B0000}"/>
    <cellStyle name="Normal 84 4" xfId="39810" xr:uid="{00000000-0005-0000-0000-0000ED9B0000}"/>
    <cellStyle name="Normal 84 4 2" xfId="39811" xr:uid="{00000000-0005-0000-0000-0000EE9B0000}"/>
    <cellStyle name="Normal 84 4 2 2" xfId="39812" xr:uid="{00000000-0005-0000-0000-0000EF9B0000}"/>
    <cellStyle name="Normal 84 4 3" xfId="39813" xr:uid="{00000000-0005-0000-0000-0000F09B0000}"/>
    <cellStyle name="Normal 84 5" xfId="39814" xr:uid="{00000000-0005-0000-0000-0000F19B0000}"/>
    <cellStyle name="Normal 84 5 2" xfId="39815" xr:uid="{00000000-0005-0000-0000-0000F29B0000}"/>
    <cellStyle name="Normal 84 5 2 2" xfId="39816" xr:uid="{00000000-0005-0000-0000-0000F39B0000}"/>
    <cellStyle name="Normal 84 5 3" xfId="39817" xr:uid="{00000000-0005-0000-0000-0000F49B0000}"/>
    <cellStyle name="Normal 84 6" xfId="39818" xr:uid="{00000000-0005-0000-0000-0000F59B0000}"/>
    <cellStyle name="Normal 84 6 2" xfId="39819" xr:uid="{00000000-0005-0000-0000-0000F69B0000}"/>
    <cellStyle name="Normal 84 6 2 2" xfId="39820" xr:uid="{00000000-0005-0000-0000-0000F79B0000}"/>
    <cellStyle name="Normal 84 6 3" xfId="39821" xr:uid="{00000000-0005-0000-0000-0000F89B0000}"/>
    <cellStyle name="Normal 84 7" xfId="39822" xr:uid="{00000000-0005-0000-0000-0000F99B0000}"/>
    <cellStyle name="Normal 85" xfId="39823" xr:uid="{00000000-0005-0000-0000-0000FA9B0000}"/>
    <cellStyle name="Normal 85 2" xfId="39824" xr:uid="{00000000-0005-0000-0000-0000FB9B0000}"/>
    <cellStyle name="Normal 85 2 2" xfId="39825" xr:uid="{00000000-0005-0000-0000-0000FC9B0000}"/>
    <cellStyle name="Normal 85 2 2 2" xfId="39826" xr:uid="{00000000-0005-0000-0000-0000FD9B0000}"/>
    <cellStyle name="Normal 85 2 3" xfId="39827" xr:uid="{00000000-0005-0000-0000-0000FE9B0000}"/>
    <cellStyle name="Normal 85 2 3 2" xfId="39828" xr:uid="{00000000-0005-0000-0000-0000FF9B0000}"/>
    <cellStyle name="Normal 85 2 3 2 2" xfId="39829" xr:uid="{00000000-0005-0000-0000-0000009C0000}"/>
    <cellStyle name="Normal 85 2 3 3" xfId="39830" xr:uid="{00000000-0005-0000-0000-0000019C0000}"/>
    <cellStyle name="Normal 85 2 4" xfId="39831" xr:uid="{00000000-0005-0000-0000-0000029C0000}"/>
    <cellStyle name="Normal 85 2 4 2" xfId="39832" xr:uid="{00000000-0005-0000-0000-0000039C0000}"/>
    <cellStyle name="Normal 85 2 4 2 2" xfId="39833" xr:uid="{00000000-0005-0000-0000-0000049C0000}"/>
    <cellStyle name="Normal 85 2 4 3" xfId="39834" xr:uid="{00000000-0005-0000-0000-0000059C0000}"/>
    <cellStyle name="Normal 85 2 5" xfId="39835" xr:uid="{00000000-0005-0000-0000-0000069C0000}"/>
    <cellStyle name="Normal 85 3" xfId="39836" xr:uid="{00000000-0005-0000-0000-0000079C0000}"/>
    <cellStyle name="Normal 85 3 2" xfId="39837" xr:uid="{00000000-0005-0000-0000-0000089C0000}"/>
    <cellStyle name="Normal 85 3 2 2" xfId="39838" xr:uid="{00000000-0005-0000-0000-0000099C0000}"/>
    <cellStyle name="Normal 85 3 2 2 2" xfId="39839" xr:uid="{00000000-0005-0000-0000-00000A9C0000}"/>
    <cellStyle name="Normal 85 3 2 3" xfId="39840" xr:uid="{00000000-0005-0000-0000-00000B9C0000}"/>
    <cellStyle name="Normal 85 3 2 3 2" xfId="39841" xr:uid="{00000000-0005-0000-0000-00000C9C0000}"/>
    <cellStyle name="Normal 85 3 2 3 2 2" xfId="39842" xr:uid="{00000000-0005-0000-0000-00000D9C0000}"/>
    <cellStyle name="Normal 85 3 2 3 3" xfId="39843" xr:uid="{00000000-0005-0000-0000-00000E9C0000}"/>
    <cellStyle name="Normal 85 3 2 4" xfId="39844" xr:uid="{00000000-0005-0000-0000-00000F9C0000}"/>
    <cellStyle name="Normal 85 3 3" xfId="39845" xr:uid="{00000000-0005-0000-0000-0000109C0000}"/>
    <cellStyle name="Normal 85 3 3 2" xfId="39846" xr:uid="{00000000-0005-0000-0000-0000119C0000}"/>
    <cellStyle name="Normal 85 3 3 2 2" xfId="39847" xr:uid="{00000000-0005-0000-0000-0000129C0000}"/>
    <cellStyle name="Normal 85 3 3 3" xfId="39848" xr:uid="{00000000-0005-0000-0000-0000139C0000}"/>
    <cellStyle name="Normal 85 3 4" xfId="39849" xr:uid="{00000000-0005-0000-0000-0000149C0000}"/>
    <cellStyle name="Normal 85 3 4 2" xfId="39850" xr:uid="{00000000-0005-0000-0000-0000159C0000}"/>
    <cellStyle name="Normal 85 3 4 2 2" xfId="39851" xr:uid="{00000000-0005-0000-0000-0000169C0000}"/>
    <cellStyle name="Normal 85 3 4 3" xfId="39852" xr:uid="{00000000-0005-0000-0000-0000179C0000}"/>
    <cellStyle name="Normal 85 3 5" xfId="39853" xr:uid="{00000000-0005-0000-0000-0000189C0000}"/>
    <cellStyle name="Normal 85 3 5 2" xfId="39854" xr:uid="{00000000-0005-0000-0000-0000199C0000}"/>
    <cellStyle name="Normal 85 3 5 2 2" xfId="39855" xr:uid="{00000000-0005-0000-0000-00001A9C0000}"/>
    <cellStyle name="Normal 85 3 5 3" xfId="39856" xr:uid="{00000000-0005-0000-0000-00001B9C0000}"/>
    <cellStyle name="Normal 85 3 6" xfId="39857" xr:uid="{00000000-0005-0000-0000-00001C9C0000}"/>
    <cellStyle name="Normal 85 4" xfId="39858" xr:uid="{00000000-0005-0000-0000-00001D9C0000}"/>
    <cellStyle name="Normal 85 4 2" xfId="39859" xr:uid="{00000000-0005-0000-0000-00001E9C0000}"/>
    <cellStyle name="Normal 85 4 2 2" xfId="39860" xr:uid="{00000000-0005-0000-0000-00001F9C0000}"/>
    <cellStyle name="Normal 85 4 3" xfId="39861" xr:uid="{00000000-0005-0000-0000-0000209C0000}"/>
    <cellStyle name="Normal 85 5" xfId="39862" xr:uid="{00000000-0005-0000-0000-0000219C0000}"/>
    <cellStyle name="Normal 85 5 2" xfId="39863" xr:uid="{00000000-0005-0000-0000-0000229C0000}"/>
    <cellStyle name="Normal 85 5 2 2" xfId="39864" xr:uid="{00000000-0005-0000-0000-0000239C0000}"/>
    <cellStyle name="Normal 85 5 3" xfId="39865" xr:uid="{00000000-0005-0000-0000-0000249C0000}"/>
    <cellStyle name="Normal 85 6" xfId="39866" xr:uid="{00000000-0005-0000-0000-0000259C0000}"/>
    <cellStyle name="Normal 85 6 2" xfId="39867" xr:uid="{00000000-0005-0000-0000-0000269C0000}"/>
    <cellStyle name="Normal 85 6 2 2" xfId="39868" xr:uid="{00000000-0005-0000-0000-0000279C0000}"/>
    <cellStyle name="Normal 85 6 3" xfId="39869" xr:uid="{00000000-0005-0000-0000-0000289C0000}"/>
    <cellStyle name="Normal 85 7" xfId="39870" xr:uid="{00000000-0005-0000-0000-0000299C0000}"/>
    <cellStyle name="Normal 86" xfId="39871" xr:uid="{00000000-0005-0000-0000-00002A9C0000}"/>
    <cellStyle name="Normal 86 2" xfId="39872" xr:uid="{00000000-0005-0000-0000-00002B9C0000}"/>
    <cellStyle name="Normal 86 2 2" xfId="39873" xr:uid="{00000000-0005-0000-0000-00002C9C0000}"/>
    <cellStyle name="Normal 86 2 2 2" xfId="39874" xr:uid="{00000000-0005-0000-0000-00002D9C0000}"/>
    <cellStyle name="Normal 86 2 3" xfId="39875" xr:uid="{00000000-0005-0000-0000-00002E9C0000}"/>
    <cellStyle name="Normal 86 2 3 2" xfId="39876" xr:uid="{00000000-0005-0000-0000-00002F9C0000}"/>
    <cellStyle name="Normal 86 2 3 2 2" xfId="39877" xr:uid="{00000000-0005-0000-0000-0000309C0000}"/>
    <cellStyle name="Normal 86 2 3 3" xfId="39878" xr:uid="{00000000-0005-0000-0000-0000319C0000}"/>
    <cellStyle name="Normal 86 2 4" xfId="39879" xr:uid="{00000000-0005-0000-0000-0000329C0000}"/>
    <cellStyle name="Normal 86 2 4 2" xfId="39880" xr:uid="{00000000-0005-0000-0000-0000339C0000}"/>
    <cellStyle name="Normal 86 2 4 2 2" xfId="39881" xr:uid="{00000000-0005-0000-0000-0000349C0000}"/>
    <cellStyle name="Normal 86 2 4 3" xfId="39882" xr:uid="{00000000-0005-0000-0000-0000359C0000}"/>
    <cellStyle name="Normal 86 2 5" xfId="39883" xr:uid="{00000000-0005-0000-0000-0000369C0000}"/>
    <cellStyle name="Normal 86 3" xfId="39884" xr:uid="{00000000-0005-0000-0000-0000379C0000}"/>
    <cellStyle name="Normal 86 3 2" xfId="39885" xr:uid="{00000000-0005-0000-0000-0000389C0000}"/>
    <cellStyle name="Normal 86 3 2 2" xfId="39886" xr:uid="{00000000-0005-0000-0000-0000399C0000}"/>
    <cellStyle name="Normal 86 3 2 2 2" xfId="39887" xr:uid="{00000000-0005-0000-0000-00003A9C0000}"/>
    <cellStyle name="Normal 86 3 2 3" xfId="39888" xr:uid="{00000000-0005-0000-0000-00003B9C0000}"/>
    <cellStyle name="Normal 86 3 2 3 2" xfId="39889" xr:uid="{00000000-0005-0000-0000-00003C9C0000}"/>
    <cellStyle name="Normal 86 3 2 3 2 2" xfId="39890" xr:uid="{00000000-0005-0000-0000-00003D9C0000}"/>
    <cellStyle name="Normal 86 3 2 3 3" xfId="39891" xr:uid="{00000000-0005-0000-0000-00003E9C0000}"/>
    <cellStyle name="Normal 86 3 2 4" xfId="39892" xr:uid="{00000000-0005-0000-0000-00003F9C0000}"/>
    <cellStyle name="Normal 86 3 3" xfId="39893" xr:uid="{00000000-0005-0000-0000-0000409C0000}"/>
    <cellStyle name="Normal 86 3 3 2" xfId="39894" xr:uid="{00000000-0005-0000-0000-0000419C0000}"/>
    <cellStyle name="Normal 86 3 3 2 2" xfId="39895" xr:uid="{00000000-0005-0000-0000-0000429C0000}"/>
    <cellStyle name="Normal 86 3 3 3" xfId="39896" xr:uid="{00000000-0005-0000-0000-0000439C0000}"/>
    <cellStyle name="Normal 86 3 4" xfId="39897" xr:uid="{00000000-0005-0000-0000-0000449C0000}"/>
    <cellStyle name="Normal 86 3 4 2" xfId="39898" xr:uid="{00000000-0005-0000-0000-0000459C0000}"/>
    <cellStyle name="Normal 86 3 4 2 2" xfId="39899" xr:uid="{00000000-0005-0000-0000-0000469C0000}"/>
    <cellStyle name="Normal 86 3 4 3" xfId="39900" xr:uid="{00000000-0005-0000-0000-0000479C0000}"/>
    <cellStyle name="Normal 86 3 5" xfId="39901" xr:uid="{00000000-0005-0000-0000-0000489C0000}"/>
    <cellStyle name="Normal 86 3 5 2" xfId="39902" xr:uid="{00000000-0005-0000-0000-0000499C0000}"/>
    <cellStyle name="Normal 86 3 5 2 2" xfId="39903" xr:uid="{00000000-0005-0000-0000-00004A9C0000}"/>
    <cellStyle name="Normal 86 3 5 3" xfId="39904" xr:uid="{00000000-0005-0000-0000-00004B9C0000}"/>
    <cellStyle name="Normal 86 3 6" xfId="39905" xr:uid="{00000000-0005-0000-0000-00004C9C0000}"/>
    <cellStyle name="Normal 86 4" xfId="39906" xr:uid="{00000000-0005-0000-0000-00004D9C0000}"/>
    <cellStyle name="Normal 86 4 2" xfId="39907" xr:uid="{00000000-0005-0000-0000-00004E9C0000}"/>
    <cellStyle name="Normal 86 4 2 2" xfId="39908" xr:uid="{00000000-0005-0000-0000-00004F9C0000}"/>
    <cellStyle name="Normal 86 4 3" xfId="39909" xr:uid="{00000000-0005-0000-0000-0000509C0000}"/>
    <cellStyle name="Normal 86 5" xfId="39910" xr:uid="{00000000-0005-0000-0000-0000519C0000}"/>
    <cellStyle name="Normal 86 5 2" xfId="39911" xr:uid="{00000000-0005-0000-0000-0000529C0000}"/>
    <cellStyle name="Normal 86 5 2 2" xfId="39912" xr:uid="{00000000-0005-0000-0000-0000539C0000}"/>
    <cellStyle name="Normal 86 5 3" xfId="39913" xr:uid="{00000000-0005-0000-0000-0000549C0000}"/>
    <cellStyle name="Normal 86 6" xfId="39914" xr:uid="{00000000-0005-0000-0000-0000559C0000}"/>
    <cellStyle name="Normal 86 6 2" xfId="39915" xr:uid="{00000000-0005-0000-0000-0000569C0000}"/>
    <cellStyle name="Normal 86 6 2 2" xfId="39916" xr:uid="{00000000-0005-0000-0000-0000579C0000}"/>
    <cellStyle name="Normal 86 6 3" xfId="39917" xr:uid="{00000000-0005-0000-0000-0000589C0000}"/>
    <cellStyle name="Normal 86 7" xfId="39918" xr:uid="{00000000-0005-0000-0000-0000599C0000}"/>
    <cellStyle name="Normal 87" xfId="39919" xr:uid="{00000000-0005-0000-0000-00005A9C0000}"/>
    <cellStyle name="Normal 87 2" xfId="39920" xr:uid="{00000000-0005-0000-0000-00005B9C0000}"/>
    <cellStyle name="Normal 87 2 2" xfId="39921" xr:uid="{00000000-0005-0000-0000-00005C9C0000}"/>
    <cellStyle name="Normal 87 2 2 2" xfId="39922" xr:uid="{00000000-0005-0000-0000-00005D9C0000}"/>
    <cellStyle name="Normal 87 2 3" xfId="39923" xr:uid="{00000000-0005-0000-0000-00005E9C0000}"/>
    <cellStyle name="Normal 87 2 3 2" xfId="39924" xr:uid="{00000000-0005-0000-0000-00005F9C0000}"/>
    <cellStyle name="Normal 87 2 3 2 2" xfId="39925" xr:uid="{00000000-0005-0000-0000-0000609C0000}"/>
    <cellStyle name="Normal 87 2 3 3" xfId="39926" xr:uid="{00000000-0005-0000-0000-0000619C0000}"/>
    <cellStyle name="Normal 87 2 4" xfId="39927" xr:uid="{00000000-0005-0000-0000-0000629C0000}"/>
    <cellStyle name="Normal 87 2 4 2" xfId="39928" xr:uid="{00000000-0005-0000-0000-0000639C0000}"/>
    <cellStyle name="Normal 87 2 4 2 2" xfId="39929" xr:uid="{00000000-0005-0000-0000-0000649C0000}"/>
    <cellStyle name="Normal 87 2 4 3" xfId="39930" xr:uid="{00000000-0005-0000-0000-0000659C0000}"/>
    <cellStyle name="Normal 87 2 5" xfId="39931" xr:uid="{00000000-0005-0000-0000-0000669C0000}"/>
    <cellStyle name="Normal 87 3" xfId="39932" xr:uid="{00000000-0005-0000-0000-0000679C0000}"/>
    <cellStyle name="Normal 87 3 2" xfId="39933" xr:uid="{00000000-0005-0000-0000-0000689C0000}"/>
    <cellStyle name="Normal 87 3 2 2" xfId="39934" xr:uid="{00000000-0005-0000-0000-0000699C0000}"/>
    <cellStyle name="Normal 87 3 2 2 2" xfId="39935" xr:uid="{00000000-0005-0000-0000-00006A9C0000}"/>
    <cellStyle name="Normal 87 3 2 3" xfId="39936" xr:uid="{00000000-0005-0000-0000-00006B9C0000}"/>
    <cellStyle name="Normal 87 3 2 3 2" xfId="39937" xr:uid="{00000000-0005-0000-0000-00006C9C0000}"/>
    <cellStyle name="Normal 87 3 2 3 2 2" xfId="39938" xr:uid="{00000000-0005-0000-0000-00006D9C0000}"/>
    <cellStyle name="Normal 87 3 2 3 3" xfId="39939" xr:uid="{00000000-0005-0000-0000-00006E9C0000}"/>
    <cellStyle name="Normal 87 3 2 4" xfId="39940" xr:uid="{00000000-0005-0000-0000-00006F9C0000}"/>
    <cellStyle name="Normal 87 3 3" xfId="39941" xr:uid="{00000000-0005-0000-0000-0000709C0000}"/>
    <cellStyle name="Normal 87 3 3 2" xfId="39942" xr:uid="{00000000-0005-0000-0000-0000719C0000}"/>
    <cellStyle name="Normal 87 3 3 2 2" xfId="39943" xr:uid="{00000000-0005-0000-0000-0000729C0000}"/>
    <cellStyle name="Normal 87 3 3 3" xfId="39944" xr:uid="{00000000-0005-0000-0000-0000739C0000}"/>
    <cellStyle name="Normal 87 3 4" xfId="39945" xr:uid="{00000000-0005-0000-0000-0000749C0000}"/>
    <cellStyle name="Normal 87 3 4 2" xfId="39946" xr:uid="{00000000-0005-0000-0000-0000759C0000}"/>
    <cellStyle name="Normal 87 3 4 2 2" xfId="39947" xr:uid="{00000000-0005-0000-0000-0000769C0000}"/>
    <cellStyle name="Normal 87 3 4 3" xfId="39948" xr:uid="{00000000-0005-0000-0000-0000779C0000}"/>
    <cellStyle name="Normal 87 3 5" xfId="39949" xr:uid="{00000000-0005-0000-0000-0000789C0000}"/>
    <cellStyle name="Normal 87 3 5 2" xfId="39950" xr:uid="{00000000-0005-0000-0000-0000799C0000}"/>
    <cellStyle name="Normal 87 3 5 2 2" xfId="39951" xr:uid="{00000000-0005-0000-0000-00007A9C0000}"/>
    <cellStyle name="Normal 87 3 5 3" xfId="39952" xr:uid="{00000000-0005-0000-0000-00007B9C0000}"/>
    <cellStyle name="Normal 87 3 6" xfId="39953" xr:uid="{00000000-0005-0000-0000-00007C9C0000}"/>
    <cellStyle name="Normal 87 4" xfId="39954" xr:uid="{00000000-0005-0000-0000-00007D9C0000}"/>
    <cellStyle name="Normal 87 4 2" xfId="39955" xr:uid="{00000000-0005-0000-0000-00007E9C0000}"/>
    <cellStyle name="Normal 87 4 2 2" xfId="39956" xr:uid="{00000000-0005-0000-0000-00007F9C0000}"/>
    <cellStyle name="Normal 87 4 3" xfId="39957" xr:uid="{00000000-0005-0000-0000-0000809C0000}"/>
    <cellStyle name="Normal 87 5" xfId="39958" xr:uid="{00000000-0005-0000-0000-0000819C0000}"/>
    <cellStyle name="Normal 87 5 2" xfId="39959" xr:uid="{00000000-0005-0000-0000-0000829C0000}"/>
    <cellStyle name="Normal 87 5 2 2" xfId="39960" xr:uid="{00000000-0005-0000-0000-0000839C0000}"/>
    <cellStyle name="Normal 87 5 3" xfId="39961" xr:uid="{00000000-0005-0000-0000-0000849C0000}"/>
    <cellStyle name="Normal 87 6" xfId="39962" xr:uid="{00000000-0005-0000-0000-0000859C0000}"/>
    <cellStyle name="Normal 87 6 2" xfId="39963" xr:uid="{00000000-0005-0000-0000-0000869C0000}"/>
    <cellStyle name="Normal 87 6 2 2" xfId="39964" xr:uid="{00000000-0005-0000-0000-0000879C0000}"/>
    <cellStyle name="Normal 87 6 3" xfId="39965" xr:uid="{00000000-0005-0000-0000-0000889C0000}"/>
    <cellStyle name="Normal 87 7" xfId="39966" xr:uid="{00000000-0005-0000-0000-0000899C0000}"/>
    <cellStyle name="Normal 88" xfId="39967" xr:uid="{00000000-0005-0000-0000-00008A9C0000}"/>
    <cellStyle name="Normal 88 2" xfId="39968" xr:uid="{00000000-0005-0000-0000-00008B9C0000}"/>
    <cellStyle name="Normal 88 2 2" xfId="39969" xr:uid="{00000000-0005-0000-0000-00008C9C0000}"/>
    <cellStyle name="Normal 88 2 2 2" xfId="39970" xr:uid="{00000000-0005-0000-0000-00008D9C0000}"/>
    <cellStyle name="Normal 88 2 3" xfId="39971" xr:uid="{00000000-0005-0000-0000-00008E9C0000}"/>
    <cellStyle name="Normal 88 2 3 2" xfId="39972" xr:uid="{00000000-0005-0000-0000-00008F9C0000}"/>
    <cellStyle name="Normal 88 2 3 2 2" xfId="39973" xr:uid="{00000000-0005-0000-0000-0000909C0000}"/>
    <cellStyle name="Normal 88 2 3 3" xfId="39974" xr:uid="{00000000-0005-0000-0000-0000919C0000}"/>
    <cellStyle name="Normal 88 2 4" xfId="39975" xr:uid="{00000000-0005-0000-0000-0000929C0000}"/>
    <cellStyle name="Normal 88 2 4 2" xfId="39976" xr:uid="{00000000-0005-0000-0000-0000939C0000}"/>
    <cellStyle name="Normal 88 2 4 2 2" xfId="39977" xr:uid="{00000000-0005-0000-0000-0000949C0000}"/>
    <cellStyle name="Normal 88 2 4 3" xfId="39978" xr:uid="{00000000-0005-0000-0000-0000959C0000}"/>
    <cellStyle name="Normal 88 2 5" xfId="39979" xr:uid="{00000000-0005-0000-0000-0000969C0000}"/>
    <cellStyle name="Normal 88 3" xfId="39980" xr:uid="{00000000-0005-0000-0000-0000979C0000}"/>
    <cellStyle name="Normal 88 3 2" xfId="39981" xr:uid="{00000000-0005-0000-0000-0000989C0000}"/>
    <cellStyle name="Normal 88 3 2 2" xfId="39982" xr:uid="{00000000-0005-0000-0000-0000999C0000}"/>
    <cellStyle name="Normal 88 3 2 2 2" xfId="39983" xr:uid="{00000000-0005-0000-0000-00009A9C0000}"/>
    <cellStyle name="Normal 88 3 2 3" xfId="39984" xr:uid="{00000000-0005-0000-0000-00009B9C0000}"/>
    <cellStyle name="Normal 88 3 2 3 2" xfId="39985" xr:uid="{00000000-0005-0000-0000-00009C9C0000}"/>
    <cellStyle name="Normal 88 3 2 3 2 2" xfId="39986" xr:uid="{00000000-0005-0000-0000-00009D9C0000}"/>
    <cellStyle name="Normal 88 3 2 3 3" xfId="39987" xr:uid="{00000000-0005-0000-0000-00009E9C0000}"/>
    <cellStyle name="Normal 88 3 2 4" xfId="39988" xr:uid="{00000000-0005-0000-0000-00009F9C0000}"/>
    <cellStyle name="Normal 88 3 3" xfId="39989" xr:uid="{00000000-0005-0000-0000-0000A09C0000}"/>
    <cellStyle name="Normal 88 3 3 2" xfId="39990" xr:uid="{00000000-0005-0000-0000-0000A19C0000}"/>
    <cellStyle name="Normal 88 3 3 2 2" xfId="39991" xr:uid="{00000000-0005-0000-0000-0000A29C0000}"/>
    <cellStyle name="Normal 88 3 3 3" xfId="39992" xr:uid="{00000000-0005-0000-0000-0000A39C0000}"/>
    <cellStyle name="Normal 88 3 4" xfId="39993" xr:uid="{00000000-0005-0000-0000-0000A49C0000}"/>
    <cellStyle name="Normal 88 3 4 2" xfId="39994" xr:uid="{00000000-0005-0000-0000-0000A59C0000}"/>
    <cellStyle name="Normal 88 3 4 2 2" xfId="39995" xr:uid="{00000000-0005-0000-0000-0000A69C0000}"/>
    <cellStyle name="Normal 88 3 4 3" xfId="39996" xr:uid="{00000000-0005-0000-0000-0000A79C0000}"/>
    <cellStyle name="Normal 88 3 5" xfId="39997" xr:uid="{00000000-0005-0000-0000-0000A89C0000}"/>
    <cellStyle name="Normal 88 3 5 2" xfId="39998" xr:uid="{00000000-0005-0000-0000-0000A99C0000}"/>
    <cellStyle name="Normal 88 3 5 2 2" xfId="39999" xr:uid="{00000000-0005-0000-0000-0000AA9C0000}"/>
    <cellStyle name="Normal 88 3 5 3" xfId="40000" xr:uid="{00000000-0005-0000-0000-0000AB9C0000}"/>
    <cellStyle name="Normal 88 3 6" xfId="40001" xr:uid="{00000000-0005-0000-0000-0000AC9C0000}"/>
    <cellStyle name="Normal 88 4" xfId="40002" xr:uid="{00000000-0005-0000-0000-0000AD9C0000}"/>
    <cellStyle name="Normal 88 4 2" xfId="40003" xr:uid="{00000000-0005-0000-0000-0000AE9C0000}"/>
    <cellStyle name="Normal 88 4 2 2" xfId="40004" xr:uid="{00000000-0005-0000-0000-0000AF9C0000}"/>
    <cellStyle name="Normal 88 4 3" xfId="40005" xr:uid="{00000000-0005-0000-0000-0000B09C0000}"/>
    <cellStyle name="Normal 88 5" xfId="40006" xr:uid="{00000000-0005-0000-0000-0000B19C0000}"/>
    <cellStyle name="Normal 88 5 2" xfId="40007" xr:uid="{00000000-0005-0000-0000-0000B29C0000}"/>
    <cellStyle name="Normal 88 5 2 2" xfId="40008" xr:uid="{00000000-0005-0000-0000-0000B39C0000}"/>
    <cellStyle name="Normal 88 5 3" xfId="40009" xr:uid="{00000000-0005-0000-0000-0000B49C0000}"/>
    <cellStyle name="Normal 88 6" xfId="40010" xr:uid="{00000000-0005-0000-0000-0000B59C0000}"/>
    <cellStyle name="Normal 88 6 2" xfId="40011" xr:uid="{00000000-0005-0000-0000-0000B69C0000}"/>
    <cellStyle name="Normal 88 6 2 2" xfId="40012" xr:uid="{00000000-0005-0000-0000-0000B79C0000}"/>
    <cellStyle name="Normal 88 6 3" xfId="40013" xr:uid="{00000000-0005-0000-0000-0000B89C0000}"/>
    <cellStyle name="Normal 88 7" xfId="40014" xr:uid="{00000000-0005-0000-0000-0000B99C0000}"/>
    <cellStyle name="Normal 89" xfId="40015" xr:uid="{00000000-0005-0000-0000-0000BA9C0000}"/>
    <cellStyle name="Normal 89 2" xfId="40016" xr:uid="{00000000-0005-0000-0000-0000BB9C0000}"/>
    <cellStyle name="Normal 89 2 2" xfId="40017" xr:uid="{00000000-0005-0000-0000-0000BC9C0000}"/>
    <cellStyle name="Normal 89 2 2 2" xfId="40018" xr:uid="{00000000-0005-0000-0000-0000BD9C0000}"/>
    <cellStyle name="Normal 89 2 3" xfId="40019" xr:uid="{00000000-0005-0000-0000-0000BE9C0000}"/>
    <cellStyle name="Normal 89 2 3 2" xfId="40020" xr:uid="{00000000-0005-0000-0000-0000BF9C0000}"/>
    <cellStyle name="Normal 89 2 3 2 2" xfId="40021" xr:uid="{00000000-0005-0000-0000-0000C09C0000}"/>
    <cellStyle name="Normal 89 2 3 3" xfId="40022" xr:uid="{00000000-0005-0000-0000-0000C19C0000}"/>
    <cellStyle name="Normal 89 2 4" xfId="40023" xr:uid="{00000000-0005-0000-0000-0000C29C0000}"/>
    <cellStyle name="Normal 89 2 4 2" xfId="40024" xr:uid="{00000000-0005-0000-0000-0000C39C0000}"/>
    <cellStyle name="Normal 89 2 4 2 2" xfId="40025" xr:uid="{00000000-0005-0000-0000-0000C49C0000}"/>
    <cellStyle name="Normal 89 2 4 3" xfId="40026" xr:uid="{00000000-0005-0000-0000-0000C59C0000}"/>
    <cellStyle name="Normal 89 2 5" xfId="40027" xr:uid="{00000000-0005-0000-0000-0000C69C0000}"/>
    <cellStyle name="Normal 89 3" xfId="40028" xr:uid="{00000000-0005-0000-0000-0000C79C0000}"/>
    <cellStyle name="Normal 89 3 2" xfId="40029" xr:uid="{00000000-0005-0000-0000-0000C89C0000}"/>
    <cellStyle name="Normal 89 3 2 2" xfId="40030" xr:uid="{00000000-0005-0000-0000-0000C99C0000}"/>
    <cellStyle name="Normal 89 3 2 2 2" xfId="40031" xr:uid="{00000000-0005-0000-0000-0000CA9C0000}"/>
    <cellStyle name="Normal 89 3 2 3" xfId="40032" xr:uid="{00000000-0005-0000-0000-0000CB9C0000}"/>
    <cellStyle name="Normal 89 3 2 3 2" xfId="40033" xr:uid="{00000000-0005-0000-0000-0000CC9C0000}"/>
    <cellStyle name="Normal 89 3 2 3 2 2" xfId="40034" xr:uid="{00000000-0005-0000-0000-0000CD9C0000}"/>
    <cellStyle name="Normal 89 3 2 3 3" xfId="40035" xr:uid="{00000000-0005-0000-0000-0000CE9C0000}"/>
    <cellStyle name="Normal 89 3 2 4" xfId="40036" xr:uid="{00000000-0005-0000-0000-0000CF9C0000}"/>
    <cellStyle name="Normal 89 3 3" xfId="40037" xr:uid="{00000000-0005-0000-0000-0000D09C0000}"/>
    <cellStyle name="Normal 89 3 3 2" xfId="40038" xr:uid="{00000000-0005-0000-0000-0000D19C0000}"/>
    <cellStyle name="Normal 89 3 3 2 2" xfId="40039" xr:uid="{00000000-0005-0000-0000-0000D29C0000}"/>
    <cellStyle name="Normal 89 3 3 3" xfId="40040" xr:uid="{00000000-0005-0000-0000-0000D39C0000}"/>
    <cellStyle name="Normal 89 3 4" xfId="40041" xr:uid="{00000000-0005-0000-0000-0000D49C0000}"/>
    <cellStyle name="Normal 89 3 4 2" xfId="40042" xr:uid="{00000000-0005-0000-0000-0000D59C0000}"/>
    <cellStyle name="Normal 89 3 4 2 2" xfId="40043" xr:uid="{00000000-0005-0000-0000-0000D69C0000}"/>
    <cellStyle name="Normal 89 3 4 3" xfId="40044" xr:uid="{00000000-0005-0000-0000-0000D79C0000}"/>
    <cellStyle name="Normal 89 3 5" xfId="40045" xr:uid="{00000000-0005-0000-0000-0000D89C0000}"/>
    <cellStyle name="Normal 89 3 5 2" xfId="40046" xr:uid="{00000000-0005-0000-0000-0000D99C0000}"/>
    <cellStyle name="Normal 89 3 5 2 2" xfId="40047" xr:uid="{00000000-0005-0000-0000-0000DA9C0000}"/>
    <cellStyle name="Normal 89 3 5 3" xfId="40048" xr:uid="{00000000-0005-0000-0000-0000DB9C0000}"/>
    <cellStyle name="Normal 89 3 6" xfId="40049" xr:uid="{00000000-0005-0000-0000-0000DC9C0000}"/>
    <cellStyle name="Normal 89 4" xfId="40050" xr:uid="{00000000-0005-0000-0000-0000DD9C0000}"/>
    <cellStyle name="Normal 89 4 2" xfId="40051" xr:uid="{00000000-0005-0000-0000-0000DE9C0000}"/>
    <cellStyle name="Normal 89 4 2 2" xfId="40052" xr:uid="{00000000-0005-0000-0000-0000DF9C0000}"/>
    <cellStyle name="Normal 89 4 3" xfId="40053" xr:uid="{00000000-0005-0000-0000-0000E09C0000}"/>
    <cellStyle name="Normal 89 5" xfId="40054" xr:uid="{00000000-0005-0000-0000-0000E19C0000}"/>
    <cellStyle name="Normal 89 5 2" xfId="40055" xr:uid="{00000000-0005-0000-0000-0000E29C0000}"/>
    <cellStyle name="Normal 89 5 2 2" xfId="40056" xr:uid="{00000000-0005-0000-0000-0000E39C0000}"/>
    <cellStyle name="Normal 89 5 3" xfId="40057" xr:uid="{00000000-0005-0000-0000-0000E49C0000}"/>
    <cellStyle name="Normal 89 6" xfId="40058" xr:uid="{00000000-0005-0000-0000-0000E59C0000}"/>
    <cellStyle name="Normal 89 6 2" xfId="40059" xr:uid="{00000000-0005-0000-0000-0000E69C0000}"/>
    <cellStyle name="Normal 89 6 2 2" xfId="40060" xr:uid="{00000000-0005-0000-0000-0000E79C0000}"/>
    <cellStyle name="Normal 89 6 3" xfId="40061" xr:uid="{00000000-0005-0000-0000-0000E89C0000}"/>
    <cellStyle name="Normal 89 7" xfId="40062" xr:uid="{00000000-0005-0000-0000-0000E99C0000}"/>
    <cellStyle name="Normal 9" xfId="138" xr:uid="{00000000-0005-0000-0000-0000EA9C0000}"/>
    <cellStyle name="Normal 9 10" xfId="53724" xr:uid="{00000000-0005-0000-0000-0000EB9C0000}"/>
    <cellStyle name="Normal 9 11" xfId="53786" xr:uid="{00000000-0005-0000-0000-0000EC9C0000}"/>
    <cellStyle name="Normal 9 2" xfId="182" xr:uid="{00000000-0005-0000-0000-0000ED9C0000}"/>
    <cellStyle name="Normal 9 2 2" xfId="318" xr:uid="{00000000-0005-0000-0000-0000EE9C0000}"/>
    <cellStyle name="Normal 9 2 2 2" xfId="40066" xr:uid="{00000000-0005-0000-0000-0000EF9C0000}"/>
    <cellStyle name="Normal 9 2 2 2 2" xfId="40067" xr:uid="{00000000-0005-0000-0000-0000F09C0000}"/>
    <cellStyle name="Normal 9 2 2 3" xfId="40068" xr:uid="{00000000-0005-0000-0000-0000F19C0000}"/>
    <cellStyle name="Normal 9 2 2 3 2" xfId="40069" xr:uid="{00000000-0005-0000-0000-0000F29C0000}"/>
    <cellStyle name="Normal 9 2 2 3 2 2" xfId="40070" xr:uid="{00000000-0005-0000-0000-0000F39C0000}"/>
    <cellStyle name="Normal 9 2 2 3 3" xfId="40071" xr:uid="{00000000-0005-0000-0000-0000F49C0000}"/>
    <cellStyle name="Normal 9 2 2 4" xfId="40072" xr:uid="{00000000-0005-0000-0000-0000F59C0000}"/>
    <cellStyle name="Normal 9 2 2 4 2" xfId="40073" xr:uid="{00000000-0005-0000-0000-0000F69C0000}"/>
    <cellStyle name="Normal 9 2 2 4 2 2" xfId="40074" xr:uid="{00000000-0005-0000-0000-0000F79C0000}"/>
    <cellStyle name="Normal 9 2 2 4 3" xfId="40075" xr:uid="{00000000-0005-0000-0000-0000F89C0000}"/>
    <cellStyle name="Normal 9 2 2 5" xfId="40076" xr:uid="{00000000-0005-0000-0000-0000F99C0000}"/>
    <cellStyle name="Normal 9 2 2 6" xfId="40065" xr:uid="{00000000-0005-0000-0000-0000FA9C0000}"/>
    <cellStyle name="Normal 9 2 3" xfId="441" xr:uid="{00000000-0005-0000-0000-0000FB9C0000}"/>
    <cellStyle name="Normal 9 2 3 2" xfId="40078" xr:uid="{00000000-0005-0000-0000-0000FC9C0000}"/>
    <cellStyle name="Normal 9 2 3 2 2" xfId="40079" xr:uid="{00000000-0005-0000-0000-0000FD9C0000}"/>
    <cellStyle name="Normal 9 2 3 2 2 2" xfId="40080" xr:uid="{00000000-0005-0000-0000-0000FE9C0000}"/>
    <cellStyle name="Normal 9 2 3 2 3" xfId="40081" xr:uid="{00000000-0005-0000-0000-0000FF9C0000}"/>
    <cellStyle name="Normal 9 2 3 2 3 2" xfId="40082" xr:uid="{00000000-0005-0000-0000-0000009D0000}"/>
    <cellStyle name="Normal 9 2 3 2 3 2 2" xfId="40083" xr:uid="{00000000-0005-0000-0000-0000019D0000}"/>
    <cellStyle name="Normal 9 2 3 2 3 3" xfId="40084" xr:uid="{00000000-0005-0000-0000-0000029D0000}"/>
    <cellStyle name="Normal 9 2 3 2 4" xfId="40085" xr:uid="{00000000-0005-0000-0000-0000039D0000}"/>
    <cellStyle name="Normal 9 2 3 3" xfId="40086" xr:uid="{00000000-0005-0000-0000-0000049D0000}"/>
    <cellStyle name="Normal 9 2 3 3 2" xfId="40087" xr:uid="{00000000-0005-0000-0000-0000059D0000}"/>
    <cellStyle name="Normal 9 2 3 3 2 2" xfId="40088" xr:uid="{00000000-0005-0000-0000-0000069D0000}"/>
    <cellStyle name="Normal 9 2 3 3 3" xfId="40089" xr:uid="{00000000-0005-0000-0000-0000079D0000}"/>
    <cellStyle name="Normal 9 2 3 4" xfId="40090" xr:uid="{00000000-0005-0000-0000-0000089D0000}"/>
    <cellStyle name="Normal 9 2 3 4 2" xfId="40091" xr:uid="{00000000-0005-0000-0000-0000099D0000}"/>
    <cellStyle name="Normal 9 2 3 4 2 2" xfId="40092" xr:uid="{00000000-0005-0000-0000-00000A9D0000}"/>
    <cellStyle name="Normal 9 2 3 4 3" xfId="40093" xr:uid="{00000000-0005-0000-0000-00000B9D0000}"/>
    <cellStyle name="Normal 9 2 3 5" xfId="40094" xr:uid="{00000000-0005-0000-0000-00000C9D0000}"/>
    <cellStyle name="Normal 9 2 3 5 2" xfId="40095" xr:uid="{00000000-0005-0000-0000-00000D9D0000}"/>
    <cellStyle name="Normal 9 2 3 5 2 2" xfId="40096" xr:uid="{00000000-0005-0000-0000-00000E9D0000}"/>
    <cellStyle name="Normal 9 2 3 5 3" xfId="40097" xr:uid="{00000000-0005-0000-0000-00000F9D0000}"/>
    <cellStyle name="Normal 9 2 3 6" xfId="40098" xr:uid="{00000000-0005-0000-0000-0000109D0000}"/>
    <cellStyle name="Normal 9 2 3 7" xfId="40077" xr:uid="{00000000-0005-0000-0000-0000119D0000}"/>
    <cellStyle name="Normal 9 2 4" xfId="665" xr:uid="{00000000-0005-0000-0000-0000129D0000}"/>
    <cellStyle name="Normal 9 2 4 2" xfId="40099" xr:uid="{00000000-0005-0000-0000-0000139D0000}"/>
    <cellStyle name="Normal 9 2 5" xfId="40064" xr:uid="{00000000-0005-0000-0000-0000149D0000}"/>
    <cellStyle name="Normal 9 2 6" xfId="53808" xr:uid="{00000000-0005-0000-0000-0000159D0000}"/>
    <cellStyle name="Normal 9 3" xfId="223" xr:uid="{00000000-0005-0000-0000-0000169D0000}"/>
    <cellStyle name="Normal 9 3 2" xfId="359" xr:uid="{00000000-0005-0000-0000-0000179D0000}"/>
    <cellStyle name="Normal 9 3 2 2" xfId="40102" xr:uid="{00000000-0005-0000-0000-0000189D0000}"/>
    <cellStyle name="Normal 9 3 2 2 2" xfId="40103" xr:uid="{00000000-0005-0000-0000-0000199D0000}"/>
    <cellStyle name="Normal 9 3 2 3" xfId="40104" xr:uid="{00000000-0005-0000-0000-00001A9D0000}"/>
    <cellStyle name="Normal 9 3 2 3 2" xfId="40105" xr:uid="{00000000-0005-0000-0000-00001B9D0000}"/>
    <cellStyle name="Normal 9 3 2 3 2 2" xfId="40106" xr:uid="{00000000-0005-0000-0000-00001C9D0000}"/>
    <cellStyle name="Normal 9 3 2 3 3" xfId="40107" xr:uid="{00000000-0005-0000-0000-00001D9D0000}"/>
    <cellStyle name="Normal 9 3 2 4" xfId="40108" xr:uid="{00000000-0005-0000-0000-00001E9D0000}"/>
    <cellStyle name="Normal 9 3 2 4 2" xfId="40109" xr:uid="{00000000-0005-0000-0000-00001F9D0000}"/>
    <cellStyle name="Normal 9 3 2 4 2 2" xfId="40110" xr:uid="{00000000-0005-0000-0000-0000209D0000}"/>
    <cellStyle name="Normal 9 3 2 4 3" xfId="40111" xr:uid="{00000000-0005-0000-0000-0000219D0000}"/>
    <cellStyle name="Normal 9 3 2 5" xfId="40112" xr:uid="{00000000-0005-0000-0000-0000229D0000}"/>
    <cellStyle name="Normal 9 3 2 6" xfId="40101" xr:uid="{00000000-0005-0000-0000-0000239D0000}"/>
    <cellStyle name="Normal 9 3 3" xfId="482" xr:uid="{00000000-0005-0000-0000-0000249D0000}"/>
    <cellStyle name="Normal 9 3 3 2" xfId="40114" xr:uid="{00000000-0005-0000-0000-0000259D0000}"/>
    <cellStyle name="Normal 9 3 3 2 2" xfId="40115" xr:uid="{00000000-0005-0000-0000-0000269D0000}"/>
    <cellStyle name="Normal 9 3 3 3" xfId="40116" xr:uid="{00000000-0005-0000-0000-0000279D0000}"/>
    <cellStyle name="Normal 9 3 3 4" xfId="40113" xr:uid="{00000000-0005-0000-0000-0000289D0000}"/>
    <cellStyle name="Normal 9 3 4" xfId="666" xr:uid="{00000000-0005-0000-0000-0000299D0000}"/>
    <cellStyle name="Normal 9 3 4 2" xfId="40118" xr:uid="{00000000-0005-0000-0000-00002A9D0000}"/>
    <cellStyle name="Normal 9 3 4 2 2" xfId="40119" xr:uid="{00000000-0005-0000-0000-00002B9D0000}"/>
    <cellStyle name="Normal 9 3 4 3" xfId="40120" xr:uid="{00000000-0005-0000-0000-00002C9D0000}"/>
    <cellStyle name="Normal 9 3 4 4" xfId="40117" xr:uid="{00000000-0005-0000-0000-00002D9D0000}"/>
    <cellStyle name="Normal 9 3 5" xfId="40121" xr:uid="{00000000-0005-0000-0000-00002E9D0000}"/>
    <cellStyle name="Normal 9 3 5 2" xfId="40122" xr:uid="{00000000-0005-0000-0000-00002F9D0000}"/>
    <cellStyle name="Normal 9 3 5 2 2" xfId="40123" xr:uid="{00000000-0005-0000-0000-0000309D0000}"/>
    <cellStyle name="Normal 9 3 5 3" xfId="40124" xr:uid="{00000000-0005-0000-0000-0000319D0000}"/>
    <cellStyle name="Normal 9 3 6" xfId="40125" xr:uid="{00000000-0005-0000-0000-0000329D0000}"/>
    <cellStyle name="Normal 9 3 7" xfId="40100" xr:uid="{00000000-0005-0000-0000-0000339D0000}"/>
    <cellStyle name="Normal 9 3 8" xfId="53849" xr:uid="{00000000-0005-0000-0000-0000349D0000}"/>
    <cellStyle name="Normal 9 4" xfId="277" xr:uid="{00000000-0005-0000-0000-0000359D0000}"/>
    <cellStyle name="Normal 9 4 2" xfId="40127" xr:uid="{00000000-0005-0000-0000-0000369D0000}"/>
    <cellStyle name="Normal 9 4 2 2" xfId="40128" xr:uid="{00000000-0005-0000-0000-0000379D0000}"/>
    <cellStyle name="Normal 9 4 3" xfId="40129" xr:uid="{00000000-0005-0000-0000-0000389D0000}"/>
    <cellStyle name="Normal 9 4 3 2" xfId="40130" xr:uid="{00000000-0005-0000-0000-0000399D0000}"/>
    <cellStyle name="Normal 9 4 3 2 2" xfId="40131" xr:uid="{00000000-0005-0000-0000-00003A9D0000}"/>
    <cellStyle name="Normal 9 4 3 3" xfId="40132" xr:uid="{00000000-0005-0000-0000-00003B9D0000}"/>
    <cellStyle name="Normal 9 4 4" xfId="40133" xr:uid="{00000000-0005-0000-0000-00003C9D0000}"/>
    <cellStyle name="Normal 9 4 4 2" xfId="40134" xr:uid="{00000000-0005-0000-0000-00003D9D0000}"/>
    <cellStyle name="Normal 9 4 4 2 2" xfId="40135" xr:uid="{00000000-0005-0000-0000-00003E9D0000}"/>
    <cellStyle name="Normal 9 4 4 3" xfId="40136" xr:uid="{00000000-0005-0000-0000-00003F9D0000}"/>
    <cellStyle name="Normal 9 4 5" xfId="40137" xr:uid="{00000000-0005-0000-0000-0000409D0000}"/>
    <cellStyle name="Normal 9 4 6" xfId="40126" xr:uid="{00000000-0005-0000-0000-0000419D0000}"/>
    <cellStyle name="Normal 9 5" xfId="400" xr:uid="{00000000-0005-0000-0000-0000429D0000}"/>
    <cellStyle name="Normal 9 5 2" xfId="40139" xr:uid="{00000000-0005-0000-0000-0000439D0000}"/>
    <cellStyle name="Normal 9 5 2 2" xfId="40140" xr:uid="{00000000-0005-0000-0000-0000449D0000}"/>
    <cellStyle name="Normal 9 5 2 2 2" xfId="40141" xr:uid="{00000000-0005-0000-0000-0000459D0000}"/>
    <cellStyle name="Normal 9 5 2 3" xfId="40142" xr:uid="{00000000-0005-0000-0000-0000469D0000}"/>
    <cellStyle name="Normal 9 5 2 3 2" xfId="40143" xr:uid="{00000000-0005-0000-0000-0000479D0000}"/>
    <cellStyle name="Normal 9 5 2 3 2 2" xfId="40144" xr:uid="{00000000-0005-0000-0000-0000489D0000}"/>
    <cellStyle name="Normal 9 5 2 3 3" xfId="40145" xr:uid="{00000000-0005-0000-0000-0000499D0000}"/>
    <cellStyle name="Normal 9 5 2 4" xfId="40146" xr:uid="{00000000-0005-0000-0000-00004A9D0000}"/>
    <cellStyle name="Normal 9 5 3" xfId="40147" xr:uid="{00000000-0005-0000-0000-00004B9D0000}"/>
    <cellStyle name="Normal 9 5 3 2" xfId="40148" xr:uid="{00000000-0005-0000-0000-00004C9D0000}"/>
    <cellStyle name="Normal 9 5 3 2 2" xfId="40149" xr:uid="{00000000-0005-0000-0000-00004D9D0000}"/>
    <cellStyle name="Normal 9 5 3 3" xfId="40150" xr:uid="{00000000-0005-0000-0000-00004E9D0000}"/>
    <cellStyle name="Normal 9 5 4" xfId="40151" xr:uid="{00000000-0005-0000-0000-00004F9D0000}"/>
    <cellStyle name="Normal 9 5 4 2" xfId="40152" xr:uid="{00000000-0005-0000-0000-0000509D0000}"/>
    <cellStyle name="Normal 9 5 4 2 2" xfId="40153" xr:uid="{00000000-0005-0000-0000-0000519D0000}"/>
    <cellStyle name="Normal 9 5 4 3" xfId="40154" xr:uid="{00000000-0005-0000-0000-0000529D0000}"/>
    <cellStyle name="Normal 9 5 5" xfId="40155" xr:uid="{00000000-0005-0000-0000-0000539D0000}"/>
    <cellStyle name="Normal 9 5 5 2" xfId="40156" xr:uid="{00000000-0005-0000-0000-0000549D0000}"/>
    <cellStyle name="Normal 9 5 5 2 2" xfId="40157" xr:uid="{00000000-0005-0000-0000-0000559D0000}"/>
    <cellStyle name="Normal 9 5 5 3" xfId="40158" xr:uid="{00000000-0005-0000-0000-0000569D0000}"/>
    <cellStyle name="Normal 9 5 6" xfId="40159" xr:uid="{00000000-0005-0000-0000-0000579D0000}"/>
    <cellStyle name="Normal 9 5 7" xfId="40138" xr:uid="{00000000-0005-0000-0000-0000589D0000}"/>
    <cellStyle name="Normal 9 6" xfId="523" xr:uid="{00000000-0005-0000-0000-0000599D0000}"/>
    <cellStyle name="Normal 9 6 2" xfId="40161" xr:uid="{00000000-0005-0000-0000-00005A9D0000}"/>
    <cellStyle name="Normal 9 6 2 2" xfId="40162" xr:uid="{00000000-0005-0000-0000-00005B9D0000}"/>
    <cellStyle name="Normal 9 6 2 2 2" xfId="40163" xr:uid="{00000000-0005-0000-0000-00005C9D0000}"/>
    <cellStyle name="Normal 9 6 2 3" xfId="40164" xr:uid="{00000000-0005-0000-0000-00005D9D0000}"/>
    <cellStyle name="Normal 9 6 2 3 2" xfId="40165" xr:uid="{00000000-0005-0000-0000-00005E9D0000}"/>
    <cellStyle name="Normal 9 6 2 3 2 2" xfId="40166" xr:uid="{00000000-0005-0000-0000-00005F9D0000}"/>
    <cellStyle name="Normal 9 6 2 3 3" xfId="40167" xr:uid="{00000000-0005-0000-0000-0000609D0000}"/>
    <cellStyle name="Normal 9 6 2 4" xfId="40168" xr:uid="{00000000-0005-0000-0000-0000619D0000}"/>
    <cellStyle name="Normal 9 6 3" xfId="40169" xr:uid="{00000000-0005-0000-0000-0000629D0000}"/>
    <cellStyle name="Normal 9 6 3 2" xfId="40170" xr:uid="{00000000-0005-0000-0000-0000639D0000}"/>
    <cellStyle name="Normal 9 6 3 2 2" xfId="40171" xr:uid="{00000000-0005-0000-0000-0000649D0000}"/>
    <cellStyle name="Normal 9 6 3 3" xfId="40172" xr:uid="{00000000-0005-0000-0000-0000659D0000}"/>
    <cellStyle name="Normal 9 6 4" xfId="40173" xr:uid="{00000000-0005-0000-0000-0000669D0000}"/>
    <cellStyle name="Normal 9 6 4 2" xfId="40174" xr:uid="{00000000-0005-0000-0000-0000679D0000}"/>
    <cellStyle name="Normal 9 6 4 2 2" xfId="40175" xr:uid="{00000000-0005-0000-0000-0000689D0000}"/>
    <cellStyle name="Normal 9 6 4 3" xfId="40176" xr:uid="{00000000-0005-0000-0000-0000699D0000}"/>
    <cellStyle name="Normal 9 6 5" xfId="40177" xr:uid="{00000000-0005-0000-0000-00006A9D0000}"/>
    <cellStyle name="Normal 9 6 6" xfId="40160" xr:uid="{00000000-0005-0000-0000-00006B9D0000}"/>
    <cellStyle name="Normal 9 7" xfId="664" xr:uid="{00000000-0005-0000-0000-00006C9D0000}"/>
    <cellStyle name="Normal 9 7 2" xfId="40179" xr:uid="{00000000-0005-0000-0000-00006D9D0000}"/>
    <cellStyle name="Normal 9 7 3" xfId="40178" xr:uid="{00000000-0005-0000-0000-00006E9D0000}"/>
    <cellStyle name="Normal 9 8" xfId="40180" xr:uid="{00000000-0005-0000-0000-00006F9D0000}"/>
    <cellStyle name="Normal 9 9" xfId="40063" xr:uid="{00000000-0005-0000-0000-0000709D0000}"/>
    <cellStyle name="Normal 90" xfId="40181" xr:uid="{00000000-0005-0000-0000-0000719D0000}"/>
    <cellStyle name="Normal 90 2" xfId="40182" xr:uid="{00000000-0005-0000-0000-0000729D0000}"/>
    <cellStyle name="Normal 90 2 2" xfId="40183" xr:uid="{00000000-0005-0000-0000-0000739D0000}"/>
    <cellStyle name="Normal 90 2 2 2" xfId="40184" xr:uid="{00000000-0005-0000-0000-0000749D0000}"/>
    <cellStyle name="Normal 90 2 3" xfId="40185" xr:uid="{00000000-0005-0000-0000-0000759D0000}"/>
    <cellStyle name="Normal 90 2 3 2" xfId="40186" xr:uid="{00000000-0005-0000-0000-0000769D0000}"/>
    <cellStyle name="Normal 90 2 3 2 2" xfId="40187" xr:uid="{00000000-0005-0000-0000-0000779D0000}"/>
    <cellStyle name="Normal 90 2 3 3" xfId="40188" xr:uid="{00000000-0005-0000-0000-0000789D0000}"/>
    <cellStyle name="Normal 90 2 4" xfId="40189" xr:uid="{00000000-0005-0000-0000-0000799D0000}"/>
    <cellStyle name="Normal 90 2 4 2" xfId="40190" xr:uid="{00000000-0005-0000-0000-00007A9D0000}"/>
    <cellStyle name="Normal 90 2 4 2 2" xfId="40191" xr:uid="{00000000-0005-0000-0000-00007B9D0000}"/>
    <cellStyle name="Normal 90 2 4 3" xfId="40192" xr:uid="{00000000-0005-0000-0000-00007C9D0000}"/>
    <cellStyle name="Normal 90 2 5" xfId="40193" xr:uid="{00000000-0005-0000-0000-00007D9D0000}"/>
    <cellStyle name="Normal 90 3" xfId="40194" xr:uid="{00000000-0005-0000-0000-00007E9D0000}"/>
    <cellStyle name="Normal 90 3 2" xfId="40195" xr:uid="{00000000-0005-0000-0000-00007F9D0000}"/>
    <cellStyle name="Normal 90 3 2 2" xfId="40196" xr:uid="{00000000-0005-0000-0000-0000809D0000}"/>
    <cellStyle name="Normal 90 3 2 2 2" xfId="40197" xr:uid="{00000000-0005-0000-0000-0000819D0000}"/>
    <cellStyle name="Normal 90 3 2 3" xfId="40198" xr:uid="{00000000-0005-0000-0000-0000829D0000}"/>
    <cellStyle name="Normal 90 3 2 3 2" xfId="40199" xr:uid="{00000000-0005-0000-0000-0000839D0000}"/>
    <cellStyle name="Normal 90 3 2 3 2 2" xfId="40200" xr:uid="{00000000-0005-0000-0000-0000849D0000}"/>
    <cellStyle name="Normal 90 3 2 3 3" xfId="40201" xr:uid="{00000000-0005-0000-0000-0000859D0000}"/>
    <cellStyle name="Normal 90 3 2 4" xfId="40202" xr:uid="{00000000-0005-0000-0000-0000869D0000}"/>
    <cellStyle name="Normal 90 3 3" xfId="40203" xr:uid="{00000000-0005-0000-0000-0000879D0000}"/>
    <cellStyle name="Normal 90 3 3 2" xfId="40204" xr:uid="{00000000-0005-0000-0000-0000889D0000}"/>
    <cellStyle name="Normal 90 3 3 2 2" xfId="40205" xr:uid="{00000000-0005-0000-0000-0000899D0000}"/>
    <cellStyle name="Normal 90 3 3 3" xfId="40206" xr:uid="{00000000-0005-0000-0000-00008A9D0000}"/>
    <cellStyle name="Normal 90 3 4" xfId="40207" xr:uid="{00000000-0005-0000-0000-00008B9D0000}"/>
    <cellStyle name="Normal 90 3 4 2" xfId="40208" xr:uid="{00000000-0005-0000-0000-00008C9D0000}"/>
    <cellStyle name="Normal 90 3 4 2 2" xfId="40209" xr:uid="{00000000-0005-0000-0000-00008D9D0000}"/>
    <cellStyle name="Normal 90 3 4 3" xfId="40210" xr:uid="{00000000-0005-0000-0000-00008E9D0000}"/>
    <cellStyle name="Normal 90 3 5" xfId="40211" xr:uid="{00000000-0005-0000-0000-00008F9D0000}"/>
    <cellStyle name="Normal 90 3 5 2" xfId="40212" xr:uid="{00000000-0005-0000-0000-0000909D0000}"/>
    <cellStyle name="Normal 90 3 5 2 2" xfId="40213" xr:uid="{00000000-0005-0000-0000-0000919D0000}"/>
    <cellStyle name="Normal 90 3 5 3" xfId="40214" xr:uid="{00000000-0005-0000-0000-0000929D0000}"/>
    <cellStyle name="Normal 90 3 6" xfId="40215" xr:uid="{00000000-0005-0000-0000-0000939D0000}"/>
    <cellStyle name="Normal 90 4" xfId="40216" xr:uid="{00000000-0005-0000-0000-0000949D0000}"/>
    <cellStyle name="Normal 90 4 2" xfId="40217" xr:uid="{00000000-0005-0000-0000-0000959D0000}"/>
    <cellStyle name="Normal 90 4 2 2" xfId="40218" xr:uid="{00000000-0005-0000-0000-0000969D0000}"/>
    <cellStyle name="Normal 90 4 3" xfId="40219" xr:uid="{00000000-0005-0000-0000-0000979D0000}"/>
    <cellStyle name="Normal 90 5" xfId="40220" xr:uid="{00000000-0005-0000-0000-0000989D0000}"/>
    <cellStyle name="Normal 90 5 2" xfId="40221" xr:uid="{00000000-0005-0000-0000-0000999D0000}"/>
    <cellStyle name="Normal 90 5 2 2" xfId="40222" xr:uid="{00000000-0005-0000-0000-00009A9D0000}"/>
    <cellStyle name="Normal 90 5 3" xfId="40223" xr:uid="{00000000-0005-0000-0000-00009B9D0000}"/>
    <cellStyle name="Normal 90 6" xfId="40224" xr:uid="{00000000-0005-0000-0000-00009C9D0000}"/>
    <cellStyle name="Normal 90 6 2" xfId="40225" xr:uid="{00000000-0005-0000-0000-00009D9D0000}"/>
    <cellStyle name="Normal 90 6 2 2" xfId="40226" xr:uid="{00000000-0005-0000-0000-00009E9D0000}"/>
    <cellStyle name="Normal 90 6 3" xfId="40227" xr:uid="{00000000-0005-0000-0000-00009F9D0000}"/>
    <cellStyle name="Normal 90 7" xfId="40228" xr:uid="{00000000-0005-0000-0000-0000A09D0000}"/>
    <cellStyle name="Normal 91" xfId="40229" xr:uid="{00000000-0005-0000-0000-0000A19D0000}"/>
    <cellStyle name="Normal 91 2" xfId="40230" xr:uid="{00000000-0005-0000-0000-0000A29D0000}"/>
    <cellStyle name="Normal 91 2 2" xfId="40231" xr:uid="{00000000-0005-0000-0000-0000A39D0000}"/>
    <cellStyle name="Normal 91 2 2 2" xfId="40232" xr:uid="{00000000-0005-0000-0000-0000A49D0000}"/>
    <cellStyle name="Normal 91 2 3" xfId="40233" xr:uid="{00000000-0005-0000-0000-0000A59D0000}"/>
    <cellStyle name="Normal 91 2 3 2" xfId="40234" xr:uid="{00000000-0005-0000-0000-0000A69D0000}"/>
    <cellStyle name="Normal 91 2 3 2 2" xfId="40235" xr:uid="{00000000-0005-0000-0000-0000A79D0000}"/>
    <cellStyle name="Normal 91 2 3 3" xfId="40236" xr:uid="{00000000-0005-0000-0000-0000A89D0000}"/>
    <cellStyle name="Normal 91 2 4" xfId="40237" xr:uid="{00000000-0005-0000-0000-0000A99D0000}"/>
    <cellStyle name="Normal 91 2 4 2" xfId="40238" xr:uid="{00000000-0005-0000-0000-0000AA9D0000}"/>
    <cellStyle name="Normal 91 2 4 2 2" xfId="40239" xr:uid="{00000000-0005-0000-0000-0000AB9D0000}"/>
    <cellStyle name="Normal 91 2 4 3" xfId="40240" xr:uid="{00000000-0005-0000-0000-0000AC9D0000}"/>
    <cellStyle name="Normal 91 2 5" xfId="40241" xr:uid="{00000000-0005-0000-0000-0000AD9D0000}"/>
    <cellStyle name="Normal 91 3" xfId="40242" xr:uid="{00000000-0005-0000-0000-0000AE9D0000}"/>
    <cellStyle name="Normal 91 3 2" xfId="40243" xr:uid="{00000000-0005-0000-0000-0000AF9D0000}"/>
    <cellStyle name="Normal 91 3 2 2" xfId="40244" xr:uid="{00000000-0005-0000-0000-0000B09D0000}"/>
    <cellStyle name="Normal 91 3 2 2 2" xfId="40245" xr:uid="{00000000-0005-0000-0000-0000B19D0000}"/>
    <cellStyle name="Normal 91 3 2 3" xfId="40246" xr:uid="{00000000-0005-0000-0000-0000B29D0000}"/>
    <cellStyle name="Normal 91 3 2 3 2" xfId="40247" xr:uid="{00000000-0005-0000-0000-0000B39D0000}"/>
    <cellStyle name="Normal 91 3 2 3 2 2" xfId="40248" xr:uid="{00000000-0005-0000-0000-0000B49D0000}"/>
    <cellStyle name="Normal 91 3 2 3 3" xfId="40249" xr:uid="{00000000-0005-0000-0000-0000B59D0000}"/>
    <cellStyle name="Normal 91 3 2 4" xfId="40250" xr:uid="{00000000-0005-0000-0000-0000B69D0000}"/>
    <cellStyle name="Normal 91 3 3" xfId="40251" xr:uid="{00000000-0005-0000-0000-0000B79D0000}"/>
    <cellStyle name="Normal 91 3 3 2" xfId="40252" xr:uid="{00000000-0005-0000-0000-0000B89D0000}"/>
    <cellStyle name="Normal 91 3 3 2 2" xfId="40253" xr:uid="{00000000-0005-0000-0000-0000B99D0000}"/>
    <cellStyle name="Normal 91 3 3 3" xfId="40254" xr:uid="{00000000-0005-0000-0000-0000BA9D0000}"/>
    <cellStyle name="Normal 91 3 4" xfId="40255" xr:uid="{00000000-0005-0000-0000-0000BB9D0000}"/>
    <cellStyle name="Normal 91 3 4 2" xfId="40256" xr:uid="{00000000-0005-0000-0000-0000BC9D0000}"/>
    <cellStyle name="Normal 91 3 4 2 2" xfId="40257" xr:uid="{00000000-0005-0000-0000-0000BD9D0000}"/>
    <cellStyle name="Normal 91 3 4 3" xfId="40258" xr:uid="{00000000-0005-0000-0000-0000BE9D0000}"/>
    <cellStyle name="Normal 91 3 5" xfId="40259" xr:uid="{00000000-0005-0000-0000-0000BF9D0000}"/>
    <cellStyle name="Normal 91 3 5 2" xfId="40260" xr:uid="{00000000-0005-0000-0000-0000C09D0000}"/>
    <cellStyle name="Normal 91 3 5 2 2" xfId="40261" xr:uid="{00000000-0005-0000-0000-0000C19D0000}"/>
    <cellStyle name="Normal 91 3 5 3" xfId="40262" xr:uid="{00000000-0005-0000-0000-0000C29D0000}"/>
    <cellStyle name="Normal 91 3 6" xfId="40263" xr:uid="{00000000-0005-0000-0000-0000C39D0000}"/>
    <cellStyle name="Normal 91 4" xfId="40264" xr:uid="{00000000-0005-0000-0000-0000C49D0000}"/>
    <cellStyle name="Normal 91 4 2" xfId="40265" xr:uid="{00000000-0005-0000-0000-0000C59D0000}"/>
    <cellStyle name="Normal 91 4 2 2" xfId="40266" xr:uid="{00000000-0005-0000-0000-0000C69D0000}"/>
    <cellStyle name="Normal 91 4 3" xfId="40267" xr:uid="{00000000-0005-0000-0000-0000C79D0000}"/>
    <cellStyle name="Normal 91 5" xfId="40268" xr:uid="{00000000-0005-0000-0000-0000C89D0000}"/>
    <cellStyle name="Normal 91 5 2" xfId="40269" xr:uid="{00000000-0005-0000-0000-0000C99D0000}"/>
    <cellStyle name="Normal 91 5 2 2" xfId="40270" xr:uid="{00000000-0005-0000-0000-0000CA9D0000}"/>
    <cellStyle name="Normal 91 5 3" xfId="40271" xr:uid="{00000000-0005-0000-0000-0000CB9D0000}"/>
    <cellStyle name="Normal 91 6" xfId="40272" xr:uid="{00000000-0005-0000-0000-0000CC9D0000}"/>
    <cellStyle name="Normal 91 6 2" xfId="40273" xr:uid="{00000000-0005-0000-0000-0000CD9D0000}"/>
    <cellStyle name="Normal 91 6 2 2" xfId="40274" xr:uid="{00000000-0005-0000-0000-0000CE9D0000}"/>
    <cellStyle name="Normal 91 6 3" xfId="40275" xr:uid="{00000000-0005-0000-0000-0000CF9D0000}"/>
    <cellStyle name="Normal 91 7" xfId="40276" xr:uid="{00000000-0005-0000-0000-0000D09D0000}"/>
    <cellStyle name="Normal 92" xfId="40277" xr:uid="{00000000-0005-0000-0000-0000D19D0000}"/>
    <cellStyle name="Normal 92 2" xfId="40278" xr:uid="{00000000-0005-0000-0000-0000D29D0000}"/>
    <cellStyle name="Normal 92 2 2" xfId="40279" xr:uid="{00000000-0005-0000-0000-0000D39D0000}"/>
    <cellStyle name="Normal 92 2 2 2" xfId="40280" xr:uid="{00000000-0005-0000-0000-0000D49D0000}"/>
    <cellStyle name="Normal 92 2 3" xfId="40281" xr:uid="{00000000-0005-0000-0000-0000D59D0000}"/>
    <cellStyle name="Normal 92 2 3 2" xfId="40282" xr:uid="{00000000-0005-0000-0000-0000D69D0000}"/>
    <cellStyle name="Normal 92 2 3 2 2" xfId="40283" xr:uid="{00000000-0005-0000-0000-0000D79D0000}"/>
    <cellStyle name="Normal 92 2 3 3" xfId="40284" xr:uid="{00000000-0005-0000-0000-0000D89D0000}"/>
    <cellStyle name="Normal 92 2 4" xfId="40285" xr:uid="{00000000-0005-0000-0000-0000D99D0000}"/>
    <cellStyle name="Normal 92 2 4 2" xfId="40286" xr:uid="{00000000-0005-0000-0000-0000DA9D0000}"/>
    <cellStyle name="Normal 92 2 4 2 2" xfId="40287" xr:uid="{00000000-0005-0000-0000-0000DB9D0000}"/>
    <cellStyle name="Normal 92 2 4 3" xfId="40288" xr:uid="{00000000-0005-0000-0000-0000DC9D0000}"/>
    <cellStyle name="Normal 92 2 5" xfId="40289" xr:uid="{00000000-0005-0000-0000-0000DD9D0000}"/>
    <cellStyle name="Normal 92 3" xfId="40290" xr:uid="{00000000-0005-0000-0000-0000DE9D0000}"/>
    <cellStyle name="Normal 92 3 2" xfId="40291" xr:uid="{00000000-0005-0000-0000-0000DF9D0000}"/>
    <cellStyle name="Normal 92 3 2 2" xfId="40292" xr:uid="{00000000-0005-0000-0000-0000E09D0000}"/>
    <cellStyle name="Normal 92 3 2 2 2" xfId="40293" xr:uid="{00000000-0005-0000-0000-0000E19D0000}"/>
    <cellStyle name="Normal 92 3 2 3" xfId="40294" xr:uid="{00000000-0005-0000-0000-0000E29D0000}"/>
    <cellStyle name="Normal 92 3 2 3 2" xfId="40295" xr:uid="{00000000-0005-0000-0000-0000E39D0000}"/>
    <cellStyle name="Normal 92 3 2 3 2 2" xfId="40296" xr:uid="{00000000-0005-0000-0000-0000E49D0000}"/>
    <cellStyle name="Normal 92 3 2 3 3" xfId="40297" xr:uid="{00000000-0005-0000-0000-0000E59D0000}"/>
    <cellStyle name="Normal 92 3 2 4" xfId="40298" xr:uid="{00000000-0005-0000-0000-0000E69D0000}"/>
    <cellStyle name="Normal 92 3 3" xfId="40299" xr:uid="{00000000-0005-0000-0000-0000E79D0000}"/>
    <cellStyle name="Normal 92 3 3 2" xfId="40300" xr:uid="{00000000-0005-0000-0000-0000E89D0000}"/>
    <cellStyle name="Normal 92 3 3 2 2" xfId="40301" xr:uid="{00000000-0005-0000-0000-0000E99D0000}"/>
    <cellStyle name="Normal 92 3 3 3" xfId="40302" xr:uid="{00000000-0005-0000-0000-0000EA9D0000}"/>
    <cellStyle name="Normal 92 3 4" xfId="40303" xr:uid="{00000000-0005-0000-0000-0000EB9D0000}"/>
    <cellStyle name="Normal 92 3 4 2" xfId="40304" xr:uid="{00000000-0005-0000-0000-0000EC9D0000}"/>
    <cellStyle name="Normal 92 3 4 2 2" xfId="40305" xr:uid="{00000000-0005-0000-0000-0000ED9D0000}"/>
    <cellStyle name="Normal 92 3 4 3" xfId="40306" xr:uid="{00000000-0005-0000-0000-0000EE9D0000}"/>
    <cellStyle name="Normal 92 3 5" xfId="40307" xr:uid="{00000000-0005-0000-0000-0000EF9D0000}"/>
    <cellStyle name="Normal 92 3 5 2" xfId="40308" xr:uid="{00000000-0005-0000-0000-0000F09D0000}"/>
    <cellStyle name="Normal 92 3 5 2 2" xfId="40309" xr:uid="{00000000-0005-0000-0000-0000F19D0000}"/>
    <cellStyle name="Normal 92 3 5 3" xfId="40310" xr:uid="{00000000-0005-0000-0000-0000F29D0000}"/>
    <cellStyle name="Normal 92 3 6" xfId="40311" xr:uid="{00000000-0005-0000-0000-0000F39D0000}"/>
    <cellStyle name="Normal 92 4" xfId="40312" xr:uid="{00000000-0005-0000-0000-0000F49D0000}"/>
    <cellStyle name="Normal 92 4 2" xfId="40313" xr:uid="{00000000-0005-0000-0000-0000F59D0000}"/>
    <cellStyle name="Normal 92 4 2 2" xfId="40314" xr:uid="{00000000-0005-0000-0000-0000F69D0000}"/>
    <cellStyle name="Normal 92 4 3" xfId="40315" xr:uid="{00000000-0005-0000-0000-0000F79D0000}"/>
    <cellStyle name="Normal 92 5" xfId="40316" xr:uid="{00000000-0005-0000-0000-0000F89D0000}"/>
    <cellStyle name="Normal 92 5 2" xfId="40317" xr:uid="{00000000-0005-0000-0000-0000F99D0000}"/>
    <cellStyle name="Normal 92 5 2 2" xfId="40318" xr:uid="{00000000-0005-0000-0000-0000FA9D0000}"/>
    <cellStyle name="Normal 92 5 3" xfId="40319" xr:uid="{00000000-0005-0000-0000-0000FB9D0000}"/>
    <cellStyle name="Normal 92 6" xfId="40320" xr:uid="{00000000-0005-0000-0000-0000FC9D0000}"/>
    <cellStyle name="Normal 92 6 2" xfId="40321" xr:uid="{00000000-0005-0000-0000-0000FD9D0000}"/>
    <cellStyle name="Normal 92 6 2 2" xfId="40322" xr:uid="{00000000-0005-0000-0000-0000FE9D0000}"/>
    <cellStyle name="Normal 92 6 3" xfId="40323" xr:uid="{00000000-0005-0000-0000-0000FF9D0000}"/>
    <cellStyle name="Normal 92 7" xfId="40324" xr:uid="{00000000-0005-0000-0000-0000009E0000}"/>
    <cellStyle name="Normal 93" xfId="40325" xr:uid="{00000000-0005-0000-0000-0000019E0000}"/>
    <cellStyle name="Normal 93 2" xfId="40326" xr:uid="{00000000-0005-0000-0000-0000029E0000}"/>
    <cellStyle name="Normal 93 2 2" xfId="40327" xr:uid="{00000000-0005-0000-0000-0000039E0000}"/>
    <cellStyle name="Normal 93 2 2 2" xfId="40328" xr:uid="{00000000-0005-0000-0000-0000049E0000}"/>
    <cellStyle name="Normal 93 2 3" xfId="40329" xr:uid="{00000000-0005-0000-0000-0000059E0000}"/>
    <cellStyle name="Normal 93 2 3 2" xfId="40330" xr:uid="{00000000-0005-0000-0000-0000069E0000}"/>
    <cellStyle name="Normal 93 2 3 2 2" xfId="40331" xr:uid="{00000000-0005-0000-0000-0000079E0000}"/>
    <cellStyle name="Normal 93 2 3 3" xfId="40332" xr:uid="{00000000-0005-0000-0000-0000089E0000}"/>
    <cellStyle name="Normal 93 2 4" xfId="40333" xr:uid="{00000000-0005-0000-0000-0000099E0000}"/>
    <cellStyle name="Normal 93 2 4 2" xfId="40334" xr:uid="{00000000-0005-0000-0000-00000A9E0000}"/>
    <cellStyle name="Normal 93 2 4 2 2" xfId="40335" xr:uid="{00000000-0005-0000-0000-00000B9E0000}"/>
    <cellStyle name="Normal 93 2 4 3" xfId="40336" xr:uid="{00000000-0005-0000-0000-00000C9E0000}"/>
    <cellStyle name="Normal 93 2 5" xfId="40337" xr:uid="{00000000-0005-0000-0000-00000D9E0000}"/>
    <cellStyle name="Normal 93 3" xfId="40338" xr:uid="{00000000-0005-0000-0000-00000E9E0000}"/>
    <cellStyle name="Normal 93 3 2" xfId="40339" xr:uid="{00000000-0005-0000-0000-00000F9E0000}"/>
    <cellStyle name="Normal 93 3 2 2" xfId="40340" xr:uid="{00000000-0005-0000-0000-0000109E0000}"/>
    <cellStyle name="Normal 93 3 2 2 2" xfId="40341" xr:uid="{00000000-0005-0000-0000-0000119E0000}"/>
    <cellStyle name="Normal 93 3 2 3" xfId="40342" xr:uid="{00000000-0005-0000-0000-0000129E0000}"/>
    <cellStyle name="Normal 93 3 2 3 2" xfId="40343" xr:uid="{00000000-0005-0000-0000-0000139E0000}"/>
    <cellStyle name="Normal 93 3 2 3 2 2" xfId="40344" xr:uid="{00000000-0005-0000-0000-0000149E0000}"/>
    <cellStyle name="Normal 93 3 2 3 3" xfId="40345" xr:uid="{00000000-0005-0000-0000-0000159E0000}"/>
    <cellStyle name="Normal 93 3 2 4" xfId="40346" xr:uid="{00000000-0005-0000-0000-0000169E0000}"/>
    <cellStyle name="Normal 93 3 3" xfId="40347" xr:uid="{00000000-0005-0000-0000-0000179E0000}"/>
    <cellStyle name="Normal 93 3 3 2" xfId="40348" xr:uid="{00000000-0005-0000-0000-0000189E0000}"/>
    <cellStyle name="Normal 93 3 3 2 2" xfId="40349" xr:uid="{00000000-0005-0000-0000-0000199E0000}"/>
    <cellStyle name="Normal 93 3 3 3" xfId="40350" xr:uid="{00000000-0005-0000-0000-00001A9E0000}"/>
    <cellStyle name="Normal 93 3 4" xfId="40351" xr:uid="{00000000-0005-0000-0000-00001B9E0000}"/>
    <cellStyle name="Normal 93 3 4 2" xfId="40352" xr:uid="{00000000-0005-0000-0000-00001C9E0000}"/>
    <cellStyle name="Normal 93 3 4 2 2" xfId="40353" xr:uid="{00000000-0005-0000-0000-00001D9E0000}"/>
    <cellStyle name="Normal 93 3 4 3" xfId="40354" xr:uid="{00000000-0005-0000-0000-00001E9E0000}"/>
    <cellStyle name="Normal 93 3 5" xfId="40355" xr:uid="{00000000-0005-0000-0000-00001F9E0000}"/>
    <cellStyle name="Normal 93 3 5 2" xfId="40356" xr:uid="{00000000-0005-0000-0000-0000209E0000}"/>
    <cellStyle name="Normal 93 3 5 2 2" xfId="40357" xr:uid="{00000000-0005-0000-0000-0000219E0000}"/>
    <cellStyle name="Normal 93 3 5 3" xfId="40358" xr:uid="{00000000-0005-0000-0000-0000229E0000}"/>
    <cellStyle name="Normal 93 3 6" xfId="40359" xr:uid="{00000000-0005-0000-0000-0000239E0000}"/>
    <cellStyle name="Normal 93 4" xfId="40360" xr:uid="{00000000-0005-0000-0000-0000249E0000}"/>
    <cellStyle name="Normal 93 4 2" xfId="40361" xr:uid="{00000000-0005-0000-0000-0000259E0000}"/>
    <cellStyle name="Normal 93 4 2 2" xfId="40362" xr:uid="{00000000-0005-0000-0000-0000269E0000}"/>
    <cellStyle name="Normal 93 4 3" xfId="40363" xr:uid="{00000000-0005-0000-0000-0000279E0000}"/>
    <cellStyle name="Normal 93 5" xfId="40364" xr:uid="{00000000-0005-0000-0000-0000289E0000}"/>
    <cellStyle name="Normal 93 5 2" xfId="40365" xr:uid="{00000000-0005-0000-0000-0000299E0000}"/>
    <cellStyle name="Normal 93 5 2 2" xfId="40366" xr:uid="{00000000-0005-0000-0000-00002A9E0000}"/>
    <cellStyle name="Normal 93 5 3" xfId="40367" xr:uid="{00000000-0005-0000-0000-00002B9E0000}"/>
    <cellStyle name="Normal 93 6" xfId="40368" xr:uid="{00000000-0005-0000-0000-00002C9E0000}"/>
    <cellStyle name="Normal 93 6 2" xfId="40369" xr:uid="{00000000-0005-0000-0000-00002D9E0000}"/>
    <cellStyle name="Normal 93 6 2 2" xfId="40370" xr:uid="{00000000-0005-0000-0000-00002E9E0000}"/>
    <cellStyle name="Normal 93 6 3" xfId="40371" xr:uid="{00000000-0005-0000-0000-00002F9E0000}"/>
    <cellStyle name="Normal 93 7" xfId="40372" xr:uid="{00000000-0005-0000-0000-0000309E0000}"/>
    <cellStyle name="Normal 94" xfId="40373" xr:uid="{00000000-0005-0000-0000-0000319E0000}"/>
    <cellStyle name="Normal 94 2" xfId="40374" xr:uid="{00000000-0005-0000-0000-0000329E0000}"/>
    <cellStyle name="Normal 94 2 2" xfId="40375" xr:uid="{00000000-0005-0000-0000-0000339E0000}"/>
    <cellStyle name="Normal 94 2 2 2" xfId="40376" xr:uid="{00000000-0005-0000-0000-0000349E0000}"/>
    <cellStyle name="Normal 94 2 3" xfId="40377" xr:uid="{00000000-0005-0000-0000-0000359E0000}"/>
    <cellStyle name="Normal 94 2 3 2" xfId="40378" xr:uid="{00000000-0005-0000-0000-0000369E0000}"/>
    <cellStyle name="Normal 94 2 3 2 2" xfId="40379" xr:uid="{00000000-0005-0000-0000-0000379E0000}"/>
    <cellStyle name="Normal 94 2 3 3" xfId="40380" xr:uid="{00000000-0005-0000-0000-0000389E0000}"/>
    <cellStyle name="Normal 94 2 4" xfId="40381" xr:uid="{00000000-0005-0000-0000-0000399E0000}"/>
    <cellStyle name="Normal 94 2 4 2" xfId="40382" xr:uid="{00000000-0005-0000-0000-00003A9E0000}"/>
    <cellStyle name="Normal 94 2 4 2 2" xfId="40383" xr:uid="{00000000-0005-0000-0000-00003B9E0000}"/>
    <cellStyle name="Normal 94 2 4 3" xfId="40384" xr:uid="{00000000-0005-0000-0000-00003C9E0000}"/>
    <cellStyle name="Normal 94 2 5" xfId="40385" xr:uid="{00000000-0005-0000-0000-00003D9E0000}"/>
    <cellStyle name="Normal 94 3" xfId="40386" xr:uid="{00000000-0005-0000-0000-00003E9E0000}"/>
    <cellStyle name="Normal 94 3 2" xfId="40387" xr:uid="{00000000-0005-0000-0000-00003F9E0000}"/>
    <cellStyle name="Normal 94 3 2 2" xfId="40388" xr:uid="{00000000-0005-0000-0000-0000409E0000}"/>
    <cellStyle name="Normal 94 3 2 2 2" xfId="40389" xr:uid="{00000000-0005-0000-0000-0000419E0000}"/>
    <cellStyle name="Normal 94 3 2 3" xfId="40390" xr:uid="{00000000-0005-0000-0000-0000429E0000}"/>
    <cellStyle name="Normal 94 3 2 3 2" xfId="40391" xr:uid="{00000000-0005-0000-0000-0000439E0000}"/>
    <cellStyle name="Normal 94 3 2 3 2 2" xfId="40392" xr:uid="{00000000-0005-0000-0000-0000449E0000}"/>
    <cellStyle name="Normal 94 3 2 3 3" xfId="40393" xr:uid="{00000000-0005-0000-0000-0000459E0000}"/>
    <cellStyle name="Normal 94 3 2 4" xfId="40394" xr:uid="{00000000-0005-0000-0000-0000469E0000}"/>
    <cellStyle name="Normal 94 3 3" xfId="40395" xr:uid="{00000000-0005-0000-0000-0000479E0000}"/>
    <cellStyle name="Normal 94 3 3 2" xfId="40396" xr:uid="{00000000-0005-0000-0000-0000489E0000}"/>
    <cellStyle name="Normal 94 3 3 2 2" xfId="40397" xr:uid="{00000000-0005-0000-0000-0000499E0000}"/>
    <cellStyle name="Normal 94 3 3 3" xfId="40398" xr:uid="{00000000-0005-0000-0000-00004A9E0000}"/>
    <cellStyle name="Normal 94 3 4" xfId="40399" xr:uid="{00000000-0005-0000-0000-00004B9E0000}"/>
    <cellStyle name="Normal 94 3 4 2" xfId="40400" xr:uid="{00000000-0005-0000-0000-00004C9E0000}"/>
    <cellStyle name="Normal 94 3 4 2 2" xfId="40401" xr:uid="{00000000-0005-0000-0000-00004D9E0000}"/>
    <cellStyle name="Normal 94 3 4 3" xfId="40402" xr:uid="{00000000-0005-0000-0000-00004E9E0000}"/>
    <cellStyle name="Normal 94 3 5" xfId="40403" xr:uid="{00000000-0005-0000-0000-00004F9E0000}"/>
    <cellStyle name="Normal 94 3 5 2" xfId="40404" xr:uid="{00000000-0005-0000-0000-0000509E0000}"/>
    <cellStyle name="Normal 94 3 5 2 2" xfId="40405" xr:uid="{00000000-0005-0000-0000-0000519E0000}"/>
    <cellStyle name="Normal 94 3 5 3" xfId="40406" xr:uid="{00000000-0005-0000-0000-0000529E0000}"/>
    <cellStyle name="Normal 94 3 6" xfId="40407" xr:uid="{00000000-0005-0000-0000-0000539E0000}"/>
    <cellStyle name="Normal 94 4" xfId="40408" xr:uid="{00000000-0005-0000-0000-0000549E0000}"/>
    <cellStyle name="Normal 94 4 2" xfId="40409" xr:uid="{00000000-0005-0000-0000-0000559E0000}"/>
    <cellStyle name="Normal 94 4 2 2" xfId="40410" xr:uid="{00000000-0005-0000-0000-0000569E0000}"/>
    <cellStyle name="Normal 94 4 3" xfId="40411" xr:uid="{00000000-0005-0000-0000-0000579E0000}"/>
    <cellStyle name="Normal 94 5" xfId="40412" xr:uid="{00000000-0005-0000-0000-0000589E0000}"/>
    <cellStyle name="Normal 94 5 2" xfId="40413" xr:uid="{00000000-0005-0000-0000-0000599E0000}"/>
    <cellStyle name="Normal 94 5 2 2" xfId="40414" xr:uid="{00000000-0005-0000-0000-00005A9E0000}"/>
    <cellStyle name="Normal 94 5 3" xfId="40415" xr:uid="{00000000-0005-0000-0000-00005B9E0000}"/>
    <cellStyle name="Normal 94 6" xfId="40416" xr:uid="{00000000-0005-0000-0000-00005C9E0000}"/>
    <cellStyle name="Normal 94 6 2" xfId="40417" xr:uid="{00000000-0005-0000-0000-00005D9E0000}"/>
    <cellStyle name="Normal 94 6 2 2" xfId="40418" xr:uid="{00000000-0005-0000-0000-00005E9E0000}"/>
    <cellStyle name="Normal 94 6 3" xfId="40419" xr:uid="{00000000-0005-0000-0000-00005F9E0000}"/>
    <cellStyle name="Normal 94 7" xfId="40420" xr:uid="{00000000-0005-0000-0000-0000609E0000}"/>
    <cellStyle name="Normal 95" xfId="40421" xr:uid="{00000000-0005-0000-0000-0000619E0000}"/>
    <cellStyle name="Normal 95 2" xfId="40422" xr:uid="{00000000-0005-0000-0000-0000629E0000}"/>
    <cellStyle name="Normal 95 2 2" xfId="40423" xr:uid="{00000000-0005-0000-0000-0000639E0000}"/>
    <cellStyle name="Normal 95 2 2 2" xfId="40424" xr:uid="{00000000-0005-0000-0000-0000649E0000}"/>
    <cellStyle name="Normal 95 2 3" xfId="40425" xr:uid="{00000000-0005-0000-0000-0000659E0000}"/>
    <cellStyle name="Normal 95 2 3 2" xfId="40426" xr:uid="{00000000-0005-0000-0000-0000669E0000}"/>
    <cellStyle name="Normal 95 2 3 2 2" xfId="40427" xr:uid="{00000000-0005-0000-0000-0000679E0000}"/>
    <cellStyle name="Normal 95 2 3 3" xfId="40428" xr:uid="{00000000-0005-0000-0000-0000689E0000}"/>
    <cellStyle name="Normal 95 2 4" xfId="40429" xr:uid="{00000000-0005-0000-0000-0000699E0000}"/>
    <cellStyle name="Normal 95 2 4 2" xfId="40430" xr:uid="{00000000-0005-0000-0000-00006A9E0000}"/>
    <cellStyle name="Normal 95 2 4 2 2" xfId="40431" xr:uid="{00000000-0005-0000-0000-00006B9E0000}"/>
    <cellStyle name="Normal 95 2 4 3" xfId="40432" xr:uid="{00000000-0005-0000-0000-00006C9E0000}"/>
    <cellStyle name="Normal 95 2 5" xfId="40433" xr:uid="{00000000-0005-0000-0000-00006D9E0000}"/>
    <cellStyle name="Normal 95 3" xfId="40434" xr:uid="{00000000-0005-0000-0000-00006E9E0000}"/>
    <cellStyle name="Normal 95 3 2" xfId="40435" xr:uid="{00000000-0005-0000-0000-00006F9E0000}"/>
    <cellStyle name="Normal 95 3 2 2" xfId="40436" xr:uid="{00000000-0005-0000-0000-0000709E0000}"/>
    <cellStyle name="Normal 95 3 2 2 2" xfId="40437" xr:uid="{00000000-0005-0000-0000-0000719E0000}"/>
    <cellStyle name="Normal 95 3 2 3" xfId="40438" xr:uid="{00000000-0005-0000-0000-0000729E0000}"/>
    <cellStyle name="Normal 95 3 2 3 2" xfId="40439" xr:uid="{00000000-0005-0000-0000-0000739E0000}"/>
    <cellStyle name="Normal 95 3 2 3 2 2" xfId="40440" xr:uid="{00000000-0005-0000-0000-0000749E0000}"/>
    <cellStyle name="Normal 95 3 2 3 3" xfId="40441" xr:uid="{00000000-0005-0000-0000-0000759E0000}"/>
    <cellStyle name="Normal 95 3 2 4" xfId="40442" xr:uid="{00000000-0005-0000-0000-0000769E0000}"/>
    <cellStyle name="Normal 95 3 3" xfId="40443" xr:uid="{00000000-0005-0000-0000-0000779E0000}"/>
    <cellStyle name="Normal 95 3 3 2" xfId="40444" xr:uid="{00000000-0005-0000-0000-0000789E0000}"/>
    <cellStyle name="Normal 95 3 3 2 2" xfId="40445" xr:uid="{00000000-0005-0000-0000-0000799E0000}"/>
    <cellStyle name="Normal 95 3 3 3" xfId="40446" xr:uid="{00000000-0005-0000-0000-00007A9E0000}"/>
    <cellStyle name="Normal 95 3 4" xfId="40447" xr:uid="{00000000-0005-0000-0000-00007B9E0000}"/>
    <cellStyle name="Normal 95 3 4 2" xfId="40448" xr:uid="{00000000-0005-0000-0000-00007C9E0000}"/>
    <cellStyle name="Normal 95 3 4 2 2" xfId="40449" xr:uid="{00000000-0005-0000-0000-00007D9E0000}"/>
    <cellStyle name="Normal 95 3 4 3" xfId="40450" xr:uid="{00000000-0005-0000-0000-00007E9E0000}"/>
    <cellStyle name="Normal 95 3 5" xfId="40451" xr:uid="{00000000-0005-0000-0000-00007F9E0000}"/>
    <cellStyle name="Normal 95 3 5 2" xfId="40452" xr:uid="{00000000-0005-0000-0000-0000809E0000}"/>
    <cellStyle name="Normal 95 3 5 2 2" xfId="40453" xr:uid="{00000000-0005-0000-0000-0000819E0000}"/>
    <cellStyle name="Normal 95 3 5 3" xfId="40454" xr:uid="{00000000-0005-0000-0000-0000829E0000}"/>
    <cellStyle name="Normal 95 3 6" xfId="40455" xr:uid="{00000000-0005-0000-0000-0000839E0000}"/>
    <cellStyle name="Normal 95 4" xfId="40456" xr:uid="{00000000-0005-0000-0000-0000849E0000}"/>
    <cellStyle name="Normal 95 4 2" xfId="40457" xr:uid="{00000000-0005-0000-0000-0000859E0000}"/>
    <cellStyle name="Normal 95 4 2 2" xfId="40458" xr:uid="{00000000-0005-0000-0000-0000869E0000}"/>
    <cellStyle name="Normal 95 4 3" xfId="40459" xr:uid="{00000000-0005-0000-0000-0000879E0000}"/>
    <cellStyle name="Normal 95 5" xfId="40460" xr:uid="{00000000-0005-0000-0000-0000889E0000}"/>
    <cellStyle name="Normal 95 5 2" xfId="40461" xr:uid="{00000000-0005-0000-0000-0000899E0000}"/>
    <cellStyle name="Normal 95 5 2 2" xfId="40462" xr:uid="{00000000-0005-0000-0000-00008A9E0000}"/>
    <cellStyle name="Normal 95 5 3" xfId="40463" xr:uid="{00000000-0005-0000-0000-00008B9E0000}"/>
    <cellStyle name="Normal 95 6" xfId="40464" xr:uid="{00000000-0005-0000-0000-00008C9E0000}"/>
    <cellStyle name="Normal 95 6 2" xfId="40465" xr:uid="{00000000-0005-0000-0000-00008D9E0000}"/>
    <cellStyle name="Normal 95 6 2 2" xfId="40466" xr:uid="{00000000-0005-0000-0000-00008E9E0000}"/>
    <cellStyle name="Normal 95 6 3" xfId="40467" xr:uid="{00000000-0005-0000-0000-00008F9E0000}"/>
    <cellStyle name="Normal 95 7" xfId="40468" xr:uid="{00000000-0005-0000-0000-0000909E0000}"/>
    <cellStyle name="Normal 96" xfId="40469" xr:uid="{00000000-0005-0000-0000-0000919E0000}"/>
    <cellStyle name="Normal 96 2" xfId="40470" xr:uid="{00000000-0005-0000-0000-0000929E0000}"/>
    <cellStyle name="Normal 96 2 2" xfId="40471" xr:uid="{00000000-0005-0000-0000-0000939E0000}"/>
    <cellStyle name="Normal 96 2 2 2" xfId="40472" xr:uid="{00000000-0005-0000-0000-0000949E0000}"/>
    <cellStyle name="Normal 96 2 3" xfId="40473" xr:uid="{00000000-0005-0000-0000-0000959E0000}"/>
    <cellStyle name="Normal 96 2 3 2" xfId="40474" xr:uid="{00000000-0005-0000-0000-0000969E0000}"/>
    <cellStyle name="Normal 96 2 3 2 2" xfId="40475" xr:uid="{00000000-0005-0000-0000-0000979E0000}"/>
    <cellStyle name="Normal 96 2 3 3" xfId="40476" xr:uid="{00000000-0005-0000-0000-0000989E0000}"/>
    <cellStyle name="Normal 96 2 4" xfId="40477" xr:uid="{00000000-0005-0000-0000-0000999E0000}"/>
    <cellStyle name="Normal 96 2 4 2" xfId="40478" xr:uid="{00000000-0005-0000-0000-00009A9E0000}"/>
    <cellStyle name="Normal 96 2 4 2 2" xfId="40479" xr:uid="{00000000-0005-0000-0000-00009B9E0000}"/>
    <cellStyle name="Normal 96 2 4 3" xfId="40480" xr:uid="{00000000-0005-0000-0000-00009C9E0000}"/>
    <cellStyle name="Normal 96 2 5" xfId="40481" xr:uid="{00000000-0005-0000-0000-00009D9E0000}"/>
    <cellStyle name="Normal 96 3" xfId="40482" xr:uid="{00000000-0005-0000-0000-00009E9E0000}"/>
    <cellStyle name="Normal 96 3 2" xfId="40483" xr:uid="{00000000-0005-0000-0000-00009F9E0000}"/>
    <cellStyle name="Normal 96 3 2 2" xfId="40484" xr:uid="{00000000-0005-0000-0000-0000A09E0000}"/>
    <cellStyle name="Normal 96 3 2 2 2" xfId="40485" xr:uid="{00000000-0005-0000-0000-0000A19E0000}"/>
    <cellStyle name="Normal 96 3 2 3" xfId="40486" xr:uid="{00000000-0005-0000-0000-0000A29E0000}"/>
    <cellStyle name="Normal 96 3 2 3 2" xfId="40487" xr:uid="{00000000-0005-0000-0000-0000A39E0000}"/>
    <cellStyle name="Normal 96 3 2 3 2 2" xfId="40488" xr:uid="{00000000-0005-0000-0000-0000A49E0000}"/>
    <cellStyle name="Normal 96 3 2 3 3" xfId="40489" xr:uid="{00000000-0005-0000-0000-0000A59E0000}"/>
    <cellStyle name="Normal 96 3 2 4" xfId="40490" xr:uid="{00000000-0005-0000-0000-0000A69E0000}"/>
    <cellStyle name="Normal 96 3 3" xfId="40491" xr:uid="{00000000-0005-0000-0000-0000A79E0000}"/>
    <cellStyle name="Normal 96 3 3 2" xfId="40492" xr:uid="{00000000-0005-0000-0000-0000A89E0000}"/>
    <cellStyle name="Normal 96 3 3 2 2" xfId="40493" xr:uid="{00000000-0005-0000-0000-0000A99E0000}"/>
    <cellStyle name="Normal 96 3 3 3" xfId="40494" xr:uid="{00000000-0005-0000-0000-0000AA9E0000}"/>
    <cellStyle name="Normal 96 3 4" xfId="40495" xr:uid="{00000000-0005-0000-0000-0000AB9E0000}"/>
    <cellStyle name="Normal 96 3 4 2" xfId="40496" xr:uid="{00000000-0005-0000-0000-0000AC9E0000}"/>
    <cellStyle name="Normal 96 3 4 2 2" xfId="40497" xr:uid="{00000000-0005-0000-0000-0000AD9E0000}"/>
    <cellStyle name="Normal 96 3 4 3" xfId="40498" xr:uid="{00000000-0005-0000-0000-0000AE9E0000}"/>
    <cellStyle name="Normal 96 3 5" xfId="40499" xr:uid="{00000000-0005-0000-0000-0000AF9E0000}"/>
    <cellStyle name="Normal 96 3 5 2" xfId="40500" xr:uid="{00000000-0005-0000-0000-0000B09E0000}"/>
    <cellStyle name="Normal 96 3 5 2 2" xfId="40501" xr:uid="{00000000-0005-0000-0000-0000B19E0000}"/>
    <cellStyle name="Normal 96 3 5 3" xfId="40502" xr:uid="{00000000-0005-0000-0000-0000B29E0000}"/>
    <cellStyle name="Normal 96 3 6" xfId="40503" xr:uid="{00000000-0005-0000-0000-0000B39E0000}"/>
    <cellStyle name="Normal 96 4" xfId="40504" xr:uid="{00000000-0005-0000-0000-0000B49E0000}"/>
    <cellStyle name="Normal 96 4 2" xfId="40505" xr:uid="{00000000-0005-0000-0000-0000B59E0000}"/>
    <cellStyle name="Normal 96 4 2 2" xfId="40506" xr:uid="{00000000-0005-0000-0000-0000B69E0000}"/>
    <cellStyle name="Normal 96 4 3" xfId="40507" xr:uid="{00000000-0005-0000-0000-0000B79E0000}"/>
    <cellStyle name="Normal 96 5" xfId="40508" xr:uid="{00000000-0005-0000-0000-0000B89E0000}"/>
    <cellStyle name="Normal 96 5 2" xfId="40509" xr:uid="{00000000-0005-0000-0000-0000B99E0000}"/>
    <cellStyle name="Normal 96 5 2 2" xfId="40510" xr:uid="{00000000-0005-0000-0000-0000BA9E0000}"/>
    <cellStyle name="Normal 96 5 3" xfId="40511" xr:uid="{00000000-0005-0000-0000-0000BB9E0000}"/>
    <cellStyle name="Normal 96 6" xfId="40512" xr:uid="{00000000-0005-0000-0000-0000BC9E0000}"/>
    <cellStyle name="Normal 96 6 2" xfId="40513" xr:uid="{00000000-0005-0000-0000-0000BD9E0000}"/>
    <cellStyle name="Normal 96 6 2 2" xfId="40514" xr:uid="{00000000-0005-0000-0000-0000BE9E0000}"/>
    <cellStyle name="Normal 96 6 3" xfId="40515" xr:uid="{00000000-0005-0000-0000-0000BF9E0000}"/>
    <cellStyle name="Normal 96 7" xfId="40516" xr:uid="{00000000-0005-0000-0000-0000C09E0000}"/>
    <cellStyle name="Normal 97" xfId="40517" xr:uid="{00000000-0005-0000-0000-0000C19E0000}"/>
    <cellStyle name="Normal 97 2" xfId="40518" xr:uid="{00000000-0005-0000-0000-0000C29E0000}"/>
    <cellStyle name="Normal 97 2 2" xfId="40519" xr:uid="{00000000-0005-0000-0000-0000C39E0000}"/>
    <cellStyle name="Normal 97 2 2 2" xfId="40520" xr:uid="{00000000-0005-0000-0000-0000C49E0000}"/>
    <cellStyle name="Normal 97 2 3" xfId="40521" xr:uid="{00000000-0005-0000-0000-0000C59E0000}"/>
    <cellStyle name="Normal 97 2 3 2" xfId="40522" xr:uid="{00000000-0005-0000-0000-0000C69E0000}"/>
    <cellStyle name="Normal 97 2 3 2 2" xfId="40523" xr:uid="{00000000-0005-0000-0000-0000C79E0000}"/>
    <cellStyle name="Normal 97 2 3 3" xfId="40524" xr:uid="{00000000-0005-0000-0000-0000C89E0000}"/>
    <cellStyle name="Normal 97 2 4" xfId="40525" xr:uid="{00000000-0005-0000-0000-0000C99E0000}"/>
    <cellStyle name="Normal 97 2 4 2" xfId="40526" xr:uid="{00000000-0005-0000-0000-0000CA9E0000}"/>
    <cellStyle name="Normal 97 2 4 2 2" xfId="40527" xr:uid="{00000000-0005-0000-0000-0000CB9E0000}"/>
    <cellStyle name="Normal 97 2 4 3" xfId="40528" xr:uid="{00000000-0005-0000-0000-0000CC9E0000}"/>
    <cellStyle name="Normal 97 2 5" xfId="40529" xr:uid="{00000000-0005-0000-0000-0000CD9E0000}"/>
    <cellStyle name="Normal 97 3" xfId="40530" xr:uid="{00000000-0005-0000-0000-0000CE9E0000}"/>
    <cellStyle name="Normal 97 3 2" xfId="40531" xr:uid="{00000000-0005-0000-0000-0000CF9E0000}"/>
    <cellStyle name="Normal 97 3 2 2" xfId="40532" xr:uid="{00000000-0005-0000-0000-0000D09E0000}"/>
    <cellStyle name="Normal 97 3 2 2 2" xfId="40533" xr:uid="{00000000-0005-0000-0000-0000D19E0000}"/>
    <cellStyle name="Normal 97 3 2 3" xfId="40534" xr:uid="{00000000-0005-0000-0000-0000D29E0000}"/>
    <cellStyle name="Normal 97 3 2 3 2" xfId="40535" xr:uid="{00000000-0005-0000-0000-0000D39E0000}"/>
    <cellStyle name="Normal 97 3 2 3 2 2" xfId="40536" xr:uid="{00000000-0005-0000-0000-0000D49E0000}"/>
    <cellStyle name="Normal 97 3 2 3 3" xfId="40537" xr:uid="{00000000-0005-0000-0000-0000D59E0000}"/>
    <cellStyle name="Normal 97 3 2 4" xfId="40538" xr:uid="{00000000-0005-0000-0000-0000D69E0000}"/>
    <cellStyle name="Normal 97 3 3" xfId="40539" xr:uid="{00000000-0005-0000-0000-0000D79E0000}"/>
    <cellStyle name="Normal 97 3 3 2" xfId="40540" xr:uid="{00000000-0005-0000-0000-0000D89E0000}"/>
    <cellStyle name="Normal 97 3 3 2 2" xfId="40541" xr:uid="{00000000-0005-0000-0000-0000D99E0000}"/>
    <cellStyle name="Normal 97 3 3 3" xfId="40542" xr:uid="{00000000-0005-0000-0000-0000DA9E0000}"/>
    <cellStyle name="Normal 97 3 4" xfId="40543" xr:uid="{00000000-0005-0000-0000-0000DB9E0000}"/>
    <cellStyle name="Normal 97 3 4 2" xfId="40544" xr:uid="{00000000-0005-0000-0000-0000DC9E0000}"/>
    <cellStyle name="Normal 97 3 4 2 2" xfId="40545" xr:uid="{00000000-0005-0000-0000-0000DD9E0000}"/>
    <cellStyle name="Normal 97 3 4 3" xfId="40546" xr:uid="{00000000-0005-0000-0000-0000DE9E0000}"/>
    <cellStyle name="Normal 97 3 5" xfId="40547" xr:uid="{00000000-0005-0000-0000-0000DF9E0000}"/>
    <cellStyle name="Normal 97 3 5 2" xfId="40548" xr:uid="{00000000-0005-0000-0000-0000E09E0000}"/>
    <cellStyle name="Normal 97 3 5 2 2" xfId="40549" xr:uid="{00000000-0005-0000-0000-0000E19E0000}"/>
    <cellStyle name="Normal 97 3 5 3" xfId="40550" xr:uid="{00000000-0005-0000-0000-0000E29E0000}"/>
    <cellStyle name="Normal 97 3 6" xfId="40551" xr:uid="{00000000-0005-0000-0000-0000E39E0000}"/>
    <cellStyle name="Normal 97 4" xfId="40552" xr:uid="{00000000-0005-0000-0000-0000E49E0000}"/>
    <cellStyle name="Normal 97 4 2" xfId="40553" xr:uid="{00000000-0005-0000-0000-0000E59E0000}"/>
    <cellStyle name="Normal 97 4 2 2" xfId="40554" xr:uid="{00000000-0005-0000-0000-0000E69E0000}"/>
    <cellStyle name="Normal 97 4 3" xfId="40555" xr:uid="{00000000-0005-0000-0000-0000E79E0000}"/>
    <cellStyle name="Normal 97 5" xfId="40556" xr:uid="{00000000-0005-0000-0000-0000E89E0000}"/>
    <cellStyle name="Normal 97 5 2" xfId="40557" xr:uid="{00000000-0005-0000-0000-0000E99E0000}"/>
    <cellStyle name="Normal 97 5 2 2" xfId="40558" xr:uid="{00000000-0005-0000-0000-0000EA9E0000}"/>
    <cellStyle name="Normal 97 5 3" xfId="40559" xr:uid="{00000000-0005-0000-0000-0000EB9E0000}"/>
    <cellStyle name="Normal 97 6" xfId="40560" xr:uid="{00000000-0005-0000-0000-0000EC9E0000}"/>
    <cellStyle name="Normal 97 6 2" xfId="40561" xr:uid="{00000000-0005-0000-0000-0000ED9E0000}"/>
    <cellStyle name="Normal 97 6 2 2" xfId="40562" xr:uid="{00000000-0005-0000-0000-0000EE9E0000}"/>
    <cellStyle name="Normal 97 6 3" xfId="40563" xr:uid="{00000000-0005-0000-0000-0000EF9E0000}"/>
    <cellStyle name="Normal 97 7" xfId="40564" xr:uid="{00000000-0005-0000-0000-0000F09E0000}"/>
    <cellStyle name="Normal 98" xfId="40565" xr:uid="{00000000-0005-0000-0000-0000F19E0000}"/>
    <cellStyle name="Normal 98 2" xfId="40566" xr:uid="{00000000-0005-0000-0000-0000F29E0000}"/>
    <cellStyle name="Normal 98 2 2" xfId="40567" xr:uid="{00000000-0005-0000-0000-0000F39E0000}"/>
    <cellStyle name="Normal 98 2 2 2" xfId="40568" xr:uid="{00000000-0005-0000-0000-0000F49E0000}"/>
    <cellStyle name="Normal 98 2 3" xfId="40569" xr:uid="{00000000-0005-0000-0000-0000F59E0000}"/>
    <cellStyle name="Normal 98 2 3 2" xfId="40570" xr:uid="{00000000-0005-0000-0000-0000F69E0000}"/>
    <cellStyle name="Normal 98 2 3 2 2" xfId="40571" xr:uid="{00000000-0005-0000-0000-0000F79E0000}"/>
    <cellStyle name="Normal 98 2 3 3" xfId="40572" xr:uid="{00000000-0005-0000-0000-0000F89E0000}"/>
    <cellStyle name="Normal 98 2 4" xfId="40573" xr:uid="{00000000-0005-0000-0000-0000F99E0000}"/>
    <cellStyle name="Normal 98 2 4 2" xfId="40574" xr:uid="{00000000-0005-0000-0000-0000FA9E0000}"/>
    <cellStyle name="Normal 98 2 4 2 2" xfId="40575" xr:uid="{00000000-0005-0000-0000-0000FB9E0000}"/>
    <cellStyle name="Normal 98 2 4 3" xfId="40576" xr:uid="{00000000-0005-0000-0000-0000FC9E0000}"/>
    <cellStyle name="Normal 98 2 5" xfId="40577" xr:uid="{00000000-0005-0000-0000-0000FD9E0000}"/>
    <cellStyle name="Normal 98 3" xfId="40578" xr:uid="{00000000-0005-0000-0000-0000FE9E0000}"/>
    <cellStyle name="Normal 98 3 2" xfId="40579" xr:uid="{00000000-0005-0000-0000-0000FF9E0000}"/>
    <cellStyle name="Normal 98 3 2 2" xfId="40580" xr:uid="{00000000-0005-0000-0000-0000009F0000}"/>
    <cellStyle name="Normal 98 3 2 2 2" xfId="40581" xr:uid="{00000000-0005-0000-0000-0000019F0000}"/>
    <cellStyle name="Normal 98 3 2 3" xfId="40582" xr:uid="{00000000-0005-0000-0000-0000029F0000}"/>
    <cellStyle name="Normal 98 3 2 3 2" xfId="40583" xr:uid="{00000000-0005-0000-0000-0000039F0000}"/>
    <cellStyle name="Normal 98 3 2 3 2 2" xfId="40584" xr:uid="{00000000-0005-0000-0000-0000049F0000}"/>
    <cellStyle name="Normal 98 3 2 3 3" xfId="40585" xr:uid="{00000000-0005-0000-0000-0000059F0000}"/>
    <cellStyle name="Normal 98 3 2 4" xfId="40586" xr:uid="{00000000-0005-0000-0000-0000069F0000}"/>
    <cellStyle name="Normal 98 3 3" xfId="40587" xr:uid="{00000000-0005-0000-0000-0000079F0000}"/>
    <cellStyle name="Normal 98 3 3 2" xfId="40588" xr:uid="{00000000-0005-0000-0000-0000089F0000}"/>
    <cellStyle name="Normal 98 3 3 2 2" xfId="40589" xr:uid="{00000000-0005-0000-0000-0000099F0000}"/>
    <cellStyle name="Normal 98 3 3 3" xfId="40590" xr:uid="{00000000-0005-0000-0000-00000A9F0000}"/>
    <cellStyle name="Normal 98 3 4" xfId="40591" xr:uid="{00000000-0005-0000-0000-00000B9F0000}"/>
    <cellStyle name="Normal 98 3 4 2" xfId="40592" xr:uid="{00000000-0005-0000-0000-00000C9F0000}"/>
    <cellStyle name="Normal 98 3 4 2 2" xfId="40593" xr:uid="{00000000-0005-0000-0000-00000D9F0000}"/>
    <cellStyle name="Normal 98 3 4 3" xfId="40594" xr:uid="{00000000-0005-0000-0000-00000E9F0000}"/>
    <cellStyle name="Normal 98 3 5" xfId="40595" xr:uid="{00000000-0005-0000-0000-00000F9F0000}"/>
    <cellStyle name="Normal 98 3 5 2" xfId="40596" xr:uid="{00000000-0005-0000-0000-0000109F0000}"/>
    <cellStyle name="Normal 98 3 5 2 2" xfId="40597" xr:uid="{00000000-0005-0000-0000-0000119F0000}"/>
    <cellStyle name="Normal 98 3 5 3" xfId="40598" xr:uid="{00000000-0005-0000-0000-0000129F0000}"/>
    <cellStyle name="Normal 98 3 6" xfId="40599" xr:uid="{00000000-0005-0000-0000-0000139F0000}"/>
    <cellStyle name="Normal 98 4" xfId="40600" xr:uid="{00000000-0005-0000-0000-0000149F0000}"/>
    <cellStyle name="Normal 98 4 2" xfId="40601" xr:uid="{00000000-0005-0000-0000-0000159F0000}"/>
    <cellStyle name="Normal 98 4 2 2" xfId="40602" xr:uid="{00000000-0005-0000-0000-0000169F0000}"/>
    <cellStyle name="Normal 98 4 3" xfId="40603" xr:uid="{00000000-0005-0000-0000-0000179F0000}"/>
    <cellStyle name="Normal 98 5" xfId="40604" xr:uid="{00000000-0005-0000-0000-0000189F0000}"/>
    <cellStyle name="Normal 98 5 2" xfId="40605" xr:uid="{00000000-0005-0000-0000-0000199F0000}"/>
    <cellStyle name="Normal 98 5 2 2" xfId="40606" xr:uid="{00000000-0005-0000-0000-00001A9F0000}"/>
    <cellStyle name="Normal 98 5 3" xfId="40607" xr:uid="{00000000-0005-0000-0000-00001B9F0000}"/>
    <cellStyle name="Normal 98 6" xfId="40608" xr:uid="{00000000-0005-0000-0000-00001C9F0000}"/>
    <cellStyle name="Normal 98 6 2" xfId="40609" xr:uid="{00000000-0005-0000-0000-00001D9F0000}"/>
    <cellStyle name="Normal 98 6 2 2" xfId="40610" xr:uid="{00000000-0005-0000-0000-00001E9F0000}"/>
    <cellStyle name="Normal 98 6 3" xfId="40611" xr:uid="{00000000-0005-0000-0000-00001F9F0000}"/>
    <cellStyle name="Normal 98 7" xfId="40612" xr:uid="{00000000-0005-0000-0000-0000209F0000}"/>
    <cellStyle name="Normal 99" xfId="40613" xr:uid="{00000000-0005-0000-0000-0000219F0000}"/>
    <cellStyle name="Normal 99 2" xfId="40614" xr:uid="{00000000-0005-0000-0000-0000229F0000}"/>
    <cellStyle name="Normal 99 2 2" xfId="40615" xr:uid="{00000000-0005-0000-0000-0000239F0000}"/>
    <cellStyle name="Normal 99 2 2 2" xfId="40616" xr:uid="{00000000-0005-0000-0000-0000249F0000}"/>
    <cellStyle name="Normal 99 2 3" xfId="40617" xr:uid="{00000000-0005-0000-0000-0000259F0000}"/>
    <cellStyle name="Normal 99 2 3 2" xfId="40618" xr:uid="{00000000-0005-0000-0000-0000269F0000}"/>
    <cellStyle name="Normal 99 2 3 2 2" xfId="40619" xr:uid="{00000000-0005-0000-0000-0000279F0000}"/>
    <cellStyle name="Normal 99 2 3 3" xfId="40620" xr:uid="{00000000-0005-0000-0000-0000289F0000}"/>
    <cellStyle name="Normal 99 2 4" xfId="40621" xr:uid="{00000000-0005-0000-0000-0000299F0000}"/>
    <cellStyle name="Normal 99 2 4 2" xfId="40622" xr:uid="{00000000-0005-0000-0000-00002A9F0000}"/>
    <cellStyle name="Normal 99 2 4 2 2" xfId="40623" xr:uid="{00000000-0005-0000-0000-00002B9F0000}"/>
    <cellStyle name="Normal 99 2 4 3" xfId="40624" xr:uid="{00000000-0005-0000-0000-00002C9F0000}"/>
    <cellStyle name="Normal 99 2 5" xfId="40625" xr:uid="{00000000-0005-0000-0000-00002D9F0000}"/>
    <cellStyle name="Normal 99 3" xfId="40626" xr:uid="{00000000-0005-0000-0000-00002E9F0000}"/>
    <cellStyle name="Normal 99 3 2" xfId="40627" xr:uid="{00000000-0005-0000-0000-00002F9F0000}"/>
    <cellStyle name="Normal 99 3 2 2" xfId="40628" xr:uid="{00000000-0005-0000-0000-0000309F0000}"/>
    <cellStyle name="Normal 99 3 2 2 2" xfId="40629" xr:uid="{00000000-0005-0000-0000-0000319F0000}"/>
    <cellStyle name="Normal 99 3 2 3" xfId="40630" xr:uid="{00000000-0005-0000-0000-0000329F0000}"/>
    <cellStyle name="Normal 99 3 2 3 2" xfId="40631" xr:uid="{00000000-0005-0000-0000-0000339F0000}"/>
    <cellStyle name="Normal 99 3 2 3 2 2" xfId="40632" xr:uid="{00000000-0005-0000-0000-0000349F0000}"/>
    <cellStyle name="Normal 99 3 2 3 3" xfId="40633" xr:uid="{00000000-0005-0000-0000-0000359F0000}"/>
    <cellStyle name="Normal 99 3 2 4" xfId="40634" xr:uid="{00000000-0005-0000-0000-0000369F0000}"/>
    <cellStyle name="Normal 99 3 3" xfId="40635" xr:uid="{00000000-0005-0000-0000-0000379F0000}"/>
    <cellStyle name="Normal 99 3 3 2" xfId="40636" xr:uid="{00000000-0005-0000-0000-0000389F0000}"/>
    <cellStyle name="Normal 99 3 3 2 2" xfId="40637" xr:uid="{00000000-0005-0000-0000-0000399F0000}"/>
    <cellStyle name="Normal 99 3 3 3" xfId="40638" xr:uid="{00000000-0005-0000-0000-00003A9F0000}"/>
    <cellStyle name="Normal 99 3 4" xfId="40639" xr:uid="{00000000-0005-0000-0000-00003B9F0000}"/>
    <cellStyle name="Normal 99 3 4 2" xfId="40640" xr:uid="{00000000-0005-0000-0000-00003C9F0000}"/>
    <cellStyle name="Normal 99 3 4 2 2" xfId="40641" xr:uid="{00000000-0005-0000-0000-00003D9F0000}"/>
    <cellStyle name="Normal 99 3 4 3" xfId="40642" xr:uid="{00000000-0005-0000-0000-00003E9F0000}"/>
    <cellStyle name="Normal 99 3 5" xfId="40643" xr:uid="{00000000-0005-0000-0000-00003F9F0000}"/>
    <cellStyle name="Normal 99 3 5 2" xfId="40644" xr:uid="{00000000-0005-0000-0000-0000409F0000}"/>
    <cellStyle name="Normal 99 3 5 2 2" xfId="40645" xr:uid="{00000000-0005-0000-0000-0000419F0000}"/>
    <cellStyle name="Normal 99 3 5 3" xfId="40646" xr:uid="{00000000-0005-0000-0000-0000429F0000}"/>
    <cellStyle name="Normal 99 3 6" xfId="40647" xr:uid="{00000000-0005-0000-0000-0000439F0000}"/>
    <cellStyle name="Normal 99 4" xfId="40648" xr:uid="{00000000-0005-0000-0000-0000449F0000}"/>
    <cellStyle name="Normal 99 4 2" xfId="40649" xr:uid="{00000000-0005-0000-0000-0000459F0000}"/>
    <cellStyle name="Normal 99 4 2 2" xfId="40650" xr:uid="{00000000-0005-0000-0000-0000469F0000}"/>
    <cellStyle name="Normal 99 4 3" xfId="40651" xr:uid="{00000000-0005-0000-0000-0000479F0000}"/>
    <cellStyle name="Normal 99 5" xfId="40652" xr:uid="{00000000-0005-0000-0000-0000489F0000}"/>
    <cellStyle name="Normal 99 5 2" xfId="40653" xr:uid="{00000000-0005-0000-0000-0000499F0000}"/>
    <cellStyle name="Normal 99 5 2 2" xfId="40654" xr:uid="{00000000-0005-0000-0000-00004A9F0000}"/>
    <cellStyle name="Normal 99 5 3" xfId="40655" xr:uid="{00000000-0005-0000-0000-00004B9F0000}"/>
    <cellStyle name="Normal 99 6" xfId="40656" xr:uid="{00000000-0005-0000-0000-00004C9F0000}"/>
    <cellStyle name="Normal 99 6 2" xfId="40657" xr:uid="{00000000-0005-0000-0000-00004D9F0000}"/>
    <cellStyle name="Normal 99 6 2 2" xfId="40658" xr:uid="{00000000-0005-0000-0000-00004E9F0000}"/>
    <cellStyle name="Normal 99 6 3" xfId="40659" xr:uid="{00000000-0005-0000-0000-00004F9F0000}"/>
    <cellStyle name="Normal 99 7" xfId="40660" xr:uid="{00000000-0005-0000-0000-0000509F0000}"/>
    <cellStyle name="Normal_2008 ISO Transmission Study test v1" xfId="34" xr:uid="{00000000-0005-0000-0000-0000519F0000}"/>
    <cellStyle name="Normal_Rate-Design" xfId="35" xr:uid="{00000000-0005-0000-0000-0000539F0000}"/>
    <cellStyle name="Normal_Statement AD Period I 2004" xfId="36" xr:uid="{00000000-0005-0000-0000-0000559F0000}"/>
    <cellStyle name="Normal2" xfId="40661" xr:uid="{00000000-0005-0000-0000-0000569F0000}"/>
    <cellStyle name="Normal2 2" xfId="40662" xr:uid="{00000000-0005-0000-0000-0000579F0000}"/>
    <cellStyle name="Normal2 3" xfId="40663" xr:uid="{00000000-0005-0000-0000-0000589F0000}"/>
    <cellStyle name="Normal2 3 2" xfId="40664" xr:uid="{00000000-0005-0000-0000-0000599F0000}"/>
    <cellStyle name="Normal2 3 2 2" xfId="40665" xr:uid="{00000000-0005-0000-0000-00005A9F0000}"/>
    <cellStyle name="Normal2 3 3" xfId="40666" xr:uid="{00000000-0005-0000-0000-00005B9F0000}"/>
    <cellStyle name="Normal2 4" xfId="40667" xr:uid="{00000000-0005-0000-0000-00005C9F0000}"/>
    <cellStyle name="Normal2 4 2" xfId="40668" xr:uid="{00000000-0005-0000-0000-00005D9F0000}"/>
    <cellStyle name="Normal2 4 2 2" xfId="40669" xr:uid="{00000000-0005-0000-0000-00005E9F0000}"/>
    <cellStyle name="Normal2 4 3" xfId="40670" xr:uid="{00000000-0005-0000-0000-00005F9F0000}"/>
    <cellStyle name="Not In Use" xfId="40671" xr:uid="{00000000-0005-0000-0000-0000609F0000}"/>
    <cellStyle name="Not In Use 2" xfId="40672" xr:uid="{00000000-0005-0000-0000-0000619F0000}"/>
    <cellStyle name="Not In Use 2 2" xfId="40673" xr:uid="{00000000-0005-0000-0000-0000629F0000}"/>
    <cellStyle name="Not In Use 3" xfId="40674" xr:uid="{00000000-0005-0000-0000-0000639F0000}"/>
    <cellStyle name="Not In Use 3 2" xfId="40675" xr:uid="{00000000-0005-0000-0000-0000649F0000}"/>
    <cellStyle name="Not In Use 3 2 2" xfId="40676" xr:uid="{00000000-0005-0000-0000-0000659F0000}"/>
    <cellStyle name="Not In Use 3 3" xfId="40677" xr:uid="{00000000-0005-0000-0000-0000669F0000}"/>
    <cellStyle name="Not In Use 4" xfId="40678" xr:uid="{00000000-0005-0000-0000-0000679F0000}"/>
    <cellStyle name="Not In Use 4 2" xfId="40679" xr:uid="{00000000-0005-0000-0000-0000689F0000}"/>
    <cellStyle name="Not In Use 4 2 2" xfId="40680" xr:uid="{00000000-0005-0000-0000-0000699F0000}"/>
    <cellStyle name="Not In Use 4 3" xfId="40681" xr:uid="{00000000-0005-0000-0000-00006A9F0000}"/>
    <cellStyle name="Not In Use 5" xfId="40682" xr:uid="{00000000-0005-0000-0000-00006B9F0000}"/>
    <cellStyle name="Note 10" xfId="40683" xr:uid="{00000000-0005-0000-0000-00006C9F0000}"/>
    <cellStyle name="Note 10 2" xfId="40684" xr:uid="{00000000-0005-0000-0000-00006D9F0000}"/>
    <cellStyle name="Note 10 3" xfId="40685" xr:uid="{00000000-0005-0000-0000-00006E9F0000}"/>
    <cellStyle name="Note 11" xfId="40686" xr:uid="{00000000-0005-0000-0000-00006F9F0000}"/>
    <cellStyle name="Note 11 2" xfId="40687" xr:uid="{00000000-0005-0000-0000-0000709F0000}"/>
    <cellStyle name="Note 12" xfId="40688" xr:uid="{00000000-0005-0000-0000-0000719F0000}"/>
    <cellStyle name="Note 12 2" xfId="40689" xr:uid="{00000000-0005-0000-0000-0000729F0000}"/>
    <cellStyle name="Note 13" xfId="40690" xr:uid="{00000000-0005-0000-0000-0000739F0000}"/>
    <cellStyle name="Note 14" xfId="40691" xr:uid="{00000000-0005-0000-0000-0000749F0000}"/>
    <cellStyle name="Note 15" xfId="40692" xr:uid="{00000000-0005-0000-0000-0000759F0000}"/>
    <cellStyle name="Note 16" xfId="53889" xr:uid="{00000000-0005-0000-0000-0000769F0000}"/>
    <cellStyle name="Note 2" xfId="40693" xr:uid="{00000000-0005-0000-0000-0000779F0000}"/>
    <cellStyle name="Note 2 10" xfId="40694" xr:uid="{00000000-0005-0000-0000-0000789F0000}"/>
    <cellStyle name="Note 2 10 2" xfId="40695" xr:uid="{00000000-0005-0000-0000-0000799F0000}"/>
    <cellStyle name="Note 2 10 2 2" xfId="40696" xr:uid="{00000000-0005-0000-0000-00007A9F0000}"/>
    <cellStyle name="Note 2 10 2 2 2" xfId="40697" xr:uid="{00000000-0005-0000-0000-00007B9F0000}"/>
    <cellStyle name="Note 2 10 2 2 2 2" xfId="40698" xr:uid="{00000000-0005-0000-0000-00007C9F0000}"/>
    <cellStyle name="Note 2 10 2 2 2 2 2" xfId="40699" xr:uid="{00000000-0005-0000-0000-00007D9F0000}"/>
    <cellStyle name="Note 2 10 2 2 2 2 2 2" xfId="40700" xr:uid="{00000000-0005-0000-0000-00007E9F0000}"/>
    <cellStyle name="Note 2 10 2 2 2 2 3" xfId="40701" xr:uid="{00000000-0005-0000-0000-00007F9F0000}"/>
    <cellStyle name="Note 2 10 2 2 2 3" xfId="40702" xr:uid="{00000000-0005-0000-0000-0000809F0000}"/>
    <cellStyle name="Note 2 10 2 2 2 3 2" xfId="40703" xr:uid="{00000000-0005-0000-0000-0000819F0000}"/>
    <cellStyle name="Note 2 10 2 2 2 4" xfId="40704" xr:uid="{00000000-0005-0000-0000-0000829F0000}"/>
    <cellStyle name="Note 2 10 2 2 3" xfId="40705" xr:uid="{00000000-0005-0000-0000-0000839F0000}"/>
    <cellStyle name="Note 2 10 2 2 3 2" xfId="40706" xr:uid="{00000000-0005-0000-0000-0000849F0000}"/>
    <cellStyle name="Note 2 10 2 2 3 2 2" xfId="40707" xr:uid="{00000000-0005-0000-0000-0000859F0000}"/>
    <cellStyle name="Note 2 10 2 2 3 3" xfId="40708" xr:uid="{00000000-0005-0000-0000-0000869F0000}"/>
    <cellStyle name="Note 2 10 2 2 4" xfId="40709" xr:uid="{00000000-0005-0000-0000-0000879F0000}"/>
    <cellStyle name="Note 2 10 2 2 4 2" xfId="40710" xr:uid="{00000000-0005-0000-0000-0000889F0000}"/>
    <cellStyle name="Note 2 10 2 2 5" xfId="40711" xr:uid="{00000000-0005-0000-0000-0000899F0000}"/>
    <cellStyle name="Note 2 10 2 3" xfId="40712" xr:uid="{00000000-0005-0000-0000-00008A9F0000}"/>
    <cellStyle name="Note 2 10 2 3 2" xfId="40713" xr:uid="{00000000-0005-0000-0000-00008B9F0000}"/>
    <cellStyle name="Note 2 10 2 3 2 2" xfId="40714" xr:uid="{00000000-0005-0000-0000-00008C9F0000}"/>
    <cellStyle name="Note 2 10 2 3 3" xfId="40715" xr:uid="{00000000-0005-0000-0000-00008D9F0000}"/>
    <cellStyle name="Note 2 10 2 4" xfId="40716" xr:uid="{00000000-0005-0000-0000-00008E9F0000}"/>
    <cellStyle name="Note 2 10 2 4 2" xfId="40717" xr:uid="{00000000-0005-0000-0000-00008F9F0000}"/>
    <cellStyle name="Note 2 10 2 4 2 2" xfId="40718" xr:uid="{00000000-0005-0000-0000-0000909F0000}"/>
    <cellStyle name="Note 2 10 2 4 2 2 2" xfId="40719" xr:uid="{00000000-0005-0000-0000-0000919F0000}"/>
    <cellStyle name="Note 2 10 2 4 2 3" xfId="40720" xr:uid="{00000000-0005-0000-0000-0000929F0000}"/>
    <cellStyle name="Note 2 10 2 4 3" xfId="40721" xr:uid="{00000000-0005-0000-0000-0000939F0000}"/>
    <cellStyle name="Note 2 10 2 4 3 2" xfId="40722" xr:uid="{00000000-0005-0000-0000-0000949F0000}"/>
    <cellStyle name="Note 2 10 2 4 4" xfId="40723" xr:uid="{00000000-0005-0000-0000-0000959F0000}"/>
    <cellStyle name="Note 2 10 2 5" xfId="40724" xr:uid="{00000000-0005-0000-0000-0000969F0000}"/>
    <cellStyle name="Note 2 10 2 5 2" xfId="40725" xr:uid="{00000000-0005-0000-0000-0000979F0000}"/>
    <cellStyle name="Note 2 10 2 5 2 2" xfId="40726" xr:uid="{00000000-0005-0000-0000-0000989F0000}"/>
    <cellStyle name="Note 2 10 2 5 3" xfId="40727" xr:uid="{00000000-0005-0000-0000-0000999F0000}"/>
    <cellStyle name="Note 2 10 2 6" xfId="40728" xr:uid="{00000000-0005-0000-0000-00009A9F0000}"/>
    <cellStyle name="Note 2 10 2 6 2" xfId="40729" xr:uid="{00000000-0005-0000-0000-00009B9F0000}"/>
    <cellStyle name="Note 2 10 2 7" xfId="40730" xr:uid="{00000000-0005-0000-0000-00009C9F0000}"/>
    <cellStyle name="Note 2 10 3" xfId="40731" xr:uid="{00000000-0005-0000-0000-00009D9F0000}"/>
    <cellStyle name="Note 2 10 3 2" xfId="40732" xr:uid="{00000000-0005-0000-0000-00009E9F0000}"/>
    <cellStyle name="Note 2 10 3 2 2" xfId="40733" xr:uid="{00000000-0005-0000-0000-00009F9F0000}"/>
    <cellStyle name="Note 2 10 3 2 2 2" xfId="40734" xr:uid="{00000000-0005-0000-0000-0000A09F0000}"/>
    <cellStyle name="Note 2 10 3 2 2 2 2" xfId="40735" xr:uid="{00000000-0005-0000-0000-0000A19F0000}"/>
    <cellStyle name="Note 2 10 3 2 2 2 2 2" xfId="40736" xr:uid="{00000000-0005-0000-0000-0000A29F0000}"/>
    <cellStyle name="Note 2 10 3 2 2 2 3" xfId="40737" xr:uid="{00000000-0005-0000-0000-0000A39F0000}"/>
    <cellStyle name="Note 2 10 3 2 2 3" xfId="40738" xr:uid="{00000000-0005-0000-0000-0000A49F0000}"/>
    <cellStyle name="Note 2 10 3 2 2 3 2" xfId="40739" xr:uid="{00000000-0005-0000-0000-0000A59F0000}"/>
    <cellStyle name="Note 2 10 3 2 2 4" xfId="40740" xr:uid="{00000000-0005-0000-0000-0000A69F0000}"/>
    <cellStyle name="Note 2 10 3 2 3" xfId="40741" xr:uid="{00000000-0005-0000-0000-0000A79F0000}"/>
    <cellStyle name="Note 2 10 3 2 3 2" xfId="40742" xr:uid="{00000000-0005-0000-0000-0000A89F0000}"/>
    <cellStyle name="Note 2 10 3 2 3 2 2" xfId="40743" xr:uid="{00000000-0005-0000-0000-0000A99F0000}"/>
    <cellStyle name="Note 2 10 3 2 3 3" xfId="40744" xr:uid="{00000000-0005-0000-0000-0000AA9F0000}"/>
    <cellStyle name="Note 2 10 3 2 4" xfId="40745" xr:uid="{00000000-0005-0000-0000-0000AB9F0000}"/>
    <cellStyle name="Note 2 10 3 2 4 2" xfId="40746" xr:uid="{00000000-0005-0000-0000-0000AC9F0000}"/>
    <cellStyle name="Note 2 10 3 2 5" xfId="40747" xr:uid="{00000000-0005-0000-0000-0000AD9F0000}"/>
    <cellStyle name="Note 2 10 3 3" xfId="40748" xr:uid="{00000000-0005-0000-0000-0000AE9F0000}"/>
    <cellStyle name="Note 2 10 3 3 2" xfId="40749" xr:uid="{00000000-0005-0000-0000-0000AF9F0000}"/>
    <cellStyle name="Note 2 10 3 3 2 2" xfId="40750" xr:uid="{00000000-0005-0000-0000-0000B09F0000}"/>
    <cellStyle name="Note 2 10 3 3 2 2 2" xfId="40751" xr:uid="{00000000-0005-0000-0000-0000B19F0000}"/>
    <cellStyle name="Note 2 10 3 3 2 3" xfId="40752" xr:uid="{00000000-0005-0000-0000-0000B29F0000}"/>
    <cellStyle name="Note 2 10 3 3 3" xfId="40753" xr:uid="{00000000-0005-0000-0000-0000B39F0000}"/>
    <cellStyle name="Note 2 10 3 3 3 2" xfId="40754" xr:uid="{00000000-0005-0000-0000-0000B49F0000}"/>
    <cellStyle name="Note 2 10 3 3 4" xfId="40755" xr:uid="{00000000-0005-0000-0000-0000B59F0000}"/>
    <cellStyle name="Note 2 10 3 4" xfId="40756" xr:uid="{00000000-0005-0000-0000-0000B69F0000}"/>
    <cellStyle name="Note 2 10 3 4 2" xfId="40757" xr:uid="{00000000-0005-0000-0000-0000B79F0000}"/>
    <cellStyle name="Note 2 10 3 4 2 2" xfId="40758" xr:uid="{00000000-0005-0000-0000-0000B89F0000}"/>
    <cellStyle name="Note 2 10 3 4 3" xfId="40759" xr:uid="{00000000-0005-0000-0000-0000B99F0000}"/>
    <cellStyle name="Note 2 10 3 5" xfId="40760" xr:uid="{00000000-0005-0000-0000-0000BA9F0000}"/>
    <cellStyle name="Note 2 10 3 5 2" xfId="40761" xr:uid="{00000000-0005-0000-0000-0000BB9F0000}"/>
    <cellStyle name="Note 2 10 3 6" xfId="40762" xr:uid="{00000000-0005-0000-0000-0000BC9F0000}"/>
    <cellStyle name="Note 2 10 4" xfId="40763" xr:uid="{00000000-0005-0000-0000-0000BD9F0000}"/>
    <cellStyle name="Note 2 10 4 2" xfId="40764" xr:uid="{00000000-0005-0000-0000-0000BE9F0000}"/>
    <cellStyle name="Note 2 10 4 2 2" xfId="40765" xr:uid="{00000000-0005-0000-0000-0000BF9F0000}"/>
    <cellStyle name="Note 2 10 4 3" xfId="40766" xr:uid="{00000000-0005-0000-0000-0000C09F0000}"/>
    <cellStyle name="Note 2 10 5" xfId="40767" xr:uid="{00000000-0005-0000-0000-0000C19F0000}"/>
    <cellStyle name="Note 2 10 5 2" xfId="40768" xr:uid="{00000000-0005-0000-0000-0000C29F0000}"/>
    <cellStyle name="Note 2 10 5 2 2" xfId="40769" xr:uid="{00000000-0005-0000-0000-0000C39F0000}"/>
    <cellStyle name="Note 2 10 5 3" xfId="40770" xr:uid="{00000000-0005-0000-0000-0000C49F0000}"/>
    <cellStyle name="Note 2 10 6" xfId="40771" xr:uid="{00000000-0005-0000-0000-0000C59F0000}"/>
    <cellStyle name="Note 2 10 6 2" xfId="40772" xr:uid="{00000000-0005-0000-0000-0000C69F0000}"/>
    <cellStyle name="Note 2 10 6 2 2" xfId="40773" xr:uid="{00000000-0005-0000-0000-0000C79F0000}"/>
    <cellStyle name="Note 2 10 6 2 2 2" xfId="40774" xr:uid="{00000000-0005-0000-0000-0000C89F0000}"/>
    <cellStyle name="Note 2 10 6 2 3" xfId="40775" xr:uid="{00000000-0005-0000-0000-0000C99F0000}"/>
    <cellStyle name="Note 2 10 6 3" xfId="40776" xr:uid="{00000000-0005-0000-0000-0000CA9F0000}"/>
    <cellStyle name="Note 2 10 6 3 2" xfId="40777" xr:uid="{00000000-0005-0000-0000-0000CB9F0000}"/>
    <cellStyle name="Note 2 10 6 4" xfId="40778" xr:uid="{00000000-0005-0000-0000-0000CC9F0000}"/>
    <cellStyle name="Note 2 10 7" xfId="40779" xr:uid="{00000000-0005-0000-0000-0000CD9F0000}"/>
    <cellStyle name="Note 2 10 7 2" xfId="40780" xr:uid="{00000000-0005-0000-0000-0000CE9F0000}"/>
    <cellStyle name="Note 2 10 7 2 2" xfId="40781" xr:uid="{00000000-0005-0000-0000-0000CF9F0000}"/>
    <cellStyle name="Note 2 10 7 3" xfId="40782" xr:uid="{00000000-0005-0000-0000-0000D09F0000}"/>
    <cellStyle name="Note 2 10 8" xfId="40783" xr:uid="{00000000-0005-0000-0000-0000D19F0000}"/>
    <cellStyle name="Note 2 10 8 2" xfId="40784" xr:uid="{00000000-0005-0000-0000-0000D29F0000}"/>
    <cellStyle name="Note 2 10 9" xfId="40785" xr:uid="{00000000-0005-0000-0000-0000D39F0000}"/>
    <cellStyle name="Note 2 11" xfId="40786" xr:uid="{00000000-0005-0000-0000-0000D49F0000}"/>
    <cellStyle name="Note 2 11 2" xfId="40787" xr:uid="{00000000-0005-0000-0000-0000D59F0000}"/>
    <cellStyle name="Note 2 11 2 2" xfId="40788" xr:uid="{00000000-0005-0000-0000-0000D69F0000}"/>
    <cellStyle name="Note 2 11 2 2 2" xfId="40789" xr:uid="{00000000-0005-0000-0000-0000D79F0000}"/>
    <cellStyle name="Note 2 11 2 2 2 2" xfId="40790" xr:uid="{00000000-0005-0000-0000-0000D89F0000}"/>
    <cellStyle name="Note 2 11 2 2 2 2 2" xfId="40791" xr:uid="{00000000-0005-0000-0000-0000D99F0000}"/>
    <cellStyle name="Note 2 11 2 2 2 3" xfId="40792" xr:uid="{00000000-0005-0000-0000-0000DA9F0000}"/>
    <cellStyle name="Note 2 11 2 2 3" xfId="40793" xr:uid="{00000000-0005-0000-0000-0000DB9F0000}"/>
    <cellStyle name="Note 2 11 2 2 3 2" xfId="40794" xr:uid="{00000000-0005-0000-0000-0000DC9F0000}"/>
    <cellStyle name="Note 2 11 2 2 4" xfId="40795" xr:uid="{00000000-0005-0000-0000-0000DD9F0000}"/>
    <cellStyle name="Note 2 11 2 3" xfId="40796" xr:uid="{00000000-0005-0000-0000-0000DE9F0000}"/>
    <cellStyle name="Note 2 11 2 3 2" xfId="40797" xr:uid="{00000000-0005-0000-0000-0000DF9F0000}"/>
    <cellStyle name="Note 2 11 2 3 2 2" xfId="40798" xr:uid="{00000000-0005-0000-0000-0000E09F0000}"/>
    <cellStyle name="Note 2 11 2 3 3" xfId="40799" xr:uid="{00000000-0005-0000-0000-0000E19F0000}"/>
    <cellStyle name="Note 2 11 2 4" xfId="40800" xr:uid="{00000000-0005-0000-0000-0000E29F0000}"/>
    <cellStyle name="Note 2 11 2 4 2" xfId="40801" xr:uid="{00000000-0005-0000-0000-0000E39F0000}"/>
    <cellStyle name="Note 2 11 2 5" xfId="40802" xr:uid="{00000000-0005-0000-0000-0000E49F0000}"/>
    <cellStyle name="Note 2 11 3" xfId="40803" xr:uid="{00000000-0005-0000-0000-0000E59F0000}"/>
    <cellStyle name="Note 2 11 3 2" xfId="40804" xr:uid="{00000000-0005-0000-0000-0000E69F0000}"/>
    <cellStyle name="Note 2 11 3 2 2" xfId="40805" xr:uid="{00000000-0005-0000-0000-0000E79F0000}"/>
    <cellStyle name="Note 2 11 3 2 2 2" xfId="40806" xr:uid="{00000000-0005-0000-0000-0000E89F0000}"/>
    <cellStyle name="Note 2 11 3 2 3" xfId="40807" xr:uid="{00000000-0005-0000-0000-0000E99F0000}"/>
    <cellStyle name="Note 2 11 3 3" xfId="40808" xr:uid="{00000000-0005-0000-0000-0000EA9F0000}"/>
    <cellStyle name="Note 2 11 3 3 2" xfId="40809" xr:uid="{00000000-0005-0000-0000-0000EB9F0000}"/>
    <cellStyle name="Note 2 11 3 4" xfId="40810" xr:uid="{00000000-0005-0000-0000-0000EC9F0000}"/>
    <cellStyle name="Note 2 11 4" xfId="40811" xr:uid="{00000000-0005-0000-0000-0000ED9F0000}"/>
    <cellStyle name="Note 2 11 4 2" xfId="40812" xr:uid="{00000000-0005-0000-0000-0000EE9F0000}"/>
    <cellStyle name="Note 2 11 4 2 2" xfId="40813" xr:uid="{00000000-0005-0000-0000-0000EF9F0000}"/>
    <cellStyle name="Note 2 11 4 3" xfId="40814" xr:uid="{00000000-0005-0000-0000-0000F09F0000}"/>
    <cellStyle name="Note 2 11 5" xfId="40815" xr:uid="{00000000-0005-0000-0000-0000F19F0000}"/>
    <cellStyle name="Note 2 11 5 2" xfId="40816" xr:uid="{00000000-0005-0000-0000-0000F29F0000}"/>
    <cellStyle name="Note 2 11 6" xfId="40817" xr:uid="{00000000-0005-0000-0000-0000F39F0000}"/>
    <cellStyle name="Note 2 12" xfId="40818" xr:uid="{00000000-0005-0000-0000-0000F49F0000}"/>
    <cellStyle name="Note 2 12 2" xfId="40819" xr:uid="{00000000-0005-0000-0000-0000F59F0000}"/>
    <cellStyle name="Note 2 12 2 2" xfId="40820" xr:uid="{00000000-0005-0000-0000-0000F69F0000}"/>
    <cellStyle name="Note 2 12 3" xfId="40821" xr:uid="{00000000-0005-0000-0000-0000F79F0000}"/>
    <cellStyle name="Note 2 13" xfId="40822" xr:uid="{00000000-0005-0000-0000-0000F89F0000}"/>
    <cellStyle name="Note 2 13 2" xfId="40823" xr:uid="{00000000-0005-0000-0000-0000F99F0000}"/>
    <cellStyle name="Note 2 13 2 2" xfId="40824" xr:uid="{00000000-0005-0000-0000-0000FA9F0000}"/>
    <cellStyle name="Note 2 13 3" xfId="40825" xr:uid="{00000000-0005-0000-0000-0000FB9F0000}"/>
    <cellStyle name="Note 2 14" xfId="40826" xr:uid="{00000000-0005-0000-0000-0000FC9F0000}"/>
    <cellStyle name="Note 2 14 2" xfId="40827" xr:uid="{00000000-0005-0000-0000-0000FD9F0000}"/>
    <cellStyle name="Note 2 14 2 2" xfId="40828" xr:uid="{00000000-0005-0000-0000-0000FE9F0000}"/>
    <cellStyle name="Note 2 14 2 2 2" xfId="40829" xr:uid="{00000000-0005-0000-0000-0000FF9F0000}"/>
    <cellStyle name="Note 2 14 2 2 2 2" xfId="40830" xr:uid="{00000000-0005-0000-0000-000000A00000}"/>
    <cellStyle name="Note 2 14 2 2 3" xfId="40831" xr:uid="{00000000-0005-0000-0000-000001A00000}"/>
    <cellStyle name="Note 2 14 2 3" xfId="40832" xr:uid="{00000000-0005-0000-0000-000002A00000}"/>
    <cellStyle name="Note 2 14 2 3 2" xfId="40833" xr:uid="{00000000-0005-0000-0000-000003A00000}"/>
    <cellStyle name="Note 2 14 2 4" xfId="40834" xr:uid="{00000000-0005-0000-0000-000004A00000}"/>
    <cellStyle name="Note 2 14 3" xfId="40835" xr:uid="{00000000-0005-0000-0000-000005A00000}"/>
    <cellStyle name="Note 2 14 3 2" xfId="40836" xr:uid="{00000000-0005-0000-0000-000006A00000}"/>
    <cellStyle name="Note 2 14 3 2 2" xfId="40837" xr:uid="{00000000-0005-0000-0000-000007A00000}"/>
    <cellStyle name="Note 2 14 3 2 2 2" xfId="40838" xr:uid="{00000000-0005-0000-0000-000008A00000}"/>
    <cellStyle name="Note 2 14 3 2 3" xfId="40839" xr:uid="{00000000-0005-0000-0000-000009A00000}"/>
    <cellStyle name="Note 2 14 3 3" xfId="40840" xr:uid="{00000000-0005-0000-0000-00000AA00000}"/>
    <cellStyle name="Note 2 14 3 3 2" xfId="40841" xr:uid="{00000000-0005-0000-0000-00000BA00000}"/>
    <cellStyle name="Note 2 14 3 4" xfId="40842" xr:uid="{00000000-0005-0000-0000-00000CA00000}"/>
    <cellStyle name="Note 2 14 4" xfId="40843" xr:uid="{00000000-0005-0000-0000-00000DA00000}"/>
    <cellStyle name="Note 2 14 4 2" xfId="40844" xr:uid="{00000000-0005-0000-0000-00000EA00000}"/>
    <cellStyle name="Note 2 14 4 2 2" xfId="40845" xr:uid="{00000000-0005-0000-0000-00000FA00000}"/>
    <cellStyle name="Note 2 14 4 3" xfId="40846" xr:uid="{00000000-0005-0000-0000-000010A00000}"/>
    <cellStyle name="Note 2 14 5" xfId="40847" xr:uid="{00000000-0005-0000-0000-000011A00000}"/>
    <cellStyle name="Note 2 14 5 2" xfId="40848" xr:uid="{00000000-0005-0000-0000-000012A00000}"/>
    <cellStyle name="Note 2 14 6" xfId="40849" xr:uid="{00000000-0005-0000-0000-000013A00000}"/>
    <cellStyle name="Note 2 14 6 2" xfId="40850" xr:uid="{00000000-0005-0000-0000-000014A00000}"/>
    <cellStyle name="Note 2 14 7" xfId="40851" xr:uid="{00000000-0005-0000-0000-000015A00000}"/>
    <cellStyle name="Note 2 15" xfId="40852" xr:uid="{00000000-0005-0000-0000-000016A00000}"/>
    <cellStyle name="Note 2 15 2" xfId="40853" xr:uid="{00000000-0005-0000-0000-000017A00000}"/>
    <cellStyle name="Note 2 15 2 2" xfId="40854" xr:uid="{00000000-0005-0000-0000-000018A00000}"/>
    <cellStyle name="Note 2 15 2 2 2" xfId="40855" xr:uid="{00000000-0005-0000-0000-000019A00000}"/>
    <cellStyle name="Note 2 15 2 3" xfId="40856" xr:uid="{00000000-0005-0000-0000-00001AA00000}"/>
    <cellStyle name="Note 2 15 3" xfId="40857" xr:uid="{00000000-0005-0000-0000-00001BA00000}"/>
    <cellStyle name="Note 2 15 3 2" xfId="40858" xr:uid="{00000000-0005-0000-0000-00001CA00000}"/>
    <cellStyle name="Note 2 15 4" xfId="40859" xr:uid="{00000000-0005-0000-0000-00001DA00000}"/>
    <cellStyle name="Note 2 16" xfId="40860" xr:uid="{00000000-0005-0000-0000-00001EA00000}"/>
    <cellStyle name="Note 2 16 2" xfId="40861" xr:uid="{00000000-0005-0000-0000-00001FA00000}"/>
    <cellStyle name="Note 2 16 2 2" xfId="40862" xr:uid="{00000000-0005-0000-0000-000020A00000}"/>
    <cellStyle name="Note 2 16 3" xfId="40863" xr:uid="{00000000-0005-0000-0000-000021A00000}"/>
    <cellStyle name="Note 2 17" xfId="40864" xr:uid="{00000000-0005-0000-0000-000022A00000}"/>
    <cellStyle name="Note 2 17 2" xfId="40865" xr:uid="{00000000-0005-0000-0000-000023A00000}"/>
    <cellStyle name="Note 2 17 3" xfId="40866" xr:uid="{00000000-0005-0000-0000-000024A00000}"/>
    <cellStyle name="Note 2 18" xfId="40867" xr:uid="{00000000-0005-0000-0000-000025A00000}"/>
    <cellStyle name="Note 2 18 2" xfId="40868" xr:uid="{00000000-0005-0000-0000-000026A00000}"/>
    <cellStyle name="Note 2 19" xfId="40869" xr:uid="{00000000-0005-0000-0000-000027A00000}"/>
    <cellStyle name="Note 2 2" xfId="40870" xr:uid="{00000000-0005-0000-0000-000028A00000}"/>
    <cellStyle name="Note 2 2 2" xfId="40871" xr:uid="{00000000-0005-0000-0000-000029A00000}"/>
    <cellStyle name="Note 2 2 2 2" xfId="40872" xr:uid="{00000000-0005-0000-0000-00002AA00000}"/>
    <cellStyle name="Note 2 2 2 2 2" xfId="40873" xr:uid="{00000000-0005-0000-0000-00002BA00000}"/>
    <cellStyle name="Note 2 2 2 2 2 2" xfId="40874" xr:uid="{00000000-0005-0000-0000-00002CA00000}"/>
    <cellStyle name="Note 2 2 2 2 3" xfId="40875" xr:uid="{00000000-0005-0000-0000-00002DA00000}"/>
    <cellStyle name="Note 2 2 2 3" xfId="40876" xr:uid="{00000000-0005-0000-0000-00002EA00000}"/>
    <cellStyle name="Note 2 2 2 3 2" xfId="40877" xr:uid="{00000000-0005-0000-0000-00002FA00000}"/>
    <cellStyle name="Note 2 2 2 3 2 2" xfId="40878" xr:uid="{00000000-0005-0000-0000-000030A00000}"/>
    <cellStyle name="Note 2 2 2 3 3" xfId="40879" xr:uid="{00000000-0005-0000-0000-000031A00000}"/>
    <cellStyle name="Note 2 2 2 4" xfId="40880" xr:uid="{00000000-0005-0000-0000-000032A00000}"/>
    <cellStyle name="Note 2 2 2 4 2" xfId="40881" xr:uid="{00000000-0005-0000-0000-000033A00000}"/>
    <cellStyle name="Note 2 2 2 4 2 2" xfId="40882" xr:uid="{00000000-0005-0000-0000-000034A00000}"/>
    <cellStyle name="Note 2 2 2 4 3" xfId="40883" xr:uid="{00000000-0005-0000-0000-000035A00000}"/>
    <cellStyle name="Note 2 2 2 5" xfId="40884" xr:uid="{00000000-0005-0000-0000-000036A00000}"/>
    <cellStyle name="Note 2 2 2 5 2" xfId="40885" xr:uid="{00000000-0005-0000-0000-000037A00000}"/>
    <cellStyle name="Note 2 2 2 6" xfId="40886" xr:uid="{00000000-0005-0000-0000-000038A00000}"/>
    <cellStyle name="Note 2 2 3" xfId="40887" xr:uid="{00000000-0005-0000-0000-000039A00000}"/>
    <cellStyle name="Note 2 2 3 2" xfId="40888" xr:uid="{00000000-0005-0000-0000-00003AA00000}"/>
    <cellStyle name="Note 2 2 3 2 2" xfId="40889" xr:uid="{00000000-0005-0000-0000-00003BA00000}"/>
    <cellStyle name="Note 2 2 3 2 2 2" xfId="40890" xr:uid="{00000000-0005-0000-0000-00003CA00000}"/>
    <cellStyle name="Note 2 2 3 2 2 2 2" xfId="40891" xr:uid="{00000000-0005-0000-0000-00003DA00000}"/>
    <cellStyle name="Note 2 2 3 2 2 3" xfId="40892" xr:uid="{00000000-0005-0000-0000-00003EA00000}"/>
    <cellStyle name="Note 2 2 3 2 3" xfId="40893" xr:uid="{00000000-0005-0000-0000-00003FA00000}"/>
    <cellStyle name="Note 2 2 3 2 3 2" xfId="40894" xr:uid="{00000000-0005-0000-0000-000040A00000}"/>
    <cellStyle name="Note 2 2 3 2 3 2 2" xfId="40895" xr:uid="{00000000-0005-0000-0000-000041A00000}"/>
    <cellStyle name="Note 2 2 3 2 3 3" xfId="40896" xr:uid="{00000000-0005-0000-0000-000042A00000}"/>
    <cellStyle name="Note 2 2 3 2 4" xfId="40897" xr:uid="{00000000-0005-0000-0000-000043A00000}"/>
    <cellStyle name="Note 2 2 3 2 4 2" xfId="40898" xr:uid="{00000000-0005-0000-0000-000044A00000}"/>
    <cellStyle name="Note 2 2 3 2 5" xfId="40899" xr:uid="{00000000-0005-0000-0000-000045A00000}"/>
    <cellStyle name="Note 2 2 3 3" xfId="40900" xr:uid="{00000000-0005-0000-0000-000046A00000}"/>
    <cellStyle name="Note 2 2 3 3 2" xfId="40901" xr:uid="{00000000-0005-0000-0000-000047A00000}"/>
    <cellStyle name="Note 2 2 3 3 2 2" xfId="40902" xr:uid="{00000000-0005-0000-0000-000048A00000}"/>
    <cellStyle name="Note 2 2 3 3 2 2 2" xfId="40903" xr:uid="{00000000-0005-0000-0000-000049A00000}"/>
    <cellStyle name="Note 2 2 3 3 2 3" xfId="40904" xr:uid="{00000000-0005-0000-0000-00004AA00000}"/>
    <cellStyle name="Note 2 2 3 3 3" xfId="40905" xr:uid="{00000000-0005-0000-0000-00004BA00000}"/>
    <cellStyle name="Note 2 2 3 3 3 2" xfId="40906" xr:uid="{00000000-0005-0000-0000-00004CA00000}"/>
    <cellStyle name="Note 2 2 3 3 4" xfId="40907" xr:uid="{00000000-0005-0000-0000-00004DA00000}"/>
    <cellStyle name="Note 2 2 3 4" xfId="40908" xr:uid="{00000000-0005-0000-0000-00004EA00000}"/>
    <cellStyle name="Note 2 2 3 4 2" xfId="40909" xr:uid="{00000000-0005-0000-0000-00004FA00000}"/>
    <cellStyle name="Note 2 2 3 4 2 2" xfId="40910" xr:uid="{00000000-0005-0000-0000-000050A00000}"/>
    <cellStyle name="Note 2 2 3 4 3" xfId="40911" xr:uid="{00000000-0005-0000-0000-000051A00000}"/>
    <cellStyle name="Note 2 2 3 5" xfId="40912" xr:uid="{00000000-0005-0000-0000-000052A00000}"/>
    <cellStyle name="Note 2 2 3 5 2" xfId="40913" xr:uid="{00000000-0005-0000-0000-000053A00000}"/>
    <cellStyle name="Note 2 2 3 5 2 2" xfId="40914" xr:uid="{00000000-0005-0000-0000-000054A00000}"/>
    <cellStyle name="Note 2 2 3 5 3" xfId="40915" xr:uid="{00000000-0005-0000-0000-000055A00000}"/>
    <cellStyle name="Note 2 2 3 6" xfId="40916" xr:uid="{00000000-0005-0000-0000-000056A00000}"/>
    <cellStyle name="Note 2 2 3 6 2" xfId="40917" xr:uid="{00000000-0005-0000-0000-000057A00000}"/>
    <cellStyle name="Note 2 2 3 7" xfId="40918" xr:uid="{00000000-0005-0000-0000-000058A00000}"/>
    <cellStyle name="Note 2 2 4" xfId="40919" xr:uid="{00000000-0005-0000-0000-000059A00000}"/>
    <cellStyle name="Note 2 2 4 2" xfId="40920" xr:uid="{00000000-0005-0000-0000-00005AA00000}"/>
    <cellStyle name="Note 2 2 4 2 2" xfId="40921" xr:uid="{00000000-0005-0000-0000-00005BA00000}"/>
    <cellStyle name="Note 2 2 4 2 2 2" xfId="40922" xr:uid="{00000000-0005-0000-0000-00005CA00000}"/>
    <cellStyle name="Note 2 2 4 2 3" xfId="40923" xr:uid="{00000000-0005-0000-0000-00005DA00000}"/>
    <cellStyle name="Note 2 2 4 3" xfId="40924" xr:uid="{00000000-0005-0000-0000-00005EA00000}"/>
    <cellStyle name="Note 2 2 4 3 2" xfId="40925" xr:uid="{00000000-0005-0000-0000-00005FA00000}"/>
    <cellStyle name="Note 2 2 4 4" xfId="40926" xr:uid="{00000000-0005-0000-0000-000060A00000}"/>
    <cellStyle name="Note 2 2 5" xfId="40927" xr:uid="{00000000-0005-0000-0000-000061A00000}"/>
    <cellStyle name="Note 2 2 5 2" xfId="40928" xr:uid="{00000000-0005-0000-0000-000062A00000}"/>
    <cellStyle name="Note 2 2 5 2 2" xfId="40929" xr:uid="{00000000-0005-0000-0000-000063A00000}"/>
    <cellStyle name="Note 2 2 5 3" xfId="40930" xr:uid="{00000000-0005-0000-0000-000064A00000}"/>
    <cellStyle name="Note 2 2 6" xfId="40931" xr:uid="{00000000-0005-0000-0000-000065A00000}"/>
    <cellStyle name="Note 2 2 6 2" xfId="40932" xr:uid="{00000000-0005-0000-0000-000066A00000}"/>
    <cellStyle name="Note 2 2 6 2 2" xfId="40933" xr:uid="{00000000-0005-0000-0000-000067A00000}"/>
    <cellStyle name="Note 2 2 6 3" xfId="40934" xr:uid="{00000000-0005-0000-0000-000068A00000}"/>
    <cellStyle name="Note 2 2 7" xfId="40935" xr:uid="{00000000-0005-0000-0000-000069A00000}"/>
    <cellStyle name="Note 2 2 7 2" xfId="40936" xr:uid="{00000000-0005-0000-0000-00006AA00000}"/>
    <cellStyle name="Note 2 2 8" xfId="40937" xr:uid="{00000000-0005-0000-0000-00006BA00000}"/>
    <cellStyle name="Note 2 20" xfId="40938" xr:uid="{00000000-0005-0000-0000-00006CA00000}"/>
    <cellStyle name="Note 2 3" xfId="40939" xr:uid="{00000000-0005-0000-0000-00006DA00000}"/>
    <cellStyle name="Note 2 3 10" xfId="40940" xr:uid="{00000000-0005-0000-0000-00006EA00000}"/>
    <cellStyle name="Note 2 3 2" xfId="40941" xr:uid="{00000000-0005-0000-0000-00006FA00000}"/>
    <cellStyle name="Note 2 3 2 2" xfId="40942" xr:uid="{00000000-0005-0000-0000-000070A00000}"/>
    <cellStyle name="Note 2 3 2 2 2" xfId="40943" xr:uid="{00000000-0005-0000-0000-000071A00000}"/>
    <cellStyle name="Note 2 3 2 2 2 2" xfId="40944" xr:uid="{00000000-0005-0000-0000-000072A00000}"/>
    <cellStyle name="Note 2 3 2 2 2 2 2" xfId="40945" xr:uid="{00000000-0005-0000-0000-000073A00000}"/>
    <cellStyle name="Note 2 3 2 2 2 2 2 2" xfId="40946" xr:uid="{00000000-0005-0000-0000-000074A00000}"/>
    <cellStyle name="Note 2 3 2 2 2 2 3" xfId="40947" xr:uid="{00000000-0005-0000-0000-000075A00000}"/>
    <cellStyle name="Note 2 3 2 2 2 3" xfId="40948" xr:uid="{00000000-0005-0000-0000-000076A00000}"/>
    <cellStyle name="Note 2 3 2 2 2 3 2" xfId="40949" xr:uid="{00000000-0005-0000-0000-000077A00000}"/>
    <cellStyle name="Note 2 3 2 2 2 4" xfId="40950" xr:uid="{00000000-0005-0000-0000-000078A00000}"/>
    <cellStyle name="Note 2 3 2 2 3" xfId="40951" xr:uid="{00000000-0005-0000-0000-000079A00000}"/>
    <cellStyle name="Note 2 3 2 2 3 2" xfId="40952" xr:uid="{00000000-0005-0000-0000-00007AA00000}"/>
    <cellStyle name="Note 2 3 2 2 3 2 2" xfId="40953" xr:uid="{00000000-0005-0000-0000-00007BA00000}"/>
    <cellStyle name="Note 2 3 2 2 3 3" xfId="40954" xr:uid="{00000000-0005-0000-0000-00007CA00000}"/>
    <cellStyle name="Note 2 3 2 2 4" xfId="40955" xr:uid="{00000000-0005-0000-0000-00007DA00000}"/>
    <cellStyle name="Note 2 3 2 2 4 2" xfId="40956" xr:uid="{00000000-0005-0000-0000-00007EA00000}"/>
    <cellStyle name="Note 2 3 2 2 5" xfId="40957" xr:uid="{00000000-0005-0000-0000-00007FA00000}"/>
    <cellStyle name="Note 2 3 2 3" xfId="40958" xr:uid="{00000000-0005-0000-0000-000080A00000}"/>
    <cellStyle name="Note 2 3 2 3 2" xfId="40959" xr:uid="{00000000-0005-0000-0000-000081A00000}"/>
    <cellStyle name="Note 2 3 2 3 2 2" xfId="40960" xr:uid="{00000000-0005-0000-0000-000082A00000}"/>
    <cellStyle name="Note 2 3 2 3 3" xfId="40961" xr:uid="{00000000-0005-0000-0000-000083A00000}"/>
    <cellStyle name="Note 2 3 2 4" xfId="40962" xr:uid="{00000000-0005-0000-0000-000084A00000}"/>
    <cellStyle name="Note 2 3 2 4 2" xfId="40963" xr:uid="{00000000-0005-0000-0000-000085A00000}"/>
    <cellStyle name="Note 2 3 2 4 2 2" xfId="40964" xr:uid="{00000000-0005-0000-0000-000086A00000}"/>
    <cellStyle name="Note 2 3 2 4 3" xfId="40965" xr:uid="{00000000-0005-0000-0000-000087A00000}"/>
    <cellStyle name="Note 2 3 2 5" xfId="40966" xr:uid="{00000000-0005-0000-0000-000088A00000}"/>
    <cellStyle name="Note 2 3 2 5 2" xfId="40967" xr:uid="{00000000-0005-0000-0000-000089A00000}"/>
    <cellStyle name="Note 2 3 2 5 2 2" xfId="40968" xr:uid="{00000000-0005-0000-0000-00008AA00000}"/>
    <cellStyle name="Note 2 3 2 5 2 2 2" xfId="40969" xr:uid="{00000000-0005-0000-0000-00008BA00000}"/>
    <cellStyle name="Note 2 3 2 5 2 3" xfId="40970" xr:uid="{00000000-0005-0000-0000-00008CA00000}"/>
    <cellStyle name="Note 2 3 2 5 3" xfId="40971" xr:uid="{00000000-0005-0000-0000-00008DA00000}"/>
    <cellStyle name="Note 2 3 2 5 3 2" xfId="40972" xr:uid="{00000000-0005-0000-0000-00008EA00000}"/>
    <cellStyle name="Note 2 3 2 5 4" xfId="40973" xr:uid="{00000000-0005-0000-0000-00008FA00000}"/>
    <cellStyle name="Note 2 3 2 6" xfId="40974" xr:uid="{00000000-0005-0000-0000-000090A00000}"/>
    <cellStyle name="Note 2 3 2 6 2" xfId="40975" xr:uid="{00000000-0005-0000-0000-000091A00000}"/>
    <cellStyle name="Note 2 3 2 6 2 2" xfId="40976" xr:uid="{00000000-0005-0000-0000-000092A00000}"/>
    <cellStyle name="Note 2 3 2 6 3" xfId="40977" xr:uid="{00000000-0005-0000-0000-000093A00000}"/>
    <cellStyle name="Note 2 3 2 7" xfId="40978" xr:uid="{00000000-0005-0000-0000-000094A00000}"/>
    <cellStyle name="Note 2 3 2 7 2" xfId="40979" xr:uid="{00000000-0005-0000-0000-000095A00000}"/>
    <cellStyle name="Note 2 3 2 8" xfId="40980" xr:uid="{00000000-0005-0000-0000-000096A00000}"/>
    <cellStyle name="Note 2 3 3" xfId="40981" xr:uid="{00000000-0005-0000-0000-000097A00000}"/>
    <cellStyle name="Note 2 3 3 2" xfId="40982" xr:uid="{00000000-0005-0000-0000-000098A00000}"/>
    <cellStyle name="Note 2 3 3 2 2" xfId="40983" xr:uid="{00000000-0005-0000-0000-000099A00000}"/>
    <cellStyle name="Note 2 3 3 2 2 2" xfId="40984" xr:uid="{00000000-0005-0000-0000-00009AA00000}"/>
    <cellStyle name="Note 2 3 3 2 2 2 2" xfId="40985" xr:uid="{00000000-0005-0000-0000-00009BA00000}"/>
    <cellStyle name="Note 2 3 3 2 2 2 2 2" xfId="40986" xr:uid="{00000000-0005-0000-0000-00009CA00000}"/>
    <cellStyle name="Note 2 3 3 2 2 2 2 2 2" xfId="40987" xr:uid="{00000000-0005-0000-0000-00009DA00000}"/>
    <cellStyle name="Note 2 3 3 2 2 2 2 3" xfId="40988" xr:uid="{00000000-0005-0000-0000-00009EA00000}"/>
    <cellStyle name="Note 2 3 3 2 2 2 3" xfId="40989" xr:uid="{00000000-0005-0000-0000-00009FA00000}"/>
    <cellStyle name="Note 2 3 3 2 2 2 3 2" xfId="40990" xr:uid="{00000000-0005-0000-0000-0000A0A00000}"/>
    <cellStyle name="Note 2 3 3 2 2 2 4" xfId="40991" xr:uid="{00000000-0005-0000-0000-0000A1A00000}"/>
    <cellStyle name="Note 2 3 3 2 2 3" xfId="40992" xr:uid="{00000000-0005-0000-0000-0000A2A00000}"/>
    <cellStyle name="Note 2 3 3 2 2 3 2" xfId="40993" xr:uid="{00000000-0005-0000-0000-0000A3A00000}"/>
    <cellStyle name="Note 2 3 3 2 2 3 2 2" xfId="40994" xr:uid="{00000000-0005-0000-0000-0000A4A00000}"/>
    <cellStyle name="Note 2 3 3 2 2 3 3" xfId="40995" xr:uid="{00000000-0005-0000-0000-0000A5A00000}"/>
    <cellStyle name="Note 2 3 3 2 2 4" xfId="40996" xr:uid="{00000000-0005-0000-0000-0000A6A00000}"/>
    <cellStyle name="Note 2 3 3 2 2 4 2" xfId="40997" xr:uid="{00000000-0005-0000-0000-0000A7A00000}"/>
    <cellStyle name="Note 2 3 3 2 2 5" xfId="40998" xr:uid="{00000000-0005-0000-0000-0000A8A00000}"/>
    <cellStyle name="Note 2 3 3 2 3" xfId="40999" xr:uid="{00000000-0005-0000-0000-0000A9A00000}"/>
    <cellStyle name="Note 2 3 3 2 3 2" xfId="41000" xr:uid="{00000000-0005-0000-0000-0000AAA00000}"/>
    <cellStyle name="Note 2 3 3 2 3 2 2" xfId="41001" xr:uid="{00000000-0005-0000-0000-0000ABA00000}"/>
    <cellStyle name="Note 2 3 3 2 3 3" xfId="41002" xr:uid="{00000000-0005-0000-0000-0000ACA00000}"/>
    <cellStyle name="Note 2 3 3 2 4" xfId="41003" xr:uid="{00000000-0005-0000-0000-0000ADA00000}"/>
    <cellStyle name="Note 2 3 3 2 4 2" xfId="41004" xr:uid="{00000000-0005-0000-0000-0000AEA00000}"/>
    <cellStyle name="Note 2 3 3 2 4 2 2" xfId="41005" xr:uid="{00000000-0005-0000-0000-0000AFA00000}"/>
    <cellStyle name="Note 2 3 3 2 4 2 2 2" xfId="41006" xr:uid="{00000000-0005-0000-0000-0000B0A00000}"/>
    <cellStyle name="Note 2 3 3 2 4 2 3" xfId="41007" xr:uid="{00000000-0005-0000-0000-0000B1A00000}"/>
    <cellStyle name="Note 2 3 3 2 4 3" xfId="41008" xr:uid="{00000000-0005-0000-0000-0000B2A00000}"/>
    <cellStyle name="Note 2 3 3 2 4 3 2" xfId="41009" xr:uid="{00000000-0005-0000-0000-0000B3A00000}"/>
    <cellStyle name="Note 2 3 3 2 4 4" xfId="41010" xr:uid="{00000000-0005-0000-0000-0000B4A00000}"/>
    <cellStyle name="Note 2 3 3 2 5" xfId="41011" xr:uid="{00000000-0005-0000-0000-0000B5A00000}"/>
    <cellStyle name="Note 2 3 3 2 5 2" xfId="41012" xr:uid="{00000000-0005-0000-0000-0000B6A00000}"/>
    <cellStyle name="Note 2 3 3 2 5 2 2" xfId="41013" xr:uid="{00000000-0005-0000-0000-0000B7A00000}"/>
    <cellStyle name="Note 2 3 3 2 5 3" xfId="41014" xr:uid="{00000000-0005-0000-0000-0000B8A00000}"/>
    <cellStyle name="Note 2 3 3 2 6" xfId="41015" xr:uid="{00000000-0005-0000-0000-0000B9A00000}"/>
    <cellStyle name="Note 2 3 3 2 6 2" xfId="41016" xr:uid="{00000000-0005-0000-0000-0000BAA00000}"/>
    <cellStyle name="Note 2 3 3 2 7" xfId="41017" xr:uid="{00000000-0005-0000-0000-0000BBA00000}"/>
    <cellStyle name="Note 2 3 3 3" xfId="41018" xr:uid="{00000000-0005-0000-0000-0000BCA00000}"/>
    <cellStyle name="Note 2 3 3 3 2" xfId="41019" xr:uid="{00000000-0005-0000-0000-0000BDA00000}"/>
    <cellStyle name="Note 2 3 3 3 2 2" xfId="41020" xr:uid="{00000000-0005-0000-0000-0000BEA00000}"/>
    <cellStyle name="Note 2 3 3 3 2 2 2" xfId="41021" xr:uid="{00000000-0005-0000-0000-0000BFA00000}"/>
    <cellStyle name="Note 2 3 3 3 2 2 2 2" xfId="41022" xr:uid="{00000000-0005-0000-0000-0000C0A00000}"/>
    <cellStyle name="Note 2 3 3 3 2 2 2 2 2" xfId="41023" xr:uid="{00000000-0005-0000-0000-0000C1A00000}"/>
    <cellStyle name="Note 2 3 3 3 2 2 2 3" xfId="41024" xr:uid="{00000000-0005-0000-0000-0000C2A00000}"/>
    <cellStyle name="Note 2 3 3 3 2 2 3" xfId="41025" xr:uid="{00000000-0005-0000-0000-0000C3A00000}"/>
    <cellStyle name="Note 2 3 3 3 2 2 3 2" xfId="41026" xr:uid="{00000000-0005-0000-0000-0000C4A00000}"/>
    <cellStyle name="Note 2 3 3 3 2 2 4" xfId="41027" xr:uid="{00000000-0005-0000-0000-0000C5A00000}"/>
    <cellStyle name="Note 2 3 3 3 2 3" xfId="41028" xr:uid="{00000000-0005-0000-0000-0000C6A00000}"/>
    <cellStyle name="Note 2 3 3 3 2 3 2" xfId="41029" xr:uid="{00000000-0005-0000-0000-0000C7A00000}"/>
    <cellStyle name="Note 2 3 3 3 2 3 2 2" xfId="41030" xr:uid="{00000000-0005-0000-0000-0000C8A00000}"/>
    <cellStyle name="Note 2 3 3 3 2 3 3" xfId="41031" xr:uid="{00000000-0005-0000-0000-0000C9A00000}"/>
    <cellStyle name="Note 2 3 3 3 2 4" xfId="41032" xr:uid="{00000000-0005-0000-0000-0000CAA00000}"/>
    <cellStyle name="Note 2 3 3 3 2 4 2" xfId="41033" xr:uid="{00000000-0005-0000-0000-0000CBA00000}"/>
    <cellStyle name="Note 2 3 3 3 2 5" xfId="41034" xr:uid="{00000000-0005-0000-0000-0000CCA00000}"/>
    <cellStyle name="Note 2 3 3 3 3" xfId="41035" xr:uid="{00000000-0005-0000-0000-0000CDA00000}"/>
    <cellStyle name="Note 2 3 3 3 3 2" xfId="41036" xr:uid="{00000000-0005-0000-0000-0000CEA00000}"/>
    <cellStyle name="Note 2 3 3 3 3 2 2" xfId="41037" xr:uid="{00000000-0005-0000-0000-0000CFA00000}"/>
    <cellStyle name="Note 2 3 3 3 3 2 2 2" xfId="41038" xr:uid="{00000000-0005-0000-0000-0000D0A00000}"/>
    <cellStyle name="Note 2 3 3 3 3 2 3" xfId="41039" xr:uid="{00000000-0005-0000-0000-0000D1A00000}"/>
    <cellStyle name="Note 2 3 3 3 3 3" xfId="41040" xr:uid="{00000000-0005-0000-0000-0000D2A00000}"/>
    <cellStyle name="Note 2 3 3 3 3 3 2" xfId="41041" xr:uid="{00000000-0005-0000-0000-0000D3A00000}"/>
    <cellStyle name="Note 2 3 3 3 3 4" xfId="41042" xr:uid="{00000000-0005-0000-0000-0000D4A00000}"/>
    <cellStyle name="Note 2 3 3 3 4" xfId="41043" xr:uid="{00000000-0005-0000-0000-0000D5A00000}"/>
    <cellStyle name="Note 2 3 3 3 4 2" xfId="41044" xr:uid="{00000000-0005-0000-0000-0000D6A00000}"/>
    <cellStyle name="Note 2 3 3 3 4 2 2" xfId="41045" xr:uid="{00000000-0005-0000-0000-0000D7A00000}"/>
    <cellStyle name="Note 2 3 3 3 4 3" xfId="41046" xr:uid="{00000000-0005-0000-0000-0000D8A00000}"/>
    <cellStyle name="Note 2 3 3 3 5" xfId="41047" xr:uid="{00000000-0005-0000-0000-0000D9A00000}"/>
    <cellStyle name="Note 2 3 3 3 5 2" xfId="41048" xr:uid="{00000000-0005-0000-0000-0000DAA00000}"/>
    <cellStyle name="Note 2 3 3 3 6" xfId="41049" xr:uid="{00000000-0005-0000-0000-0000DBA00000}"/>
    <cellStyle name="Note 2 3 3 4" xfId="41050" xr:uid="{00000000-0005-0000-0000-0000DCA00000}"/>
    <cellStyle name="Note 2 3 3 4 2" xfId="41051" xr:uid="{00000000-0005-0000-0000-0000DDA00000}"/>
    <cellStyle name="Note 2 3 3 4 2 2" xfId="41052" xr:uid="{00000000-0005-0000-0000-0000DEA00000}"/>
    <cellStyle name="Note 2 3 3 4 3" xfId="41053" xr:uid="{00000000-0005-0000-0000-0000DFA00000}"/>
    <cellStyle name="Note 2 3 3 5" xfId="41054" xr:uid="{00000000-0005-0000-0000-0000E0A00000}"/>
    <cellStyle name="Note 2 3 3 5 2" xfId="41055" xr:uid="{00000000-0005-0000-0000-0000E1A00000}"/>
    <cellStyle name="Note 2 3 3 5 2 2" xfId="41056" xr:uid="{00000000-0005-0000-0000-0000E2A00000}"/>
    <cellStyle name="Note 2 3 3 5 3" xfId="41057" xr:uid="{00000000-0005-0000-0000-0000E3A00000}"/>
    <cellStyle name="Note 2 3 3 6" xfId="41058" xr:uid="{00000000-0005-0000-0000-0000E4A00000}"/>
    <cellStyle name="Note 2 3 3 6 2" xfId="41059" xr:uid="{00000000-0005-0000-0000-0000E5A00000}"/>
    <cellStyle name="Note 2 3 3 6 2 2" xfId="41060" xr:uid="{00000000-0005-0000-0000-0000E6A00000}"/>
    <cellStyle name="Note 2 3 3 6 2 2 2" xfId="41061" xr:uid="{00000000-0005-0000-0000-0000E7A00000}"/>
    <cellStyle name="Note 2 3 3 6 2 3" xfId="41062" xr:uid="{00000000-0005-0000-0000-0000E8A00000}"/>
    <cellStyle name="Note 2 3 3 6 3" xfId="41063" xr:uid="{00000000-0005-0000-0000-0000E9A00000}"/>
    <cellStyle name="Note 2 3 3 6 3 2" xfId="41064" xr:uid="{00000000-0005-0000-0000-0000EAA00000}"/>
    <cellStyle name="Note 2 3 3 6 4" xfId="41065" xr:uid="{00000000-0005-0000-0000-0000EBA00000}"/>
    <cellStyle name="Note 2 3 3 7" xfId="41066" xr:uid="{00000000-0005-0000-0000-0000ECA00000}"/>
    <cellStyle name="Note 2 3 3 7 2" xfId="41067" xr:uid="{00000000-0005-0000-0000-0000EDA00000}"/>
    <cellStyle name="Note 2 3 3 7 2 2" xfId="41068" xr:uid="{00000000-0005-0000-0000-0000EEA00000}"/>
    <cellStyle name="Note 2 3 3 7 3" xfId="41069" xr:uid="{00000000-0005-0000-0000-0000EFA00000}"/>
    <cellStyle name="Note 2 3 3 8" xfId="41070" xr:uid="{00000000-0005-0000-0000-0000F0A00000}"/>
    <cellStyle name="Note 2 3 3 8 2" xfId="41071" xr:uid="{00000000-0005-0000-0000-0000F1A00000}"/>
    <cellStyle name="Note 2 3 3 9" xfId="41072" xr:uid="{00000000-0005-0000-0000-0000F2A00000}"/>
    <cellStyle name="Note 2 3 4" xfId="41073" xr:uid="{00000000-0005-0000-0000-0000F3A00000}"/>
    <cellStyle name="Note 2 3 4 2" xfId="41074" xr:uid="{00000000-0005-0000-0000-0000F4A00000}"/>
    <cellStyle name="Note 2 3 4 2 2" xfId="41075" xr:uid="{00000000-0005-0000-0000-0000F5A00000}"/>
    <cellStyle name="Note 2 3 4 2 2 2" xfId="41076" xr:uid="{00000000-0005-0000-0000-0000F6A00000}"/>
    <cellStyle name="Note 2 3 4 2 2 2 2" xfId="41077" xr:uid="{00000000-0005-0000-0000-0000F7A00000}"/>
    <cellStyle name="Note 2 3 4 2 2 2 2 2" xfId="41078" xr:uid="{00000000-0005-0000-0000-0000F8A00000}"/>
    <cellStyle name="Note 2 3 4 2 2 2 3" xfId="41079" xr:uid="{00000000-0005-0000-0000-0000F9A00000}"/>
    <cellStyle name="Note 2 3 4 2 2 3" xfId="41080" xr:uid="{00000000-0005-0000-0000-0000FAA00000}"/>
    <cellStyle name="Note 2 3 4 2 2 3 2" xfId="41081" xr:uid="{00000000-0005-0000-0000-0000FBA00000}"/>
    <cellStyle name="Note 2 3 4 2 2 4" xfId="41082" xr:uid="{00000000-0005-0000-0000-0000FCA00000}"/>
    <cellStyle name="Note 2 3 4 2 3" xfId="41083" xr:uid="{00000000-0005-0000-0000-0000FDA00000}"/>
    <cellStyle name="Note 2 3 4 2 3 2" xfId="41084" xr:uid="{00000000-0005-0000-0000-0000FEA00000}"/>
    <cellStyle name="Note 2 3 4 2 3 2 2" xfId="41085" xr:uid="{00000000-0005-0000-0000-0000FFA00000}"/>
    <cellStyle name="Note 2 3 4 2 3 3" xfId="41086" xr:uid="{00000000-0005-0000-0000-000000A10000}"/>
    <cellStyle name="Note 2 3 4 2 4" xfId="41087" xr:uid="{00000000-0005-0000-0000-000001A10000}"/>
    <cellStyle name="Note 2 3 4 2 4 2" xfId="41088" xr:uid="{00000000-0005-0000-0000-000002A10000}"/>
    <cellStyle name="Note 2 3 4 2 5" xfId="41089" xr:uid="{00000000-0005-0000-0000-000003A10000}"/>
    <cellStyle name="Note 2 3 4 3" xfId="41090" xr:uid="{00000000-0005-0000-0000-000004A10000}"/>
    <cellStyle name="Note 2 3 4 3 2" xfId="41091" xr:uid="{00000000-0005-0000-0000-000005A10000}"/>
    <cellStyle name="Note 2 3 4 3 2 2" xfId="41092" xr:uid="{00000000-0005-0000-0000-000006A10000}"/>
    <cellStyle name="Note 2 3 4 3 2 2 2" xfId="41093" xr:uid="{00000000-0005-0000-0000-000007A10000}"/>
    <cellStyle name="Note 2 3 4 3 2 3" xfId="41094" xr:uid="{00000000-0005-0000-0000-000008A10000}"/>
    <cellStyle name="Note 2 3 4 3 3" xfId="41095" xr:uid="{00000000-0005-0000-0000-000009A10000}"/>
    <cellStyle name="Note 2 3 4 3 3 2" xfId="41096" xr:uid="{00000000-0005-0000-0000-00000AA10000}"/>
    <cellStyle name="Note 2 3 4 3 4" xfId="41097" xr:uid="{00000000-0005-0000-0000-00000BA10000}"/>
    <cellStyle name="Note 2 3 4 4" xfId="41098" xr:uid="{00000000-0005-0000-0000-00000CA10000}"/>
    <cellStyle name="Note 2 3 4 4 2" xfId="41099" xr:uid="{00000000-0005-0000-0000-00000DA10000}"/>
    <cellStyle name="Note 2 3 4 4 2 2" xfId="41100" xr:uid="{00000000-0005-0000-0000-00000EA10000}"/>
    <cellStyle name="Note 2 3 4 4 3" xfId="41101" xr:uid="{00000000-0005-0000-0000-00000FA10000}"/>
    <cellStyle name="Note 2 3 4 5" xfId="41102" xr:uid="{00000000-0005-0000-0000-000010A10000}"/>
    <cellStyle name="Note 2 3 4 5 2" xfId="41103" xr:uid="{00000000-0005-0000-0000-000011A10000}"/>
    <cellStyle name="Note 2 3 4 6" xfId="41104" xr:uid="{00000000-0005-0000-0000-000012A10000}"/>
    <cellStyle name="Note 2 3 5" xfId="41105" xr:uid="{00000000-0005-0000-0000-000013A10000}"/>
    <cellStyle name="Note 2 3 5 2" xfId="41106" xr:uid="{00000000-0005-0000-0000-000014A10000}"/>
    <cellStyle name="Note 2 3 5 2 2" xfId="41107" xr:uid="{00000000-0005-0000-0000-000015A10000}"/>
    <cellStyle name="Note 2 3 5 3" xfId="41108" xr:uid="{00000000-0005-0000-0000-000016A10000}"/>
    <cellStyle name="Note 2 3 6" xfId="41109" xr:uid="{00000000-0005-0000-0000-000017A10000}"/>
    <cellStyle name="Note 2 3 6 2" xfId="41110" xr:uid="{00000000-0005-0000-0000-000018A10000}"/>
    <cellStyle name="Note 2 3 6 2 2" xfId="41111" xr:uid="{00000000-0005-0000-0000-000019A10000}"/>
    <cellStyle name="Note 2 3 6 3" xfId="41112" xr:uid="{00000000-0005-0000-0000-00001AA10000}"/>
    <cellStyle name="Note 2 3 7" xfId="41113" xr:uid="{00000000-0005-0000-0000-00001BA10000}"/>
    <cellStyle name="Note 2 3 7 2" xfId="41114" xr:uid="{00000000-0005-0000-0000-00001CA10000}"/>
    <cellStyle name="Note 2 3 7 2 2" xfId="41115" xr:uid="{00000000-0005-0000-0000-00001DA10000}"/>
    <cellStyle name="Note 2 3 7 2 2 2" xfId="41116" xr:uid="{00000000-0005-0000-0000-00001EA10000}"/>
    <cellStyle name="Note 2 3 7 2 3" xfId="41117" xr:uid="{00000000-0005-0000-0000-00001FA10000}"/>
    <cellStyle name="Note 2 3 7 3" xfId="41118" xr:uid="{00000000-0005-0000-0000-000020A10000}"/>
    <cellStyle name="Note 2 3 7 3 2" xfId="41119" xr:uid="{00000000-0005-0000-0000-000021A10000}"/>
    <cellStyle name="Note 2 3 7 4" xfId="41120" xr:uid="{00000000-0005-0000-0000-000022A10000}"/>
    <cellStyle name="Note 2 3 8" xfId="41121" xr:uid="{00000000-0005-0000-0000-000023A10000}"/>
    <cellStyle name="Note 2 3 8 2" xfId="41122" xr:uid="{00000000-0005-0000-0000-000024A10000}"/>
    <cellStyle name="Note 2 3 8 2 2" xfId="41123" xr:uid="{00000000-0005-0000-0000-000025A10000}"/>
    <cellStyle name="Note 2 3 8 3" xfId="41124" xr:uid="{00000000-0005-0000-0000-000026A10000}"/>
    <cellStyle name="Note 2 3 9" xfId="41125" xr:uid="{00000000-0005-0000-0000-000027A10000}"/>
    <cellStyle name="Note 2 3 9 2" xfId="41126" xr:uid="{00000000-0005-0000-0000-000028A10000}"/>
    <cellStyle name="Note 2 4" xfId="41127" xr:uid="{00000000-0005-0000-0000-000029A10000}"/>
    <cellStyle name="Note 2 4 2" xfId="41128" xr:uid="{00000000-0005-0000-0000-00002AA10000}"/>
    <cellStyle name="Note 2 4 2 2" xfId="41129" xr:uid="{00000000-0005-0000-0000-00002BA10000}"/>
    <cellStyle name="Note 2 4 2 2 2" xfId="41130" xr:uid="{00000000-0005-0000-0000-00002CA10000}"/>
    <cellStyle name="Note 2 4 2 2 2 2" xfId="41131" xr:uid="{00000000-0005-0000-0000-00002DA10000}"/>
    <cellStyle name="Note 2 4 2 2 3" xfId="41132" xr:uid="{00000000-0005-0000-0000-00002EA10000}"/>
    <cellStyle name="Note 2 4 2 3" xfId="41133" xr:uid="{00000000-0005-0000-0000-00002FA10000}"/>
    <cellStyle name="Note 2 4 2 3 2" xfId="41134" xr:uid="{00000000-0005-0000-0000-000030A10000}"/>
    <cellStyle name="Note 2 4 2 3 2 2" xfId="41135" xr:uid="{00000000-0005-0000-0000-000031A10000}"/>
    <cellStyle name="Note 2 4 2 3 3" xfId="41136" xr:uid="{00000000-0005-0000-0000-000032A10000}"/>
    <cellStyle name="Note 2 4 2 4" xfId="41137" xr:uid="{00000000-0005-0000-0000-000033A10000}"/>
    <cellStyle name="Note 2 4 2 4 2" xfId="41138" xr:uid="{00000000-0005-0000-0000-000034A10000}"/>
    <cellStyle name="Note 2 4 2 4 2 2" xfId="41139" xr:uid="{00000000-0005-0000-0000-000035A10000}"/>
    <cellStyle name="Note 2 4 2 4 3" xfId="41140" xr:uid="{00000000-0005-0000-0000-000036A10000}"/>
    <cellStyle name="Note 2 4 2 5" xfId="41141" xr:uid="{00000000-0005-0000-0000-000037A10000}"/>
    <cellStyle name="Note 2 4 2 5 2" xfId="41142" xr:uid="{00000000-0005-0000-0000-000038A10000}"/>
    <cellStyle name="Note 2 4 2 6" xfId="41143" xr:uid="{00000000-0005-0000-0000-000039A10000}"/>
    <cellStyle name="Note 2 4 3" xfId="41144" xr:uid="{00000000-0005-0000-0000-00003AA10000}"/>
    <cellStyle name="Note 2 4 3 2" xfId="41145" xr:uid="{00000000-0005-0000-0000-00003BA10000}"/>
    <cellStyle name="Note 2 4 3 2 2" xfId="41146" xr:uid="{00000000-0005-0000-0000-00003CA10000}"/>
    <cellStyle name="Note 2 4 3 2 2 2" xfId="41147" xr:uid="{00000000-0005-0000-0000-00003DA10000}"/>
    <cellStyle name="Note 2 4 3 2 2 2 2" xfId="41148" xr:uid="{00000000-0005-0000-0000-00003EA10000}"/>
    <cellStyle name="Note 2 4 3 2 2 3" xfId="41149" xr:uid="{00000000-0005-0000-0000-00003FA10000}"/>
    <cellStyle name="Note 2 4 3 2 3" xfId="41150" xr:uid="{00000000-0005-0000-0000-000040A10000}"/>
    <cellStyle name="Note 2 4 3 2 3 2" xfId="41151" xr:uid="{00000000-0005-0000-0000-000041A10000}"/>
    <cellStyle name="Note 2 4 3 2 3 2 2" xfId="41152" xr:uid="{00000000-0005-0000-0000-000042A10000}"/>
    <cellStyle name="Note 2 4 3 2 3 3" xfId="41153" xr:uid="{00000000-0005-0000-0000-000043A10000}"/>
    <cellStyle name="Note 2 4 3 2 4" xfId="41154" xr:uid="{00000000-0005-0000-0000-000044A10000}"/>
    <cellStyle name="Note 2 4 3 2 4 2" xfId="41155" xr:uid="{00000000-0005-0000-0000-000045A10000}"/>
    <cellStyle name="Note 2 4 3 2 5" xfId="41156" xr:uid="{00000000-0005-0000-0000-000046A10000}"/>
    <cellStyle name="Note 2 4 3 3" xfId="41157" xr:uid="{00000000-0005-0000-0000-000047A10000}"/>
    <cellStyle name="Note 2 4 3 3 2" xfId="41158" xr:uid="{00000000-0005-0000-0000-000048A10000}"/>
    <cellStyle name="Note 2 4 3 3 2 2" xfId="41159" xr:uid="{00000000-0005-0000-0000-000049A10000}"/>
    <cellStyle name="Note 2 4 3 3 2 2 2" xfId="41160" xr:uid="{00000000-0005-0000-0000-00004AA10000}"/>
    <cellStyle name="Note 2 4 3 3 2 3" xfId="41161" xr:uid="{00000000-0005-0000-0000-00004BA10000}"/>
    <cellStyle name="Note 2 4 3 3 3" xfId="41162" xr:uid="{00000000-0005-0000-0000-00004CA10000}"/>
    <cellStyle name="Note 2 4 3 3 3 2" xfId="41163" xr:uid="{00000000-0005-0000-0000-00004DA10000}"/>
    <cellStyle name="Note 2 4 3 3 4" xfId="41164" xr:uid="{00000000-0005-0000-0000-00004EA10000}"/>
    <cellStyle name="Note 2 4 3 4" xfId="41165" xr:uid="{00000000-0005-0000-0000-00004FA10000}"/>
    <cellStyle name="Note 2 4 3 4 2" xfId="41166" xr:uid="{00000000-0005-0000-0000-000050A10000}"/>
    <cellStyle name="Note 2 4 3 4 2 2" xfId="41167" xr:uid="{00000000-0005-0000-0000-000051A10000}"/>
    <cellStyle name="Note 2 4 3 4 3" xfId="41168" xr:uid="{00000000-0005-0000-0000-000052A10000}"/>
    <cellStyle name="Note 2 4 3 5" xfId="41169" xr:uid="{00000000-0005-0000-0000-000053A10000}"/>
    <cellStyle name="Note 2 4 3 5 2" xfId="41170" xr:uid="{00000000-0005-0000-0000-000054A10000}"/>
    <cellStyle name="Note 2 4 3 5 2 2" xfId="41171" xr:uid="{00000000-0005-0000-0000-000055A10000}"/>
    <cellStyle name="Note 2 4 3 5 3" xfId="41172" xr:uid="{00000000-0005-0000-0000-000056A10000}"/>
    <cellStyle name="Note 2 4 3 6" xfId="41173" xr:uid="{00000000-0005-0000-0000-000057A10000}"/>
    <cellStyle name="Note 2 4 3 6 2" xfId="41174" xr:uid="{00000000-0005-0000-0000-000058A10000}"/>
    <cellStyle name="Note 2 4 3 7" xfId="41175" xr:uid="{00000000-0005-0000-0000-000059A10000}"/>
    <cellStyle name="Note 2 4 4" xfId="41176" xr:uid="{00000000-0005-0000-0000-00005AA10000}"/>
    <cellStyle name="Note 2 4 4 2" xfId="41177" xr:uid="{00000000-0005-0000-0000-00005BA10000}"/>
    <cellStyle name="Note 2 4 4 2 2" xfId="41178" xr:uid="{00000000-0005-0000-0000-00005CA10000}"/>
    <cellStyle name="Note 2 4 4 2 2 2" xfId="41179" xr:uid="{00000000-0005-0000-0000-00005DA10000}"/>
    <cellStyle name="Note 2 4 4 2 3" xfId="41180" xr:uid="{00000000-0005-0000-0000-00005EA10000}"/>
    <cellStyle name="Note 2 4 4 3" xfId="41181" xr:uid="{00000000-0005-0000-0000-00005FA10000}"/>
    <cellStyle name="Note 2 4 4 3 2" xfId="41182" xr:uid="{00000000-0005-0000-0000-000060A10000}"/>
    <cellStyle name="Note 2 4 4 4" xfId="41183" xr:uid="{00000000-0005-0000-0000-000061A10000}"/>
    <cellStyle name="Note 2 4 5" xfId="41184" xr:uid="{00000000-0005-0000-0000-000062A10000}"/>
    <cellStyle name="Note 2 4 5 2" xfId="41185" xr:uid="{00000000-0005-0000-0000-000063A10000}"/>
    <cellStyle name="Note 2 4 5 2 2" xfId="41186" xr:uid="{00000000-0005-0000-0000-000064A10000}"/>
    <cellStyle name="Note 2 4 5 3" xfId="41187" xr:uid="{00000000-0005-0000-0000-000065A10000}"/>
    <cellStyle name="Note 2 4 6" xfId="41188" xr:uid="{00000000-0005-0000-0000-000066A10000}"/>
    <cellStyle name="Note 2 4 6 2" xfId="41189" xr:uid="{00000000-0005-0000-0000-000067A10000}"/>
    <cellStyle name="Note 2 4 6 2 2" xfId="41190" xr:uid="{00000000-0005-0000-0000-000068A10000}"/>
    <cellStyle name="Note 2 4 6 3" xfId="41191" xr:uid="{00000000-0005-0000-0000-000069A10000}"/>
    <cellStyle name="Note 2 4 7" xfId="41192" xr:uid="{00000000-0005-0000-0000-00006AA10000}"/>
    <cellStyle name="Note 2 4 7 2" xfId="41193" xr:uid="{00000000-0005-0000-0000-00006BA10000}"/>
    <cellStyle name="Note 2 4 8" xfId="41194" xr:uid="{00000000-0005-0000-0000-00006CA10000}"/>
    <cellStyle name="Note 2 5" xfId="41195" xr:uid="{00000000-0005-0000-0000-00006DA10000}"/>
    <cellStyle name="Note 2 5 2" xfId="41196" xr:uid="{00000000-0005-0000-0000-00006EA10000}"/>
    <cellStyle name="Note 2 5 2 2" xfId="41197" xr:uid="{00000000-0005-0000-0000-00006FA10000}"/>
    <cellStyle name="Note 2 5 2 2 2" xfId="41198" xr:uid="{00000000-0005-0000-0000-000070A10000}"/>
    <cellStyle name="Note 2 5 2 2 2 2" xfId="41199" xr:uid="{00000000-0005-0000-0000-000071A10000}"/>
    <cellStyle name="Note 2 5 2 2 2 2 2" xfId="41200" xr:uid="{00000000-0005-0000-0000-000072A10000}"/>
    <cellStyle name="Note 2 5 2 2 2 2 2 2" xfId="41201" xr:uid="{00000000-0005-0000-0000-000073A10000}"/>
    <cellStyle name="Note 2 5 2 2 2 2 3" xfId="41202" xr:uid="{00000000-0005-0000-0000-000074A10000}"/>
    <cellStyle name="Note 2 5 2 2 2 3" xfId="41203" xr:uid="{00000000-0005-0000-0000-000075A10000}"/>
    <cellStyle name="Note 2 5 2 2 2 3 2" xfId="41204" xr:uid="{00000000-0005-0000-0000-000076A10000}"/>
    <cellStyle name="Note 2 5 2 2 2 4" xfId="41205" xr:uid="{00000000-0005-0000-0000-000077A10000}"/>
    <cellStyle name="Note 2 5 2 2 3" xfId="41206" xr:uid="{00000000-0005-0000-0000-000078A10000}"/>
    <cellStyle name="Note 2 5 2 2 3 2" xfId="41207" xr:uid="{00000000-0005-0000-0000-000079A10000}"/>
    <cellStyle name="Note 2 5 2 2 3 2 2" xfId="41208" xr:uid="{00000000-0005-0000-0000-00007AA10000}"/>
    <cellStyle name="Note 2 5 2 2 3 3" xfId="41209" xr:uid="{00000000-0005-0000-0000-00007BA10000}"/>
    <cellStyle name="Note 2 5 2 2 4" xfId="41210" xr:uid="{00000000-0005-0000-0000-00007CA10000}"/>
    <cellStyle name="Note 2 5 2 2 4 2" xfId="41211" xr:uid="{00000000-0005-0000-0000-00007DA10000}"/>
    <cellStyle name="Note 2 5 2 2 5" xfId="41212" xr:uid="{00000000-0005-0000-0000-00007EA10000}"/>
    <cellStyle name="Note 2 5 2 3" xfId="41213" xr:uid="{00000000-0005-0000-0000-00007FA10000}"/>
    <cellStyle name="Note 2 5 2 3 2" xfId="41214" xr:uid="{00000000-0005-0000-0000-000080A10000}"/>
    <cellStyle name="Note 2 5 2 3 2 2" xfId="41215" xr:uid="{00000000-0005-0000-0000-000081A10000}"/>
    <cellStyle name="Note 2 5 2 3 3" xfId="41216" xr:uid="{00000000-0005-0000-0000-000082A10000}"/>
    <cellStyle name="Note 2 5 2 4" xfId="41217" xr:uid="{00000000-0005-0000-0000-000083A10000}"/>
    <cellStyle name="Note 2 5 2 4 2" xfId="41218" xr:uid="{00000000-0005-0000-0000-000084A10000}"/>
    <cellStyle name="Note 2 5 2 4 2 2" xfId="41219" xr:uid="{00000000-0005-0000-0000-000085A10000}"/>
    <cellStyle name="Note 2 5 2 4 3" xfId="41220" xr:uid="{00000000-0005-0000-0000-000086A10000}"/>
    <cellStyle name="Note 2 5 2 5" xfId="41221" xr:uid="{00000000-0005-0000-0000-000087A10000}"/>
    <cellStyle name="Note 2 5 2 5 2" xfId="41222" xr:uid="{00000000-0005-0000-0000-000088A10000}"/>
    <cellStyle name="Note 2 5 2 5 2 2" xfId="41223" xr:uid="{00000000-0005-0000-0000-000089A10000}"/>
    <cellStyle name="Note 2 5 2 5 2 2 2" xfId="41224" xr:uid="{00000000-0005-0000-0000-00008AA10000}"/>
    <cellStyle name="Note 2 5 2 5 2 3" xfId="41225" xr:uid="{00000000-0005-0000-0000-00008BA10000}"/>
    <cellStyle name="Note 2 5 2 5 3" xfId="41226" xr:uid="{00000000-0005-0000-0000-00008CA10000}"/>
    <cellStyle name="Note 2 5 2 5 3 2" xfId="41227" xr:uid="{00000000-0005-0000-0000-00008DA10000}"/>
    <cellStyle name="Note 2 5 2 5 4" xfId="41228" xr:uid="{00000000-0005-0000-0000-00008EA10000}"/>
    <cellStyle name="Note 2 5 2 6" xfId="41229" xr:uid="{00000000-0005-0000-0000-00008FA10000}"/>
    <cellStyle name="Note 2 5 2 6 2" xfId="41230" xr:uid="{00000000-0005-0000-0000-000090A10000}"/>
    <cellStyle name="Note 2 5 2 6 2 2" xfId="41231" xr:uid="{00000000-0005-0000-0000-000091A10000}"/>
    <cellStyle name="Note 2 5 2 6 3" xfId="41232" xr:uid="{00000000-0005-0000-0000-000092A10000}"/>
    <cellStyle name="Note 2 5 2 7" xfId="41233" xr:uid="{00000000-0005-0000-0000-000093A10000}"/>
    <cellStyle name="Note 2 5 2 7 2" xfId="41234" xr:uid="{00000000-0005-0000-0000-000094A10000}"/>
    <cellStyle name="Note 2 5 2 8" xfId="41235" xr:uid="{00000000-0005-0000-0000-000095A10000}"/>
    <cellStyle name="Note 2 5 3" xfId="41236" xr:uid="{00000000-0005-0000-0000-000096A10000}"/>
    <cellStyle name="Note 2 5 3 2" xfId="41237" xr:uid="{00000000-0005-0000-0000-000097A10000}"/>
    <cellStyle name="Note 2 5 3 2 2" xfId="41238" xr:uid="{00000000-0005-0000-0000-000098A10000}"/>
    <cellStyle name="Note 2 5 3 2 2 2" xfId="41239" xr:uid="{00000000-0005-0000-0000-000099A10000}"/>
    <cellStyle name="Note 2 5 3 2 2 2 2" xfId="41240" xr:uid="{00000000-0005-0000-0000-00009AA10000}"/>
    <cellStyle name="Note 2 5 3 2 2 2 2 2" xfId="41241" xr:uid="{00000000-0005-0000-0000-00009BA10000}"/>
    <cellStyle name="Note 2 5 3 2 2 2 3" xfId="41242" xr:uid="{00000000-0005-0000-0000-00009CA10000}"/>
    <cellStyle name="Note 2 5 3 2 2 3" xfId="41243" xr:uid="{00000000-0005-0000-0000-00009DA10000}"/>
    <cellStyle name="Note 2 5 3 2 2 3 2" xfId="41244" xr:uid="{00000000-0005-0000-0000-00009EA10000}"/>
    <cellStyle name="Note 2 5 3 2 2 4" xfId="41245" xr:uid="{00000000-0005-0000-0000-00009FA10000}"/>
    <cellStyle name="Note 2 5 3 2 3" xfId="41246" xr:uid="{00000000-0005-0000-0000-0000A0A10000}"/>
    <cellStyle name="Note 2 5 3 2 3 2" xfId="41247" xr:uid="{00000000-0005-0000-0000-0000A1A10000}"/>
    <cellStyle name="Note 2 5 3 2 3 2 2" xfId="41248" xr:uid="{00000000-0005-0000-0000-0000A2A10000}"/>
    <cellStyle name="Note 2 5 3 2 3 3" xfId="41249" xr:uid="{00000000-0005-0000-0000-0000A3A10000}"/>
    <cellStyle name="Note 2 5 3 2 4" xfId="41250" xr:uid="{00000000-0005-0000-0000-0000A4A10000}"/>
    <cellStyle name="Note 2 5 3 2 4 2" xfId="41251" xr:uid="{00000000-0005-0000-0000-0000A5A10000}"/>
    <cellStyle name="Note 2 5 3 2 5" xfId="41252" xr:uid="{00000000-0005-0000-0000-0000A6A10000}"/>
    <cellStyle name="Note 2 5 3 3" xfId="41253" xr:uid="{00000000-0005-0000-0000-0000A7A10000}"/>
    <cellStyle name="Note 2 5 3 3 2" xfId="41254" xr:uid="{00000000-0005-0000-0000-0000A8A10000}"/>
    <cellStyle name="Note 2 5 3 3 2 2" xfId="41255" xr:uid="{00000000-0005-0000-0000-0000A9A10000}"/>
    <cellStyle name="Note 2 5 3 3 2 2 2" xfId="41256" xr:uid="{00000000-0005-0000-0000-0000AAA10000}"/>
    <cellStyle name="Note 2 5 3 3 2 3" xfId="41257" xr:uid="{00000000-0005-0000-0000-0000ABA10000}"/>
    <cellStyle name="Note 2 5 3 3 3" xfId="41258" xr:uid="{00000000-0005-0000-0000-0000ACA10000}"/>
    <cellStyle name="Note 2 5 3 3 3 2" xfId="41259" xr:uid="{00000000-0005-0000-0000-0000ADA10000}"/>
    <cellStyle name="Note 2 5 3 3 4" xfId="41260" xr:uid="{00000000-0005-0000-0000-0000AEA10000}"/>
    <cellStyle name="Note 2 5 3 4" xfId="41261" xr:uid="{00000000-0005-0000-0000-0000AFA10000}"/>
    <cellStyle name="Note 2 5 3 4 2" xfId="41262" xr:uid="{00000000-0005-0000-0000-0000B0A10000}"/>
    <cellStyle name="Note 2 5 3 4 2 2" xfId="41263" xr:uid="{00000000-0005-0000-0000-0000B1A10000}"/>
    <cellStyle name="Note 2 5 3 4 3" xfId="41264" xr:uid="{00000000-0005-0000-0000-0000B2A10000}"/>
    <cellStyle name="Note 2 5 3 5" xfId="41265" xr:uid="{00000000-0005-0000-0000-0000B3A10000}"/>
    <cellStyle name="Note 2 5 3 5 2" xfId="41266" xr:uid="{00000000-0005-0000-0000-0000B4A10000}"/>
    <cellStyle name="Note 2 5 3 6" xfId="41267" xr:uid="{00000000-0005-0000-0000-0000B5A10000}"/>
    <cellStyle name="Note 2 5 4" xfId="41268" xr:uid="{00000000-0005-0000-0000-0000B6A10000}"/>
    <cellStyle name="Note 2 5 4 2" xfId="41269" xr:uid="{00000000-0005-0000-0000-0000B7A10000}"/>
    <cellStyle name="Note 2 5 4 2 2" xfId="41270" xr:uid="{00000000-0005-0000-0000-0000B8A10000}"/>
    <cellStyle name="Note 2 5 4 3" xfId="41271" xr:uid="{00000000-0005-0000-0000-0000B9A10000}"/>
    <cellStyle name="Note 2 5 5" xfId="41272" xr:uid="{00000000-0005-0000-0000-0000BAA10000}"/>
    <cellStyle name="Note 2 5 5 2" xfId="41273" xr:uid="{00000000-0005-0000-0000-0000BBA10000}"/>
    <cellStyle name="Note 2 5 5 2 2" xfId="41274" xr:uid="{00000000-0005-0000-0000-0000BCA10000}"/>
    <cellStyle name="Note 2 5 5 3" xfId="41275" xr:uid="{00000000-0005-0000-0000-0000BDA10000}"/>
    <cellStyle name="Note 2 5 6" xfId="41276" xr:uid="{00000000-0005-0000-0000-0000BEA10000}"/>
    <cellStyle name="Note 2 5 6 2" xfId="41277" xr:uid="{00000000-0005-0000-0000-0000BFA10000}"/>
    <cellStyle name="Note 2 5 6 2 2" xfId="41278" xr:uid="{00000000-0005-0000-0000-0000C0A10000}"/>
    <cellStyle name="Note 2 5 6 2 2 2" xfId="41279" xr:uid="{00000000-0005-0000-0000-0000C1A10000}"/>
    <cellStyle name="Note 2 5 6 2 3" xfId="41280" xr:uid="{00000000-0005-0000-0000-0000C2A10000}"/>
    <cellStyle name="Note 2 5 6 3" xfId="41281" xr:uid="{00000000-0005-0000-0000-0000C3A10000}"/>
    <cellStyle name="Note 2 5 6 3 2" xfId="41282" xr:uid="{00000000-0005-0000-0000-0000C4A10000}"/>
    <cellStyle name="Note 2 5 6 4" xfId="41283" xr:uid="{00000000-0005-0000-0000-0000C5A10000}"/>
    <cellStyle name="Note 2 5 7" xfId="41284" xr:uid="{00000000-0005-0000-0000-0000C6A10000}"/>
    <cellStyle name="Note 2 5 7 2" xfId="41285" xr:uid="{00000000-0005-0000-0000-0000C7A10000}"/>
    <cellStyle name="Note 2 5 7 2 2" xfId="41286" xr:uid="{00000000-0005-0000-0000-0000C8A10000}"/>
    <cellStyle name="Note 2 5 7 3" xfId="41287" xr:uid="{00000000-0005-0000-0000-0000C9A10000}"/>
    <cellStyle name="Note 2 5 8" xfId="41288" xr:uid="{00000000-0005-0000-0000-0000CAA10000}"/>
    <cellStyle name="Note 2 5 8 2" xfId="41289" xr:uid="{00000000-0005-0000-0000-0000CBA10000}"/>
    <cellStyle name="Note 2 5 9" xfId="41290" xr:uid="{00000000-0005-0000-0000-0000CCA10000}"/>
    <cellStyle name="Note 2 6" xfId="41291" xr:uid="{00000000-0005-0000-0000-0000CDA10000}"/>
    <cellStyle name="Note 2 6 2" xfId="41292" xr:uid="{00000000-0005-0000-0000-0000CEA10000}"/>
    <cellStyle name="Note 2 6 2 2" xfId="41293" xr:uid="{00000000-0005-0000-0000-0000CFA10000}"/>
    <cellStyle name="Note 2 6 2 2 2" xfId="41294" xr:uid="{00000000-0005-0000-0000-0000D0A10000}"/>
    <cellStyle name="Note 2 6 2 3" xfId="41295" xr:uid="{00000000-0005-0000-0000-0000D1A10000}"/>
    <cellStyle name="Note 2 6 2 3 2" xfId="41296" xr:uid="{00000000-0005-0000-0000-0000D2A10000}"/>
    <cellStyle name="Note 2 6 2 3 2 2" xfId="41297" xr:uid="{00000000-0005-0000-0000-0000D3A10000}"/>
    <cellStyle name="Note 2 6 2 3 3" xfId="41298" xr:uid="{00000000-0005-0000-0000-0000D4A10000}"/>
    <cellStyle name="Note 2 6 2 4" xfId="41299" xr:uid="{00000000-0005-0000-0000-0000D5A10000}"/>
    <cellStyle name="Note 2 6 2 4 2" xfId="41300" xr:uid="{00000000-0005-0000-0000-0000D6A10000}"/>
    <cellStyle name="Note 2 6 2 4 2 2" xfId="41301" xr:uid="{00000000-0005-0000-0000-0000D7A10000}"/>
    <cellStyle name="Note 2 6 2 4 3" xfId="41302" xr:uid="{00000000-0005-0000-0000-0000D8A10000}"/>
    <cellStyle name="Note 2 6 2 5" xfId="41303" xr:uid="{00000000-0005-0000-0000-0000D9A10000}"/>
    <cellStyle name="Note 2 6 3" xfId="41304" xr:uid="{00000000-0005-0000-0000-0000DAA10000}"/>
    <cellStyle name="Note 2 6 3 2" xfId="41305" xr:uid="{00000000-0005-0000-0000-0000DBA10000}"/>
    <cellStyle name="Note 2 6 3 2 2" xfId="41306" xr:uid="{00000000-0005-0000-0000-0000DCA10000}"/>
    <cellStyle name="Note 2 6 3 2 2 2" xfId="41307" xr:uid="{00000000-0005-0000-0000-0000DDA10000}"/>
    <cellStyle name="Note 2 6 3 2 3" xfId="41308" xr:uid="{00000000-0005-0000-0000-0000DEA10000}"/>
    <cellStyle name="Note 2 6 3 2 3 2" xfId="41309" xr:uid="{00000000-0005-0000-0000-0000DFA10000}"/>
    <cellStyle name="Note 2 6 3 2 3 2 2" xfId="41310" xr:uid="{00000000-0005-0000-0000-0000E0A10000}"/>
    <cellStyle name="Note 2 6 3 2 3 3" xfId="41311" xr:uid="{00000000-0005-0000-0000-0000E1A10000}"/>
    <cellStyle name="Note 2 6 3 2 4" xfId="41312" xr:uid="{00000000-0005-0000-0000-0000E2A10000}"/>
    <cellStyle name="Note 2 6 3 3" xfId="41313" xr:uid="{00000000-0005-0000-0000-0000E3A10000}"/>
    <cellStyle name="Note 2 6 3 3 2" xfId="41314" xr:uid="{00000000-0005-0000-0000-0000E4A10000}"/>
    <cellStyle name="Note 2 6 3 3 2 2" xfId="41315" xr:uid="{00000000-0005-0000-0000-0000E5A10000}"/>
    <cellStyle name="Note 2 6 3 3 3" xfId="41316" xr:uid="{00000000-0005-0000-0000-0000E6A10000}"/>
    <cellStyle name="Note 2 6 3 4" xfId="41317" xr:uid="{00000000-0005-0000-0000-0000E7A10000}"/>
    <cellStyle name="Note 2 6 3 4 2" xfId="41318" xr:uid="{00000000-0005-0000-0000-0000E8A10000}"/>
    <cellStyle name="Note 2 6 3 4 2 2" xfId="41319" xr:uid="{00000000-0005-0000-0000-0000E9A10000}"/>
    <cellStyle name="Note 2 6 3 4 3" xfId="41320" xr:uid="{00000000-0005-0000-0000-0000EAA10000}"/>
    <cellStyle name="Note 2 6 3 5" xfId="41321" xr:uid="{00000000-0005-0000-0000-0000EBA10000}"/>
    <cellStyle name="Note 2 6 3 5 2" xfId="41322" xr:uid="{00000000-0005-0000-0000-0000ECA10000}"/>
    <cellStyle name="Note 2 6 3 5 2 2" xfId="41323" xr:uid="{00000000-0005-0000-0000-0000EDA10000}"/>
    <cellStyle name="Note 2 6 3 5 3" xfId="41324" xr:uid="{00000000-0005-0000-0000-0000EEA10000}"/>
    <cellStyle name="Note 2 6 3 6" xfId="41325" xr:uid="{00000000-0005-0000-0000-0000EFA10000}"/>
    <cellStyle name="Note 2 6 4" xfId="41326" xr:uid="{00000000-0005-0000-0000-0000F0A10000}"/>
    <cellStyle name="Note 2 6 4 2" xfId="41327" xr:uid="{00000000-0005-0000-0000-0000F1A10000}"/>
    <cellStyle name="Note 2 6 4 2 2" xfId="41328" xr:uid="{00000000-0005-0000-0000-0000F2A10000}"/>
    <cellStyle name="Note 2 6 4 3" xfId="41329" xr:uid="{00000000-0005-0000-0000-0000F3A10000}"/>
    <cellStyle name="Note 2 6 5" xfId="41330" xr:uid="{00000000-0005-0000-0000-0000F4A10000}"/>
    <cellStyle name="Note 2 6 5 2" xfId="41331" xr:uid="{00000000-0005-0000-0000-0000F5A10000}"/>
    <cellStyle name="Note 2 6 5 2 2" xfId="41332" xr:uid="{00000000-0005-0000-0000-0000F6A10000}"/>
    <cellStyle name="Note 2 6 5 3" xfId="41333" xr:uid="{00000000-0005-0000-0000-0000F7A10000}"/>
    <cellStyle name="Note 2 6 6" xfId="41334" xr:uid="{00000000-0005-0000-0000-0000F8A10000}"/>
    <cellStyle name="Note 2 6 6 2" xfId="41335" xr:uid="{00000000-0005-0000-0000-0000F9A10000}"/>
    <cellStyle name="Note 2 6 6 2 2" xfId="41336" xr:uid="{00000000-0005-0000-0000-0000FAA10000}"/>
    <cellStyle name="Note 2 6 6 3" xfId="41337" xr:uid="{00000000-0005-0000-0000-0000FBA10000}"/>
    <cellStyle name="Note 2 6 7" xfId="41338" xr:uid="{00000000-0005-0000-0000-0000FCA10000}"/>
    <cellStyle name="Note 2 7" xfId="41339" xr:uid="{00000000-0005-0000-0000-0000FDA10000}"/>
    <cellStyle name="Note 2 7 10" xfId="41340" xr:uid="{00000000-0005-0000-0000-0000FEA10000}"/>
    <cellStyle name="Note 2 7 2" xfId="41341" xr:uid="{00000000-0005-0000-0000-0000FFA10000}"/>
    <cellStyle name="Note 2 7 2 2" xfId="41342" xr:uid="{00000000-0005-0000-0000-000000A20000}"/>
    <cellStyle name="Note 2 7 2 2 2" xfId="41343" xr:uid="{00000000-0005-0000-0000-000001A20000}"/>
    <cellStyle name="Note 2 7 2 2 2 2" xfId="41344" xr:uid="{00000000-0005-0000-0000-000002A20000}"/>
    <cellStyle name="Note 2 7 2 2 2 2 2" xfId="41345" xr:uid="{00000000-0005-0000-0000-000003A20000}"/>
    <cellStyle name="Note 2 7 2 2 2 2 2 2" xfId="41346" xr:uid="{00000000-0005-0000-0000-000004A20000}"/>
    <cellStyle name="Note 2 7 2 2 2 2 3" xfId="41347" xr:uid="{00000000-0005-0000-0000-000005A20000}"/>
    <cellStyle name="Note 2 7 2 2 2 3" xfId="41348" xr:uid="{00000000-0005-0000-0000-000006A20000}"/>
    <cellStyle name="Note 2 7 2 2 2 3 2" xfId="41349" xr:uid="{00000000-0005-0000-0000-000007A20000}"/>
    <cellStyle name="Note 2 7 2 2 2 4" xfId="41350" xr:uid="{00000000-0005-0000-0000-000008A20000}"/>
    <cellStyle name="Note 2 7 2 2 3" xfId="41351" xr:uid="{00000000-0005-0000-0000-000009A20000}"/>
    <cellStyle name="Note 2 7 2 2 3 2" xfId="41352" xr:uid="{00000000-0005-0000-0000-00000AA20000}"/>
    <cellStyle name="Note 2 7 2 2 3 2 2" xfId="41353" xr:uid="{00000000-0005-0000-0000-00000BA20000}"/>
    <cellStyle name="Note 2 7 2 2 3 3" xfId="41354" xr:uid="{00000000-0005-0000-0000-00000CA20000}"/>
    <cellStyle name="Note 2 7 2 2 4" xfId="41355" xr:uid="{00000000-0005-0000-0000-00000DA20000}"/>
    <cellStyle name="Note 2 7 2 2 4 2" xfId="41356" xr:uid="{00000000-0005-0000-0000-00000EA20000}"/>
    <cellStyle name="Note 2 7 2 2 5" xfId="41357" xr:uid="{00000000-0005-0000-0000-00000FA20000}"/>
    <cellStyle name="Note 2 7 2 3" xfId="41358" xr:uid="{00000000-0005-0000-0000-000010A20000}"/>
    <cellStyle name="Note 2 7 2 3 2" xfId="41359" xr:uid="{00000000-0005-0000-0000-000011A20000}"/>
    <cellStyle name="Note 2 7 2 3 2 2" xfId="41360" xr:uid="{00000000-0005-0000-0000-000012A20000}"/>
    <cellStyle name="Note 2 7 2 3 3" xfId="41361" xr:uid="{00000000-0005-0000-0000-000013A20000}"/>
    <cellStyle name="Note 2 7 2 4" xfId="41362" xr:uid="{00000000-0005-0000-0000-000014A20000}"/>
    <cellStyle name="Note 2 7 2 4 2" xfId="41363" xr:uid="{00000000-0005-0000-0000-000015A20000}"/>
    <cellStyle name="Note 2 7 2 4 2 2" xfId="41364" xr:uid="{00000000-0005-0000-0000-000016A20000}"/>
    <cellStyle name="Note 2 7 2 4 3" xfId="41365" xr:uid="{00000000-0005-0000-0000-000017A20000}"/>
    <cellStyle name="Note 2 7 2 5" xfId="41366" xr:uid="{00000000-0005-0000-0000-000018A20000}"/>
    <cellStyle name="Note 2 7 2 5 2" xfId="41367" xr:uid="{00000000-0005-0000-0000-000019A20000}"/>
    <cellStyle name="Note 2 7 2 5 2 2" xfId="41368" xr:uid="{00000000-0005-0000-0000-00001AA20000}"/>
    <cellStyle name="Note 2 7 2 5 2 2 2" xfId="41369" xr:uid="{00000000-0005-0000-0000-00001BA20000}"/>
    <cellStyle name="Note 2 7 2 5 2 3" xfId="41370" xr:uid="{00000000-0005-0000-0000-00001CA20000}"/>
    <cellStyle name="Note 2 7 2 5 3" xfId="41371" xr:uid="{00000000-0005-0000-0000-00001DA20000}"/>
    <cellStyle name="Note 2 7 2 5 3 2" xfId="41372" xr:uid="{00000000-0005-0000-0000-00001EA20000}"/>
    <cellStyle name="Note 2 7 2 5 4" xfId="41373" xr:uid="{00000000-0005-0000-0000-00001FA20000}"/>
    <cellStyle name="Note 2 7 2 6" xfId="41374" xr:uid="{00000000-0005-0000-0000-000020A20000}"/>
    <cellStyle name="Note 2 7 2 6 2" xfId="41375" xr:uid="{00000000-0005-0000-0000-000021A20000}"/>
    <cellStyle name="Note 2 7 2 6 2 2" xfId="41376" xr:uid="{00000000-0005-0000-0000-000022A20000}"/>
    <cellStyle name="Note 2 7 2 6 3" xfId="41377" xr:uid="{00000000-0005-0000-0000-000023A20000}"/>
    <cellStyle name="Note 2 7 2 7" xfId="41378" xr:uid="{00000000-0005-0000-0000-000024A20000}"/>
    <cellStyle name="Note 2 7 2 7 2" xfId="41379" xr:uid="{00000000-0005-0000-0000-000025A20000}"/>
    <cellStyle name="Note 2 7 2 8" xfId="41380" xr:uid="{00000000-0005-0000-0000-000026A20000}"/>
    <cellStyle name="Note 2 7 3" xfId="41381" xr:uid="{00000000-0005-0000-0000-000027A20000}"/>
    <cellStyle name="Note 2 7 3 2" xfId="41382" xr:uid="{00000000-0005-0000-0000-000028A20000}"/>
    <cellStyle name="Note 2 7 3 2 2" xfId="41383" xr:uid="{00000000-0005-0000-0000-000029A20000}"/>
    <cellStyle name="Note 2 7 3 2 2 2" xfId="41384" xr:uid="{00000000-0005-0000-0000-00002AA20000}"/>
    <cellStyle name="Note 2 7 3 2 2 2 2" xfId="41385" xr:uid="{00000000-0005-0000-0000-00002BA20000}"/>
    <cellStyle name="Note 2 7 3 2 2 2 2 2" xfId="41386" xr:uid="{00000000-0005-0000-0000-00002CA20000}"/>
    <cellStyle name="Note 2 7 3 2 2 2 2 2 2" xfId="41387" xr:uid="{00000000-0005-0000-0000-00002DA20000}"/>
    <cellStyle name="Note 2 7 3 2 2 2 2 3" xfId="41388" xr:uid="{00000000-0005-0000-0000-00002EA20000}"/>
    <cellStyle name="Note 2 7 3 2 2 2 3" xfId="41389" xr:uid="{00000000-0005-0000-0000-00002FA20000}"/>
    <cellStyle name="Note 2 7 3 2 2 2 3 2" xfId="41390" xr:uid="{00000000-0005-0000-0000-000030A20000}"/>
    <cellStyle name="Note 2 7 3 2 2 2 4" xfId="41391" xr:uid="{00000000-0005-0000-0000-000031A20000}"/>
    <cellStyle name="Note 2 7 3 2 2 3" xfId="41392" xr:uid="{00000000-0005-0000-0000-000032A20000}"/>
    <cellStyle name="Note 2 7 3 2 2 3 2" xfId="41393" xr:uid="{00000000-0005-0000-0000-000033A20000}"/>
    <cellStyle name="Note 2 7 3 2 2 3 2 2" xfId="41394" xr:uid="{00000000-0005-0000-0000-000034A20000}"/>
    <cellStyle name="Note 2 7 3 2 2 3 3" xfId="41395" xr:uid="{00000000-0005-0000-0000-000035A20000}"/>
    <cellStyle name="Note 2 7 3 2 2 4" xfId="41396" xr:uid="{00000000-0005-0000-0000-000036A20000}"/>
    <cellStyle name="Note 2 7 3 2 2 4 2" xfId="41397" xr:uid="{00000000-0005-0000-0000-000037A20000}"/>
    <cellStyle name="Note 2 7 3 2 2 5" xfId="41398" xr:uid="{00000000-0005-0000-0000-000038A20000}"/>
    <cellStyle name="Note 2 7 3 2 3" xfId="41399" xr:uid="{00000000-0005-0000-0000-000039A20000}"/>
    <cellStyle name="Note 2 7 3 2 3 2" xfId="41400" xr:uid="{00000000-0005-0000-0000-00003AA20000}"/>
    <cellStyle name="Note 2 7 3 2 3 2 2" xfId="41401" xr:uid="{00000000-0005-0000-0000-00003BA20000}"/>
    <cellStyle name="Note 2 7 3 2 3 3" xfId="41402" xr:uid="{00000000-0005-0000-0000-00003CA20000}"/>
    <cellStyle name="Note 2 7 3 2 4" xfId="41403" xr:uid="{00000000-0005-0000-0000-00003DA20000}"/>
    <cellStyle name="Note 2 7 3 2 4 2" xfId="41404" xr:uid="{00000000-0005-0000-0000-00003EA20000}"/>
    <cellStyle name="Note 2 7 3 2 4 2 2" xfId="41405" xr:uid="{00000000-0005-0000-0000-00003FA20000}"/>
    <cellStyle name="Note 2 7 3 2 4 2 2 2" xfId="41406" xr:uid="{00000000-0005-0000-0000-000040A20000}"/>
    <cellStyle name="Note 2 7 3 2 4 2 3" xfId="41407" xr:uid="{00000000-0005-0000-0000-000041A20000}"/>
    <cellStyle name="Note 2 7 3 2 4 3" xfId="41408" xr:uid="{00000000-0005-0000-0000-000042A20000}"/>
    <cellStyle name="Note 2 7 3 2 4 3 2" xfId="41409" xr:uid="{00000000-0005-0000-0000-000043A20000}"/>
    <cellStyle name="Note 2 7 3 2 4 4" xfId="41410" xr:uid="{00000000-0005-0000-0000-000044A20000}"/>
    <cellStyle name="Note 2 7 3 2 5" xfId="41411" xr:uid="{00000000-0005-0000-0000-000045A20000}"/>
    <cellStyle name="Note 2 7 3 2 5 2" xfId="41412" xr:uid="{00000000-0005-0000-0000-000046A20000}"/>
    <cellStyle name="Note 2 7 3 2 5 2 2" xfId="41413" xr:uid="{00000000-0005-0000-0000-000047A20000}"/>
    <cellStyle name="Note 2 7 3 2 5 3" xfId="41414" xr:uid="{00000000-0005-0000-0000-000048A20000}"/>
    <cellStyle name="Note 2 7 3 2 6" xfId="41415" xr:uid="{00000000-0005-0000-0000-000049A20000}"/>
    <cellStyle name="Note 2 7 3 2 6 2" xfId="41416" xr:uid="{00000000-0005-0000-0000-00004AA20000}"/>
    <cellStyle name="Note 2 7 3 2 7" xfId="41417" xr:uid="{00000000-0005-0000-0000-00004BA20000}"/>
    <cellStyle name="Note 2 7 3 3" xfId="41418" xr:uid="{00000000-0005-0000-0000-00004CA20000}"/>
    <cellStyle name="Note 2 7 3 3 2" xfId="41419" xr:uid="{00000000-0005-0000-0000-00004DA20000}"/>
    <cellStyle name="Note 2 7 3 3 2 2" xfId="41420" xr:uid="{00000000-0005-0000-0000-00004EA20000}"/>
    <cellStyle name="Note 2 7 3 3 2 2 2" xfId="41421" xr:uid="{00000000-0005-0000-0000-00004FA20000}"/>
    <cellStyle name="Note 2 7 3 3 2 2 2 2" xfId="41422" xr:uid="{00000000-0005-0000-0000-000050A20000}"/>
    <cellStyle name="Note 2 7 3 3 2 2 2 2 2" xfId="41423" xr:uid="{00000000-0005-0000-0000-000051A20000}"/>
    <cellStyle name="Note 2 7 3 3 2 2 2 3" xfId="41424" xr:uid="{00000000-0005-0000-0000-000052A20000}"/>
    <cellStyle name="Note 2 7 3 3 2 2 3" xfId="41425" xr:uid="{00000000-0005-0000-0000-000053A20000}"/>
    <cellStyle name="Note 2 7 3 3 2 2 3 2" xfId="41426" xr:uid="{00000000-0005-0000-0000-000054A20000}"/>
    <cellStyle name="Note 2 7 3 3 2 2 4" xfId="41427" xr:uid="{00000000-0005-0000-0000-000055A20000}"/>
    <cellStyle name="Note 2 7 3 3 2 3" xfId="41428" xr:uid="{00000000-0005-0000-0000-000056A20000}"/>
    <cellStyle name="Note 2 7 3 3 2 3 2" xfId="41429" xr:uid="{00000000-0005-0000-0000-000057A20000}"/>
    <cellStyle name="Note 2 7 3 3 2 3 2 2" xfId="41430" xr:uid="{00000000-0005-0000-0000-000058A20000}"/>
    <cellStyle name="Note 2 7 3 3 2 3 3" xfId="41431" xr:uid="{00000000-0005-0000-0000-000059A20000}"/>
    <cellStyle name="Note 2 7 3 3 2 4" xfId="41432" xr:uid="{00000000-0005-0000-0000-00005AA20000}"/>
    <cellStyle name="Note 2 7 3 3 2 4 2" xfId="41433" xr:uid="{00000000-0005-0000-0000-00005BA20000}"/>
    <cellStyle name="Note 2 7 3 3 2 5" xfId="41434" xr:uid="{00000000-0005-0000-0000-00005CA20000}"/>
    <cellStyle name="Note 2 7 3 3 3" xfId="41435" xr:uid="{00000000-0005-0000-0000-00005DA20000}"/>
    <cellStyle name="Note 2 7 3 3 3 2" xfId="41436" xr:uid="{00000000-0005-0000-0000-00005EA20000}"/>
    <cellStyle name="Note 2 7 3 3 3 2 2" xfId="41437" xr:uid="{00000000-0005-0000-0000-00005FA20000}"/>
    <cellStyle name="Note 2 7 3 3 3 2 2 2" xfId="41438" xr:uid="{00000000-0005-0000-0000-000060A20000}"/>
    <cellStyle name="Note 2 7 3 3 3 2 3" xfId="41439" xr:uid="{00000000-0005-0000-0000-000061A20000}"/>
    <cellStyle name="Note 2 7 3 3 3 3" xfId="41440" xr:uid="{00000000-0005-0000-0000-000062A20000}"/>
    <cellStyle name="Note 2 7 3 3 3 3 2" xfId="41441" xr:uid="{00000000-0005-0000-0000-000063A20000}"/>
    <cellStyle name="Note 2 7 3 3 3 4" xfId="41442" xr:uid="{00000000-0005-0000-0000-000064A20000}"/>
    <cellStyle name="Note 2 7 3 3 4" xfId="41443" xr:uid="{00000000-0005-0000-0000-000065A20000}"/>
    <cellStyle name="Note 2 7 3 3 4 2" xfId="41444" xr:uid="{00000000-0005-0000-0000-000066A20000}"/>
    <cellStyle name="Note 2 7 3 3 4 2 2" xfId="41445" xr:uid="{00000000-0005-0000-0000-000067A20000}"/>
    <cellStyle name="Note 2 7 3 3 4 3" xfId="41446" xr:uid="{00000000-0005-0000-0000-000068A20000}"/>
    <cellStyle name="Note 2 7 3 3 5" xfId="41447" xr:uid="{00000000-0005-0000-0000-000069A20000}"/>
    <cellStyle name="Note 2 7 3 3 5 2" xfId="41448" xr:uid="{00000000-0005-0000-0000-00006AA20000}"/>
    <cellStyle name="Note 2 7 3 3 6" xfId="41449" xr:uid="{00000000-0005-0000-0000-00006BA20000}"/>
    <cellStyle name="Note 2 7 3 4" xfId="41450" xr:uid="{00000000-0005-0000-0000-00006CA20000}"/>
    <cellStyle name="Note 2 7 3 4 2" xfId="41451" xr:uid="{00000000-0005-0000-0000-00006DA20000}"/>
    <cellStyle name="Note 2 7 3 4 2 2" xfId="41452" xr:uid="{00000000-0005-0000-0000-00006EA20000}"/>
    <cellStyle name="Note 2 7 3 4 3" xfId="41453" xr:uid="{00000000-0005-0000-0000-00006FA20000}"/>
    <cellStyle name="Note 2 7 3 5" xfId="41454" xr:uid="{00000000-0005-0000-0000-000070A20000}"/>
    <cellStyle name="Note 2 7 3 5 2" xfId="41455" xr:uid="{00000000-0005-0000-0000-000071A20000}"/>
    <cellStyle name="Note 2 7 3 5 2 2" xfId="41456" xr:uid="{00000000-0005-0000-0000-000072A20000}"/>
    <cellStyle name="Note 2 7 3 5 3" xfId="41457" xr:uid="{00000000-0005-0000-0000-000073A20000}"/>
    <cellStyle name="Note 2 7 3 6" xfId="41458" xr:uid="{00000000-0005-0000-0000-000074A20000}"/>
    <cellStyle name="Note 2 7 3 6 2" xfId="41459" xr:uid="{00000000-0005-0000-0000-000075A20000}"/>
    <cellStyle name="Note 2 7 3 6 2 2" xfId="41460" xr:uid="{00000000-0005-0000-0000-000076A20000}"/>
    <cellStyle name="Note 2 7 3 6 2 2 2" xfId="41461" xr:uid="{00000000-0005-0000-0000-000077A20000}"/>
    <cellStyle name="Note 2 7 3 6 2 3" xfId="41462" xr:uid="{00000000-0005-0000-0000-000078A20000}"/>
    <cellStyle name="Note 2 7 3 6 3" xfId="41463" xr:uid="{00000000-0005-0000-0000-000079A20000}"/>
    <cellStyle name="Note 2 7 3 6 3 2" xfId="41464" xr:uid="{00000000-0005-0000-0000-00007AA20000}"/>
    <cellStyle name="Note 2 7 3 6 4" xfId="41465" xr:uid="{00000000-0005-0000-0000-00007BA20000}"/>
    <cellStyle name="Note 2 7 3 7" xfId="41466" xr:uid="{00000000-0005-0000-0000-00007CA20000}"/>
    <cellStyle name="Note 2 7 3 7 2" xfId="41467" xr:uid="{00000000-0005-0000-0000-00007DA20000}"/>
    <cellStyle name="Note 2 7 3 7 2 2" xfId="41468" xr:uid="{00000000-0005-0000-0000-00007EA20000}"/>
    <cellStyle name="Note 2 7 3 7 3" xfId="41469" xr:uid="{00000000-0005-0000-0000-00007FA20000}"/>
    <cellStyle name="Note 2 7 3 8" xfId="41470" xr:uid="{00000000-0005-0000-0000-000080A20000}"/>
    <cellStyle name="Note 2 7 3 8 2" xfId="41471" xr:uid="{00000000-0005-0000-0000-000081A20000}"/>
    <cellStyle name="Note 2 7 3 9" xfId="41472" xr:uid="{00000000-0005-0000-0000-000082A20000}"/>
    <cellStyle name="Note 2 7 4" xfId="41473" xr:uid="{00000000-0005-0000-0000-000083A20000}"/>
    <cellStyle name="Note 2 7 4 2" xfId="41474" xr:uid="{00000000-0005-0000-0000-000084A20000}"/>
    <cellStyle name="Note 2 7 4 2 2" xfId="41475" xr:uid="{00000000-0005-0000-0000-000085A20000}"/>
    <cellStyle name="Note 2 7 4 2 2 2" xfId="41476" xr:uid="{00000000-0005-0000-0000-000086A20000}"/>
    <cellStyle name="Note 2 7 4 2 2 2 2" xfId="41477" xr:uid="{00000000-0005-0000-0000-000087A20000}"/>
    <cellStyle name="Note 2 7 4 2 2 2 2 2" xfId="41478" xr:uid="{00000000-0005-0000-0000-000088A20000}"/>
    <cellStyle name="Note 2 7 4 2 2 2 3" xfId="41479" xr:uid="{00000000-0005-0000-0000-000089A20000}"/>
    <cellStyle name="Note 2 7 4 2 2 3" xfId="41480" xr:uid="{00000000-0005-0000-0000-00008AA20000}"/>
    <cellStyle name="Note 2 7 4 2 2 3 2" xfId="41481" xr:uid="{00000000-0005-0000-0000-00008BA20000}"/>
    <cellStyle name="Note 2 7 4 2 2 4" xfId="41482" xr:uid="{00000000-0005-0000-0000-00008CA20000}"/>
    <cellStyle name="Note 2 7 4 2 3" xfId="41483" xr:uid="{00000000-0005-0000-0000-00008DA20000}"/>
    <cellStyle name="Note 2 7 4 2 3 2" xfId="41484" xr:uid="{00000000-0005-0000-0000-00008EA20000}"/>
    <cellStyle name="Note 2 7 4 2 3 2 2" xfId="41485" xr:uid="{00000000-0005-0000-0000-00008FA20000}"/>
    <cellStyle name="Note 2 7 4 2 3 3" xfId="41486" xr:uid="{00000000-0005-0000-0000-000090A20000}"/>
    <cellStyle name="Note 2 7 4 2 4" xfId="41487" xr:uid="{00000000-0005-0000-0000-000091A20000}"/>
    <cellStyle name="Note 2 7 4 2 4 2" xfId="41488" xr:uid="{00000000-0005-0000-0000-000092A20000}"/>
    <cellStyle name="Note 2 7 4 2 5" xfId="41489" xr:uid="{00000000-0005-0000-0000-000093A20000}"/>
    <cellStyle name="Note 2 7 4 3" xfId="41490" xr:uid="{00000000-0005-0000-0000-000094A20000}"/>
    <cellStyle name="Note 2 7 4 3 2" xfId="41491" xr:uid="{00000000-0005-0000-0000-000095A20000}"/>
    <cellStyle name="Note 2 7 4 3 2 2" xfId="41492" xr:uid="{00000000-0005-0000-0000-000096A20000}"/>
    <cellStyle name="Note 2 7 4 3 2 2 2" xfId="41493" xr:uid="{00000000-0005-0000-0000-000097A20000}"/>
    <cellStyle name="Note 2 7 4 3 2 3" xfId="41494" xr:uid="{00000000-0005-0000-0000-000098A20000}"/>
    <cellStyle name="Note 2 7 4 3 3" xfId="41495" xr:uid="{00000000-0005-0000-0000-000099A20000}"/>
    <cellStyle name="Note 2 7 4 3 3 2" xfId="41496" xr:uid="{00000000-0005-0000-0000-00009AA20000}"/>
    <cellStyle name="Note 2 7 4 3 4" xfId="41497" xr:uid="{00000000-0005-0000-0000-00009BA20000}"/>
    <cellStyle name="Note 2 7 4 4" xfId="41498" xr:uid="{00000000-0005-0000-0000-00009CA20000}"/>
    <cellStyle name="Note 2 7 4 4 2" xfId="41499" xr:uid="{00000000-0005-0000-0000-00009DA20000}"/>
    <cellStyle name="Note 2 7 4 4 2 2" xfId="41500" xr:uid="{00000000-0005-0000-0000-00009EA20000}"/>
    <cellStyle name="Note 2 7 4 4 3" xfId="41501" xr:uid="{00000000-0005-0000-0000-00009FA20000}"/>
    <cellStyle name="Note 2 7 4 5" xfId="41502" xr:uid="{00000000-0005-0000-0000-0000A0A20000}"/>
    <cellStyle name="Note 2 7 4 5 2" xfId="41503" xr:uid="{00000000-0005-0000-0000-0000A1A20000}"/>
    <cellStyle name="Note 2 7 4 6" xfId="41504" xr:uid="{00000000-0005-0000-0000-0000A2A20000}"/>
    <cellStyle name="Note 2 7 5" xfId="41505" xr:uid="{00000000-0005-0000-0000-0000A3A20000}"/>
    <cellStyle name="Note 2 7 5 2" xfId="41506" xr:uid="{00000000-0005-0000-0000-0000A4A20000}"/>
    <cellStyle name="Note 2 7 5 2 2" xfId="41507" xr:uid="{00000000-0005-0000-0000-0000A5A20000}"/>
    <cellStyle name="Note 2 7 5 3" xfId="41508" xr:uid="{00000000-0005-0000-0000-0000A6A20000}"/>
    <cellStyle name="Note 2 7 6" xfId="41509" xr:uid="{00000000-0005-0000-0000-0000A7A20000}"/>
    <cellStyle name="Note 2 7 6 2" xfId="41510" xr:uid="{00000000-0005-0000-0000-0000A8A20000}"/>
    <cellStyle name="Note 2 7 6 2 2" xfId="41511" xr:uid="{00000000-0005-0000-0000-0000A9A20000}"/>
    <cellStyle name="Note 2 7 6 3" xfId="41512" xr:uid="{00000000-0005-0000-0000-0000AAA20000}"/>
    <cellStyle name="Note 2 7 7" xfId="41513" xr:uid="{00000000-0005-0000-0000-0000ABA20000}"/>
    <cellStyle name="Note 2 7 7 2" xfId="41514" xr:uid="{00000000-0005-0000-0000-0000ACA20000}"/>
    <cellStyle name="Note 2 7 7 2 2" xfId="41515" xr:uid="{00000000-0005-0000-0000-0000ADA20000}"/>
    <cellStyle name="Note 2 7 7 2 2 2" xfId="41516" xr:uid="{00000000-0005-0000-0000-0000AEA20000}"/>
    <cellStyle name="Note 2 7 7 2 3" xfId="41517" xr:uid="{00000000-0005-0000-0000-0000AFA20000}"/>
    <cellStyle name="Note 2 7 7 3" xfId="41518" xr:uid="{00000000-0005-0000-0000-0000B0A20000}"/>
    <cellStyle name="Note 2 7 7 3 2" xfId="41519" xr:uid="{00000000-0005-0000-0000-0000B1A20000}"/>
    <cellStyle name="Note 2 7 7 4" xfId="41520" xr:uid="{00000000-0005-0000-0000-0000B2A20000}"/>
    <cellStyle name="Note 2 7 8" xfId="41521" xr:uid="{00000000-0005-0000-0000-0000B3A20000}"/>
    <cellStyle name="Note 2 7 8 2" xfId="41522" xr:uid="{00000000-0005-0000-0000-0000B4A20000}"/>
    <cellStyle name="Note 2 7 8 2 2" xfId="41523" xr:uid="{00000000-0005-0000-0000-0000B5A20000}"/>
    <cellStyle name="Note 2 7 8 3" xfId="41524" xr:uid="{00000000-0005-0000-0000-0000B6A20000}"/>
    <cellStyle name="Note 2 7 9" xfId="41525" xr:uid="{00000000-0005-0000-0000-0000B7A20000}"/>
    <cellStyle name="Note 2 7 9 2" xfId="41526" xr:uid="{00000000-0005-0000-0000-0000B8A20000}"/>
    <cellStyle name="Note 2 8" xfId="41527" xr:uid="{00000000-0005-0000-0000-0000B9A20000}"/>
    <cellStyle name="Note 2 8 10" xfId="41528" xr:uid="{00000000-0005-0000-0000-0000BAA20000}"/>
    <cellStyle name="Note 2 8 2" xfId="41529" xr:uid="{00000000-0005-0000-0000-0000BBA20000}"/>
    <cellStyle name="Note 2 8 2 2" xfId="41530" xr:uid="{00000000-0005-0000-0000-0000BCA20000}"/>
    <cellStyle name="Note 2 8 2 2 2" xfId="41531" xr:uid="{00000000-0005-0000-0000-0000BDA20000}"/>
    <cellStyle name="Note 2 8 2 2 2 2" xfId="41532" xr:uid="{00000000-0005-0000-0000-0000BEA20000}"/>
    <cellStyle name="Note 2 8 2 2 2 2 2" xfId="41533" xr:uid="{00000000-0005-0000-0000-0000BFA20000}"/>
    <cellStyle name="Note 2 8 2 2 2 2 2 2" xfId="41534" xr:uid="{00000000-0005-0000-0000-0000C0A20000}"/>
    <cellStyle name="Note 2 8 2 2 2 2 3" xfId="41535" xr:uid="{00000000-0005-0000-0000-0000C1A20000}"/>
    <cellStyle name="Note 2 8 2 2 2 3" xfId="41536" xr:uid="{00000000-0005-0000-0000-0000C2A20000}"/>
    <cellStyle name="Note 2 8 2 2 2 3 2" xfId="41537" xr:uid="{00000000-0005-0000-0000-0000C3A20000}"/>
    <cellStyle name="Note 2 8 2 2 2 4" xfId="41538" xr:uid="{00000000-0005-0000-0000-0000C4A20000}"/>
    <cellStyle name="Note 2 8 2 2 3" xfId="41539" xr:uid="{00000000-0005-0000-0000-0000C5A20000}"/>
    <cellStyle name="Note 2 8 2 2 3 2" xfId="41540" xr:uid="{00000000-0005-0000-0000-0000C6A20000}"/>
    <cellStyle name="Note 2 8 2 2 3 2 2" xfId="41541" xr:uid="{00000000-0005-0000-0000-0000C7A20000}"/>
    <cellStyle name="Note 2 8 2 2 3 3" xfId="41542" xr:uid="{00000000-0005-0000-0000-0000C8A20000}"/>
    <cellStyle name="Note 2 8 2 2 4" xfId="41543" xr:uid="{00000000-0005-0000-0000-0000C9A20000}"/>
    <cellStyle name="Note 2 8 2 2 4 2" xfId="41544" xr:uid="{00000000-0005-0000-0000-0000CAA20000}"/>
    <cellStyle name="Note 2 8 2 2 5" xfId="41545" xr:uid="{00000000-0005-0000-0000-0000CBA20000}"/>
    <cellStyle name="Note 2 8 2 3" xfId="41546" xr:uid="{00000000-0005-0000-0000-0000CCA20000}"/>
    <cellStyle name="Note 2 8 2 3 2" xfId="41547" xr:uid="{00000000-0005-0000-0000-0000CDA20000}"/>
    <cellStyle name="Note 2 8 2 3 2 2" xfId="41548" xr:uid="{00000000-0005-0000-0000-0000CEA20000}"/>
    <cellStyle name="Note 2 8 2 3 3" xfId="41549" xr:uid="{00000000-0005-0000-0000-0000CFA20000}"/>
    <cellStyle name="Note 2 8 2 4" xfId="41550" xr:uid="{00000000-0005-0000-0000-0000D0A20000}"/>
    <cellStyle name="Note 2 8 2 4 2" xfId="41551" xr:uid="{00000000-0005-0000-0000-0000D1A20000}"/>
    <cellStyle name="Note 2 8 2 4 2 2" xfId="41552" xr:uid="{00000000-0005-0000-0000-0000D2A20000}"/>
    <cellStyle name="Note 2 8 2 4 3" xfId="41553" xr:uid="{00000000-0005-0000-0000-0000D3A20000}"/>
    <cellStyle name="Note 2 8 2 5" xfId="41554" xr:uid="{00000000-0005-0000-0000-0000D4A20000}"/>
    <cellStyle name="Note 2 8 2 5 2" xfId="41555" xr:uid="{00000000-0005-0000-0000-0000D5A20000}"/>
    <cellStyle name="Note 2 8 2 5 2 2" xfId="41556" xr:uid="{00000000-0005-0000-0000-0000D6A20000}"/>
    <cellStyle name="Note 2 8 2 5 2 2 2" xfId="41557" xr:uid="{00000000-0005-0000-0000-0000D7A20000}"/>
    <cellStyle name="Note 2 8 2 5 2 3" xfId="41558" xr:uid="{00000000-0005-0000-0000-0000D8A20000}"/>
    <cellStyle name="Note 2 8 2 5 3" xfId="41559" xr:uid="{00000000-0005-0000-0000-0000D9A20000}"/>
    <cellStyle name="Note 2 8 2 5 3 2" xfId="41560" xr:uid="{00000000-0005-0000-0000-0000DAA20000}"/>
    <cellStyle name="Note 2 8 2 5 4" xfId="41561" xr:uid="{00000000-0005-0000-0000-0000DBA20000}"/>
    <cellStyle name="Note 2 8 2 6" xfId="41562" xr:uid="{00000000-0005-0000-0000-0000DCA20000}"/>
    <cellStyle name="Note 2 8 2 6 2" xfId="41563" xr:uid="{00000000-0005-0000-0000-0000DDA20000}"/>
    <cellStyle name="Note 2 8 2 6 2 2" xfId="41564" xr:uid="{00000000-0005-0000-0000-0000DEA20000}"/>
    <cellStyle name="Note 2 8 2 6 3" xfId="41565" xr:uid="{00000000-0005-0000-0000-0000DFA20000}"/>
    <cellStyle name="Note 2 8 2 7" xfId="41566" xr:uid="{00000000-0005-0000-0000-0000E0A20000}"/>
    <cellStyle name="Note 2 8 2 7 2" xfId="41567" xr:uid="{00000000-0005-0000-0000-0000E1A20000}"/>
    <cellStyle name="Note 2 8 2 8" xfId="41568" xr:uid="{00000000-0005-0000-0000-0000E2A20000}"/>
    <cellStyle name="Note 2 8 3" xfId="41569" xr:uid="{00000000-0005-0000-0000-0000E3A20000}"/>
    <cellStyle name="Note 2 8 3 2" xfId="41570" xr:uid="{00000000-0005-0000-0000-0000E4A20000}"/>
    <cellStyle name="Note 2 8 3 2 2" xfId="41571" xr:uid="{00000000-0005-0000-0000-0000E5A20000}"/>
    <cellStyle name="Note 2 8 3 2 2 2" xfId="41572" xr:uid="{00000000-0005-0000-0000-0000E6A20000}"/>
    <cellStyle name="Note 2 8 3 2 2 2 2" xfId="41573" xr:uid="{00000000-0005-0000-0000-0000E7A20000}"/>
    <cellStyle name="Note 2 8 3 2 2 2 2 2" xfId="41574" xr:uid="{00000000-0005-0000-0000-0000E8A20000}"/>
    <cellStyle name="Note 2 8 3 2 2 2 3" xfId="41575" xr:uid="{00000000-0005-0000-0000-0000E9A20000}"/>
    <cellStyle name="Note 2 8 3 2 2 3" xfId="41576" xr:uid="{00000000-0005-0000-0000-0000EAA20000}"/>
    <cellStyle name="Note 2 8 3 2 2 3 2" xfId="41577" xr:uid="{00000000-0005-0000-0000-0000EBA20000}"/>
    <cellStyle name="Note 2 8 3 2 2 4" xfId="41578" xr:uid="{00000000-0005-0000-0000-0000ECA20000}"/>
    <cellStyle name="Note 2 8 3 2 3" xfId="41579" xr:uid="{00000000-0005-0000-0000-0000EDA20000}"/>
    <cellStyle name="Note 2 8 3 2 3 2" xfId="41580" xr:uid="{00000000-0005-0000-0000-0000EEA20000}"/>
    <cellStyle name="Note 2 8 3 2 3 2 2" xfId="41581" xr:uid="{00000000-0005-0000-0000-0000EFA20000}"/>
    <cellStyle name="Note 2 8 3 2 3 3" xfId="41582" xr:uid="{00000000-0005-0000-0000-0000F0A20000}"/>
    <cellStyle name="Note 2 8 3 2 4" xfId="41583" xr:uid="{00000000-0005-0000-0000-0000F1A20000}"/>
    <cellStyle name="Note 2 8 3 2 4 2" xfId="41584" xr:uid="{00000000-0005-0000-0000-0000F2A20000}"/>
    <cellStyle name="Note 2 8 3 2 5" xfId="41585" xr:uid="{00000000-0005-0000-0000-0000F3A20000}"/>
    <cellStyle name="Note 2 8 3 3" xfId="41586" xr:uid="{00000000-0005-0000-0000-0000F4A20000}"/>
    <cellStyle name="Note 2 8 3 3 2" xfId="41587" xr:uid="{00000000-0005-0000-0000-0000F5A20000}"/>
    <cellStyle name="Note 2 8 3 3 2 2" xfId="41588" xr:uid="{00000000-0005-0000-0000-0000F6A20000}"/>
    <cellStyle name="Note 2 8 3 3 3" xfId="41589" xr:uid="{00000000-0005-0000-0000-0000F7A20000}"/>
    <cellStyle name="Note 2 8 3 4" xfId="41590" xr:uid="{00000000-0005-0000-0000-0000F8A20000}"/>
    <cellStyle name="Note 2 8 3 4 2" xfId="41591" xr:uid="{00000000-0005-0000-0000-0000F9A20000}"/>
    <cellStyle name="Note 2 8 3 4 2 2" xfId="41592" xr:uid="{00000000-0005-0000-0000-0000FAA20000}"/>
    <cellStyle name="Note 2 8 3 4 2 2 2" xfId="41593" xr:uid="{00000000-0005-0000-0000-0000FBA20000}"/>
    <cellStyle name="Note 2 8 3 4 2 3" xfId="41594" xr:uid="{00000000-0005-0000-0000-0000FCA20000}"/>
    <cellStyle name="Note 2 8 3 4 3" xfId="41595" xr:uid="{00000000-0005-0000-0000-0000FDA20000}"/>
    <cellStyle name="Note 2 8 3 4 3 2" xfId="41596" xr:uid="{00000000-0005-0000-0000-0000FEA20000}"/>
    <cellStyle name="Note 2 8 3 4 4" xfId="41597" xr:uid="{00000000-0005-0000-0000-0000FFA20000}"/>
    <cellStyle name="Note 2 8 3 5" xfId="41598" xr:uid="{00000000-0005-0000-0000-000000A30000}"/>
    <cellStyle name="Note 2 8 3 5 2" xfId="41599" xr:uid="{00000000-0005-0000-0000-000001A30000}"/>
    <cellStyle name="Note 2 8 3 5 2 2" xfId="41600" xr:uid="{00000000-0005-0000-0000-000002A30000}"/>
    <cellStyle name="Note 2 8 3 5 3" xfId="41601" xr:uid="{00000000-0005-0000-0000-000003A30000}"/>
    <cellStyle name="Note 2 8 3 6" xfId="41602" xr:uid="{00000000-0005-0000-0000-000004A30000}"/>
    <cellStyle name="Note 2 8 3 6 2" xfId="41603" xr:uid="{00000000-0005-0000-0000-000005A30000}"/>
    <cellStyle name="Note 2 8 3 7" xfId="41604" xr:uid="{00000000-0005-0000-0000-000006A30000}"/>
    <cellStyle name="Note 2 8 4" xfId="41605" xr:uid="{00000000-0005-0000-0000-000007A30000}"/>
    <cellStyle name="Note 2 8 4 2" xfId="41606" xr:uid="{00000000-0005-0000-0000-000008A30000}"/>
    <cellStyle name="Note 2 8 4 2 2" xfId="41607" xr:uid="{00000000-0005-0000-0000-000009A30000}"/>
    <cellStyle name="Note 2 8 4 2 2 2" xfId="41608" xr:uid="{00000000-0005-0000-0000-00000AA30000}"/>
    <cellStyle name="Note 2 8 4 2 2 2 2" xfId="41609" xr:uid="{00000000-0005-0000-0000-00000BA30000}"/>
    <cellStyle name="Note 2 8 4 2 2 2 2 2" xfId="41610" xr:uid="{00000000-0005-0000-0000-00000CA30000}"/>
    <cellStyle name="Note 2 8 4 2 2 2 3" xfId="41611" xr:uid="{00000000-0005-0000-0000-00000DA30000}"/>
    <cellStyle name="Note 2 8 4 2 2 3" xfId="41612" xr:uid="{00000000-0005-0000-0000-00000EA30000}"/>
    <cellStyle name="Note 2 8 4 2 2 3 2" xfId="41613" xr:uid="{00000000-0005-0000-0000-00000FA30000}"/>
    <cellStyle name="Note 2 8 4 2 2 4" xfId="41614" xr:uid="{00000000-0005-0000-0000-000010A30000}"/>
    <cellStyle name="Note 2 8 4 2 3" xfId="41615" xr:uid="{00000000-0005-0000-0000-000011A30000}"/>
    <cellStyle name="Note 2 8 4 2 3 2" xfId="41616" xr:uid="{00000000-0005-0000-0000-000012A30000}"/>
    <cellStyle name="Note 2 8 4 2 3 2 2" xfId="41617" xr:uid="{00000000-0005-0000-0000-000013A30000}"/>
    <cellStyle name="Note 2 8 4 2 3 3" xfId="41618" xr:uid="{00000000-0005-0000-0000-000014A30000}"/>
    <cellStyle name="Note 2 8 4 2 4" xfId="41619" xr:uid="{00000000-0005-0000-0000-000015A30000}"/>
    <cellStyle name="Note 2 8 4 2 4 2" xfId="41620" xr:uid="{00000000-0005-0000-0000-000016A30000}"/>
    <cellStyle name="Note 2 8 4 2 5" xfId="41621" xr:uid="{00000000-0005-0000-0000-000017A30000}"/>
    <cellStyle name="Note 2 8 4 3" xfId="41622" xr:uid="{00000000-0005-0000-0000-000018A30000}"/>
    <cellStyle name="Note 2 8 4 3 2" xfId="41623" xr:uid="{00000000-0005-0000-0000-000019A30000}"/>
    <cellStyle name="Note 2 8 4 3 2 2" xfId="41624" xr:uid="{00000000-0005-0000-0000-00001AA30000}"/>
    <cellStyle name="Note 2 8 4 3 2 2 2" xfId="41625" xr:uid="{00000000-0005-0000-0000-00001BA30000}"/>
    <cellStyle name="Note 2 8 4 3 2 3" xfId="41626" xr:uid="{00000000-0005-0000-0000-00001CA30000}"/>
    <cellStyle name="Note 2 8 4 3 3" xfId="41627" xr:uid="{00000000-0005-0000-0000-00001DA30000}"/>
    <cellStyle name="Note 2 8 4 3 3 2" xfId="41628" xr:uid="{00000000-0005-0000-0000-00001EA30000}"/>
    <cellStyle name="Note 2 8 4 3 4" xfId="41629" xr:uid="{00000000-0005-0000-0000-00001FA30000}"/>
    <cellStyle name="Note 2 8 4 4" xfId="41630" xr:uid="{00000000-0005-0000-0000-000020A30000}"/>
    <cellStyle name="Note 2 8 4 4 2" xfId="41631" xr:uid="{00000000-0005-0000-0000-000021A30000}"/>
    <cellStyle name="Note 2 8 4 4 2 2" xfId="41632" xr:uid="{00000000-0005-0000-0000-000022A30000}"/>
    <cellStyle name="Note 2 8 4 4 3" xfId="41633" xr:uid="{00000000-0005-0000-0000-000023A30000}"/>
    <cellStyle name="Note 2 8 4 5" xfId="41634" xr:uid="{00000000-0005-0000-0000-000024A30000}"/>
    <cellStyle name="Note 2 8 4 5 2" xfId="41635" xr:uid="{00000000-0005-0000-0000-000025A30000}"/>
    <cellStyle name="Note 2 8 4 6" xfId="41636" xr:uid="{00000000-0005-0000-0000-000026A30000}"/>
    <cellStyle name="Note 2 8 5" xfId="41637" xr:uid="{00000000-0005-0000-0000-000027A30000}"/>
    <cellStyle name="Note 2 8 5 2" xfId="41638" xr:uid="{00000000-0005-0000-0000-000028A30000}"/>
    <cellStyle name="Note 2 8 5 2 2" xfId="41639" xr:uid="{00000000-0005-0000-0000-000029A30000}"/>
    <cellStyle name="Note 2 8 5 3" xfId="41640" xr:uid="{00000000-0005-0000-0000-00002AA30000}"/>
    <cellStyle name="Note 2 8 6" xfId="41641" xr:uid="{00000000-0005-0000-0000-00002BA30000}"/>
    <cellStyle name="Note 2 8 6 2" xfId="41642" xr:uid="{00000000-0005-0000-0000-00002CA30000}"/>
    <cellStyle name="Note 2 8 6 2 2" xfId="41643" xr:uid="{00000000-0005-0000-0000-00002DA30000}"/>
    <cellStyle name="Note 2 8 6 3" xfId="41644" xr:uid="{00000000-0005-0000-0000-00002EA30000}"/>
    <cellStyle name="Note 2 8 7" xfId="41645" xr:uid="{00000000-0005-0000-0000-00002FA30000}"/>
    <cellStyle name="Note 2 8 7 2" xfId="41646" xr:uid="{00000000-0005-0000-0000-000030A30000}"/>
    <cellStyle name="Note 2 8 7 2 2" xfId="41647" xr:uid="{00000000-0005-0000-0000-000031A30000}"/>
    <cellStyle name="Note 2 8 7 2 2 2" xfId="41648" xr:uid="{00000000-0005-0000-0000-000032A30000}"/>
    <cellStyle name="Note 2 8 7 2 3" xfId="41649" xr:uid="{00000000-0005-0000-0000-000033A30000}"/>
    <cellStyle name="Note 2 8 7 3" xfId="41650" xr:uid="{00000000-0005-0000-0000-000034A30000}"/>
    <cellStyle name="Note 2 8 7 3 2" xfId="41651" xr:uid="{00000000-0005-0000-0000-000035A30000}"/>
    <cellStyle name="Note 2 8 7 4" xfId="41652" xr:uid="{00000000-0005-0000-0000-000036A30000}"/>
    <cellStyle name="Note 2 8 8" xfId="41653" xr:uid="{00000000-0005-0000-0000-000037A30000}"/>
    <cellStyle name="Note 2 8 8 2" xfId="41654" xr:uid="{00000000-0005-0000-0000-000038A30000}"/>
    <cellStyle name="Note 2 8 8 2 2" xfId="41655" xr:uid="{00000000-0005-0000-0000-000039A30000}"/>
    <cellStyle name="Note 2 8 8 3" xfId="41656" xr:uid="{00000000-0005-0000-0000-00003AA30000}"/>
    <cellStyle name="Note 2 8 9" xfId="41657" xr:uid="{00000000-0005-0000-0000-00003BA30000}"/>
    <cellStyle name="Note 2 8 9 2" xfId="41658" xr:uid="{00000000-0005-0000-0000-00003CA30000}"/>
    <cellStyle name="Note 2 9" xfId="41659" xr:uid="{00000000-0005-0000-0000-00003DA30000}"/>
    <cellStyle name="Note 2 9 2" xfId="41660" xr:uid="{00000000-0005-0000-0000-00003EA30000}"/>
    <cellStyle name="Note 2 9 2 2" xfId="41661" xr:uid="{00000000-0005-0000-0000-00003FA30000}"/>
    <cellStyle name="Note 2 9 2 2 2" xfId="41662" xr:uid="{00000000-0005-0000-0000-000040A30000}"/>
    <cellStyle name="Note 2 9 2 2 2 2" xfId="41663" xr:uid="{00000000-0005-0000-0000-000041A30000}"/>
    <cellStyle name="Note 2 9 2 2 2 2 2" xfId="41664" xr:uid="{00000000-0005-0000-0000-000042A30000}"/>
    <cellStyle name="Note 2 9 2 2 2 3" xfId="41665" xr:uid="{00000000-0005-0000-0000-000043A30000}"/>
    <cellStyle name="Note 2 9 2 2 3" xfId="41666" xr:uid="{00000000-0005-0000-0000-000044A30000}"/>
    <cellStyle name="Note 2 9 2 2 3 2" xfId="41667" xr:uid="{00000000-0005-0000-0000-000045A30000}"/>
    <cellStyle name="Note 2 9 2 2 4" xfId="41668" xr:uid="{00000000-0005-0000-0000-000046A30000}"/>
    <cellStyle name="Note 2 9 2 3" xfId="41669" xr:uid="{00000000-0005-0000-0000-000047A30000}"/>
    <cellStyle name="Note 2 9 2 3 2" xfId="41670" xr:uid="{00000000-0005-0000-0000-000048A30000}"/>
    <cellStyle name="Note 2 9 2 3 2 2" xfId="41671" xr:uid="{00000000-0005-0000-0000-000049A30000}"/>
    <cellStyle name="Note 2 9 2 3 3" xfId="41672" xr:uid="{00000000-0005-0000-0000-00004AA30000}"/>
    <cellStyle name="Note 2 9 2 4" xfId="41673" xr:uid="{00000000-0005-0000-0000-00004BA30000}"/>
    <cellStyle name="Note 2 9 2 4 2" xfId="41674" xr:uid="{00000000-0005-0000-0000-00004CA30000}"/>
    <cellStyle name="Note 2 9 2 5" xfId="41675" xr:uid="{00000000-0005-0000-0000-00004DA30000}"/>
    <cellStyle name="Note 2 9 3" xfId="41676" xr:uid="{00000000-0005-0000-0000-00004EA30000}"/>
    <cellStyle name="Note 2 9 3 2" xfId="41677" xr:uid="{00000000-0005-0000-0000-00004FA30000}"/>
    <cellStyle name="Note 2 9 3 2 2" xfId="41678" xr:uid="{00000000-0005-0000-0000-000050A30000}"/>
    <cellStyle name="Note 2 9 3 3" xfId="41679" xr:uid="{00000000-0005-0000-0000-000051A30000}"/>
    <cellStyle name="Note 2 9 4" xfId="41680" xr:uid="{00000000-0005-0000-0000-000052A30000}"/>
    <cellStyle name="Note 2 9 4 2" xfId="41681" xr:uid="{00000000-0005-0000-0000-000053A30000}"/>
    <cellStyle name="Note 2 9 4 2 2" xfId="41682" xr:uid="{00000000-0005-0000-0000-000054A30000}"/>
    <cellStyle name="Note 2 9 4 3" xfId="41683" xr:uid="{00000000-0005-0000-0000-000055A30000}"/>
    <cellStyle name="Note 2 9 5" xfId="41684" xr:uid="{00000000-0005-0000-0000-000056A30000}"/>
    <cellStyle name="Note 2 9 5 2" xfId="41685" xr:uid="{00000000-0005-0000-0000-000057A30000}"/>
    <cellStyle name="Note 2 9 5 2 2" xfId="41686" xr:uid="{00000000-0005-0000-0000-000058A30000}"/>
    <cellStyle name="Note 2 9 5 2 2 2" xfId="41687" xr:uid="{00000000-0005-0000-0000-000059A30000}"/>
    <cellStyle name="Note 2 9 5 2 3" xfId="41688" xr:uid="{00000000-0005-0000-0000-00005AA30000}"/>
    <cellStyle name="Note 2 9 5 3" xfId="41689" xr:uid="{00000000-0005-0000-0000-00005BA30000}"/>
    <cellStyle name="Note 2 9 5 3 2" xfId="41690" xr:uid="{00000000-0005-0000-0000-00005CA30000}"/>
    <cellStyle name="Note 2 9 5 4" xfId="41691" xr:uid="{00000000-0005-0000-0000-00005DA30000}"/>
    <cellStyle name="Note 2 9 6" xfId="41692" xr:uid="{00000000-0005-0000-0000-00005EA30000}"/>
    <cellStyle name="Note 2 9 6 2" xfId="41693" xr:uid="{00000000-0005-0000-0000-00005FA30000}"/>
    <cellStyle name="Note 2 9 6 2 2" xfId="41694" xr:uid="{00000000-0005-0000-0000-000060A30000}"/>
    <cellStyle name="Note 2 9 6 3" xfId="41695" xr:uid="{00000000-0005-0000-0000-000061A30000}"/>
    <cellStyle name="Note 2 9 7" xfId="41696" xr:uid="{00000000-0005-0000-0000-000062A30000}"/>
    <cellStyle name="Note 2 9 7 2" xfId="41697" xr:uid="{00000000-0005-0000-0000-000063A30000}"/>
    <cellStyle name="Note 2 9 8" xfId="41698" xr:uid="{00000000-0005-0000-0000-000064A30000}"/>
    <cellStyle name="Note 3" xfId="41699" xr:uid="{00000000-0005-0000-0000-000065A30000}"/>
    <cellStyle name="Note 3 10" xfId="41700" xr:uid="{00000000-0005-0000-0000-000066A30000}"/>
    <cellStyle name="Note 3 10 2" xfId="41701" xr:uid="{00000000-0005-0000-0000-000067A30000}"/>
    <cellStyle name="Note 3 10 2 2" xfId="41702" xr:uid="{00000000-0005-0000-0000-000068A30000}"/>
    <cellStyle name="Note 3 10 3" xfId="41703" xr:uid="{00000000-0005-0000-0000-000069A30000}"/>
    <cellStyle name="Note 3 11" xfId="41704" xr:uid="{00000000-0005-0000-0000-00006AA30000}"/>
    <cellStyle name="Note 3 11 2" xfId="41705" xr:uid="{00000000-0005-0000-0000-00006BA30000}"/>
    <cellStyle name="Note 3 12" xfId="41706" xr:uid="{00000000-0005-0000-0000-00006CA30000}"/>
    <cellStyle name="Note 3 13" xfId="41707" xr:uid="{00000000-0005-0000-0000-00006DA30000}"/>
    <cellStyle name="Note 3 2" xfId="41708" xr:uid="{00000000-0005-0000-0000-00006EA30000}"/>
    <cellStyle name="Note 3 2 2" xfId="41709" xr:uid="{00000000-0005-0000-0000-00006FA30000}"/>
    <cellStyle name="Note 3 2 2 2" xfId="41710" xr:uid="{00000000-0005-0000-0000-000070A30000}"/>
    <cellStyle name="Note 3 2 2 2 2" xfId="41711" xr:uid="{00000000-0005-0000-0000-000071A30000}"/>
    <cellStyle name="Note 3 2 2 2 2 2" xfId="41712" xr:uid="{00000000-0005-0000-0000-000072A30000}"/>
    <cellStyle name="Note 3 2 2 2 3" xfId="41713" xr:uid="{00000000-0005-0000-0000-000073A30000}"/>
    <cellStyle name="Note 3 2 2 3" xfId="41714" xr:uid="{00000000-0005-0000-0000-000074A30000}"/>
    <cellStyle name="Note 3 2 2 3 2" xfId="41715" xr:uid="{00000000-0005-0000-0000-000075A30000}"/>
    <cellStyle name="Note 3 2 2 3 2 2" xfId="41716" xr:uid="{00000000-0005-0000-0000-000076A30000}"/>
    <cellStyle name="Note 3 2 2 3 3" xfId="41717" xr:uid="{00000000-0005-0000-0000-000077A30000}"/>
    <cellStyle name="Note 3 2 2 4" xfId="41718" xr:uid="{00000000-0005-0000-0000-000078A30000}"/>
    <cellStyle name="Note 3 2 2 4 2" xfId="41719" xr:uid="{00000000-0005-0000-0000-000079A30000}"/>
    <cellStyle name="Note 3 2 2 4 2 2" xfId="41720" xr:uid="{00000000-0005-0000-0000-00007AA30000}"/>
    <cellStyle name="Note 3 2 2 4 3" xfId="41721" xr:uid="{00000000-0005-0000-0000-00007BA30000}"/>
    <cellStyle name="Note 3 2 2 5" xfId="41722" xr:uid="{00000000-0005-0000-0000-00007CA30000}"/>
    <cellStyle name="Note 3 2 2 5 2" xfId="41723" xr:uid="{00000000-0005-0000-0000-00007DA30000}"/>
    <cellStyle name="Note 3 2 2 6" xfId="41724" xr:uid="{00000000-0005-0000-0000-00007EA30000}"/>
    <cellStyle name="Note 3 2 3" xfId="41725" xr:uid="{00000000-0005-0000-0000-00007FA30000}"/>
    <cellStyle name="Note 3 2 3 2" xfId="41726" xr:uid="{00000000-0005-0000-0000-000080A30000}"/>
    <cellStyle name="Note 3 2 3 2 2" xfId="41727" xr:uid="{00000000-0005-0000-0000-000081A30000}"/>
    <cellStyle name="Note 3 2 3 2 2 2" xfId="41728" xr:uid="{00000000-0005-0000-0000-000082A30000}"/>
    <cellStyle name="Note 3 2 3 2 2 2 2" xfId="41729" xr:uid="{00000000-0005-0000-0000-000083A30000}"/>
    <cellStyle name="Note 3 2 3 2 2 3" xfId="41730" xr:uid="{00000000-0005-0000-0000-000084A30000}"/>
    <cellStyle name="Note 3 2 3 2 3" xfId="41731" xr:uid="{00000000-0005-0000-0000-000085A30000}"/>
    <cellStyle name="Note 3 2 3 2 3 2" xfId="41732" xr:uid="{00000000-0005-0000-0000-000086A30000}"/>
    <cellStyle name="Note 3 2 3 2 3 2 2" xfId="41733" xr:uid="{00000000-0005-0000-0000-000087A30000}"/>
    <cellStyle name="Note 3 2 3 2 3 3" xfId="41734" xr:uid="{00000000-0005-0000-0000-000088A30000}"/>
    <cellStyle name="Note 3 2 3 2 4" xfId="41735" xr:uid="{00000000-0005-0000-0000-000089A30000}"/>
    <cellStyle name="Note 3 2 3 2 4 2" xfId="41736" xr:uid="{00000000-0005-0000-0000-00008AA30000}"/>
    <cellStyle name="Note 3 2 3 2 5" xfId="41737" xr:uid="{00000000-0005-0000-0000-00008BA30000}"/>
    <cellStyle name="Note 3 2 3 3" xfId="41738" xr:uid="{00000000-0005-0000-0000-00008CA30000}"/>
    <cellStyle name="Note 3 2 3 3 2" xfId="41739" xr:uid="{00000000-0005-0000-0000-00008DA30000}"/>
    <cellStyle name="Note 3 2 3 3 2 2" xfId="41740" xr:uid="{00000000-0005-0000-0000-00008EA30000}"/>
    <cellStyle name="Note 3 2 3 3 2 2 2" xfId="41741" xr:uid="{00000000-0005-0000-0000-00008FA30000}"/>
    <cellStyle name="Note 3 2 3 3 2 3" xfId="41742" xr:uid="{00000000-0005-0000-0000-000090A30000}"/>
    <cellStyle name="Note 3 2 3 3 3" xfId="41743" xr:uid="{00000000-0005-0000-0000-000091A30000}"/>
    <cellStyle name="Note 3 2 3 3 3 2" xfId="41744" xr:uid="{00000000-0005-0000-0000-000092A30000}"/>
    <cellStyle name="Note 3 2 3 3 4" xfId="41745" xr:uid="{00000000-0005-0000-0000-000093A30000}"/>
    <cellStyle name="Note 3 2 3 4" xfId="41746" xr:uid="{00000000-0005-0000-0000-000094A30000}"/>
    <cellStyle name="Note 3 2 3 4 2" xfId="41747" xr:uid="{00000000-0005-0000-0000-000095A30000}"/>
    <cellStyle name="Note 3 2 3 4 2 2" xfId="41748" xr:uid="{00000000-0005-0000-0000-000096A30000}"/>
    <cellStyle name="Note 3 2 3 4 3" xfId="41749" xr:uid="{00000000-0005-0000-0000-000097A30000}"/>
    <cellStyle name="Note 3 2 3 5" xfId="41750" xr:uid="{00000000-0005-0000-0000-000098A30000}"/>
    <cellStyle name="Note 3 2 3 5 2" xfId="41751" xr:uid="{00000000-0005-0000-0000-000099A30000}"/>
    <cellStyle name="Note 3 2 3 5 2 2" xfId="41752" xr:uid="{00000000-0005-0000-0000-00009AA30000}"/>
    <cellStyle name="Note 3 2 3 5 3" xfId="41753" xr:uid="{00000000-0005-0000-0000-00009BA30000}"/>
    <cellStyle name="Note 3 2 3 6" xfId="41754" xr:uid="{00000000-0005-0000-0000-00009CA30000}"/>
    <cellStyle name="Note 3 2 3 6 2" xfId="41755" xr:uid="{00000000-0005-0000-0000-00009DA30000}"/>
    <cellStyle name="Note 3 2 3 7" xfId="41756" xr:uid="{00000000-0005-0000-0000-00009EA30000}"/>
    <cellStyle name="Note 3 2 4" xfId="41757" xr:uid="{00000000-0005-0000-0000-00009FA30000}"/>
    <cellStyle name="Note 3 2 4 2" xfId="41758" xr:uid="{00000000-0005-0000-0000-0000A0A30000}"/>
    <cellStyle name="Note 3 2 4 2 2" xfId="41759" xr:uid="{00000000-0005-0000-0000-0000A1A30000}"/>
    <cellStyle name="Note 3 2 4 2 2 2" xfId="41760" xr:uid="{00000000-0005-0000-0000-0000A2A30000}"/>
    <cellStyle name="Note 3 2 4 2 3" xfId="41761" xr:uid="{00000000-0005-0000-0000-0000A3A30000}"/>
    <cellStyle name="Note 3 2 4 3" xfId="41762" xr:uid="{00000000-0005-0000-0000-0000A4A30000}"/>
    <cellStyle name="Note 3 2 4 3 2" xfId="41763" xr:uid="{00000000-0005-0000-0000-0000A5A30000}"/>
    <cellStyle name="Note 3 2 4 4" xfId="41764" xr:uid="{00000000-0005-0000-0000-0000A6A30000}"/>
    <cellStyle name="Note 3 2 5" xfId="41765" xr:uid="{00000000-0005-0000-0000-0000A7A30000}"/>
    <cellStyle name="Note 3 2 5 2" xfId="41766" xr:uid="{00000000-0005-0000-0000-0000A8A30000}"/>
    <cellStyle name="Note 3 2 5 2 2" xfId="41767" xr:uid="{00000000-0005-0000-0000-0000A9A30000}"/>
    <cellStyle name="Note 3 2 5 3" xfId="41768" xr:uid="{00000000-0005-0000-0000-0000AAA30000}"/>
    <cellStyle name="Note 3 2 6" xfId="41769" xr:uid="{00000000-0005-0000-0000-0000ABA30000}"/>
    <cellStyle name="Note 3 2 6 2" xfId="41770" xr:uid="{00000000-0005-0000-0000-0000ACA30000}"/>
    <cellStyle name="Note 3 2 6 2 2" xfId="41771" xr:uid="{00000000-0005-0000-0000-0000ADA30000}"/>
    <cellStyle name="Note 3 2 6 3" xfId="41772" xr:uid="{00000000-0005-0000-0000-0000AEA30000}"/>
    <cellStyle name="Note 3 2 7" xfId="41773" xr:uid="{00000000-0005-0000-0000-0000AFA30000}"/>
    <cellStyle name="Note 3 2 7 2" xfId="41774" xr:uid="{00000000-0005-0000-0000-0000B0A30000}"/>
    <cellStyle name="Note 3 2 8" xfId="41775" xr:uid="{00000000-0005-0000-0000-0000B1A30000}"/>
    <cellStyle name="Note 3 3" xfId="41776" xr:uid="{00000000-0005-0000-0000-0000B2A30000}"/>
    <cellStyle name="Note 3 3 2" xfId="41777" xr:uid="{00000000-0005-0000-0000-0000B3A30000}"/>
    <cellStyle name="Note 3 3 2 2" xfId="41778" xr:uid="{00000000-0005-0000-0000-0000B4A30000}"/>
    <cellStyle name="Note 3 3 2 2 2" xfId="41779" xr:uid="{00000000-0005-0000-0000-0000B5A30000}"/>
    <cellStyle name="Note 3 3 2 3" xfId="41780" xr:uid="{00000000-0005-0000-0000-0000B6A30000}"/>
    <cellStyle name="Note 3 3 2 3 2" xfId="41781" xr:uid="{00000000-0005-0000-0000-0000B7A30000}"/>
    <cellStyle name="Note 3 3 2 3 2 2" xfId="41782" xr:uid="{00000000-0005-0000-0000-0000B8A30000}"/>
    <cellStyle name="Note 3 3 2 3 3" xfId="41783" xr:uid="{00000000-0005-0000-0000-0000B9A30000}"/>
    <cellStyle name="Note 3 3 2 4" xfId="41784" xr:uid="{00000000-0005-0000-0000-0000BAA30000}"/>
    <cellStyle name="Note 3 3 2 4 2" xfId="41785" xr:uid="{00000000-0005-0000-0000-0000BBA30000}"/>
    <cellStyle name="Note 3 3 2 4 2 2" xfId="41786" xr:uid="{00000000-0005-0000-0000-0000BCA30000}"/>
    <cellStyle name="Note 3 3 2 4 3" xfId="41787" xr:uid="{00000000-0005-0000-0000-0000BDA30000}"/>
    <cellStyle name="Note 3 3 2 5" xfId="41788" xr:uid="{00000000-0005-0000-0000-0000BEA30000}"/>
    <cellStyle name="Note 3 3 3" xfId="41789" xr:uid="{00000000-0005-0000-0000-0000BFA30000}"/>
    <cellStyle name="Note 3 3 3 2" xfId="41790" xr:uid="{00000000-0005-0000-0000-0000C0A30000}"/>
    <cellStyle name="Note 3 3 3 2 2" xfId="41791" xr:uid="{00000000-0005-0000-0000-0000C1A30000}"/>
    <cellStyle name="Note 3 3 3 2 2 2" xfId="41792" xr:uid="{00000000-0005-0000-0000-0000C2A30000}"/>
    <cellStyle name="Note 3 3 3 2 3" xfId="41793" xr:uid="{00000000-0005-0000-0000-0000C3A30000}"/>
    <cellStyle name="Note 3 3 3 2 3 2" xfId="41794" xr:uid="{00000000-0005-0000-0000-0000C4A30000}"/>
    <cellStyle name="Note 3 3 3 2 3 2 2" xfId="41795" xr:uid="{00000000-0005-0000-0000-0000C5A30000}"/>
    <cellStyle name="Note 3 3 3 2 3 3" xfId="41796" xr:uid="{00000000-0005-0000-0000-0000C6A30000}"/>
    <cellStyle name="Note 3 3 3 2 4" xfId="41797" xr:uid="{00000000-0005-0000-0000-0000C7A30000}"/>
    <cellStyle name="Note 3 3 3 3" xfId="41798" xr:uid="{00000000-0005-0000-0000-0000C8A30000}"/>
    <cellStyle name="Note 3 3 3 3 2" xfId="41799" xr:uid="{00000000-0005-0000-0000-0000C9A30000}"/>
    <cellStyle name="Note 3 3 3 3 2 2" xfId="41800" xr:uid="{00000000-0005-0000-0000-0000CAA30000}"/>
    <cellStyle name="Note 3 3 3 3 3" xfId="41801" xr:uid="{00000000-0005-0000-0000-0000CBA30000}"/>
    <cellStyle name="Note 3 3 3 4" xfId="41802" xr:uid="{00000000-0005-0000-0000-0000CCA30000}"/>
    <cellStyle name="Note 3 3 3 4 2" xfId="41803" xr:uid="{00000000-0005-0000-0000-0000CDA30000}"/>
    <cellStyle name="Note 3 3 3 4 2 2" xfId="41804" xr:uid="{00000000-0005-0000-0000-0000CEA30000}"/>
    <cellStyle name="Note 3 3 3 4 3" xfId="41805" xr:uid="{00000000-0005-0000-0000-0000CFA30000}"/>
    <cellStyle name="Note 3 3 3 5" xfId="41806" xr:uid="{00000000-0005-0000-0000-0000D0A30000}"/>
    <cellStyle name="Note 3 3 3 5 2" xfId="41807" xr:uid="{00000000-0005-0000-0000-0000D1A30000}"/>
    <cellStyle name="Note 3 3 3 5 2 2" xfId="41808" xr:uid="{00000000-0005-0000-0000-0000D2A30000}"/>
    <cellStyle name="Note 3 3 3 5 3" xfId="41809" xr:uid="{00000000-0005-0000-0000-0000D3A30000}"/>
    <cellStyle name="Note 3 3 3 6" xfId="41810" xr:uid="{00000000-0005-0000-0000-0000D4A30000}"/>
    <cellStyle name="Note 3 3 4" xfId="41811" xr:uid="{00000000-0005-0000-0000-0000D5A30000}"/>
    <cellStyle name="Note 3 3 4 2" xfId="41812" xr:uid="{00000000-0005-0000-0000-0000D6A30000}"/>
    <cellStyle name="Note 3 3 4 2 2" xfId="41813" xr:uid="{00000000-0005-0000-0000-0000D7A30000}"/>
    <cellStyle name="Note 3 3 4 3" xfId="41814" xr:uid="{00000000-0005-0000-0000-0000D8A30000}"/>
    <cellStyle name="Note 3 3 5" xfId="41815" xr:uid="{00000000-0005-0000-0000-0000D9A30000}"/>
    <cellStyle name="Note 3 3 5 2" xfId="41816" xr:uid="{00000000-0005-0000-0000-0000DAA30000}"/>
    <cellStyle name="Note 3 3 5 2 2" xfId="41817" xr:uid="{00000000-0005-0000-0000-0000DBA30000}"/>
    <cellStyle name="Note 3 3 5 3" xfId="41818" xr:uid="{00000000-0005-0000-0000-0000DCA30000}"/>
    <cellStyle name="Note 3 3 6" xfId="41819" xr:uid="{00000000-0005-0000-0000-0000DDA30000}"/>
    <cellStyle name="Note 3 3 6 2" xfId="41820" xr:uid="{00000000-0005-0000-0000-0000DEA30000}"/>
    <cellStyle name="Note 3 3 6 2 2" xfId="41821" xr:uid="{00000000-0005-0000-0000-0000DFA30000}"/>
    <cellStyle name="Note 3 3 6 3" xfId="41822" xr:uid="{00000000-0005-0000-0000-0000E0A30000}"/>
    <cellStyle name="Note 3 3 7" xfId="41823" xr:uid="{00000000-0005-0000-0000-0000E1A30000}"/>
    <cellStyle name="Note 3 4" xfId="41824" xr:uid="{00000000-0005-0000-0000-0000E2A30000}"/>
    <cellStyle name="Note 3 4 2" xfId="41825" xr:uid="{00000000-0005-0000-0000-0000E3A30000}"/>
    <cellStyle name="Note 3 4 2 2" xfId="41826" xr:uid="{00000000-0005-0000-0000-0000E4A30000}"/>
    <cellStyle name="Note 3 4 2 2 2" xfId="41827" xr:uid="{00000000-0005-0000-0000-0000E5A30000}"/>
    <cellStyle name="Note 3 4 2 2 2 2" xfId="41828" xr:uid="{00000000-0005-0000-0000-0000E6A30000}"/>
    <cellStyle name="Note 3 4 2 2 2 2 2" xfId="41829" xr:uid="{00000000-0005-0000-0000-0000E7A30000}"/>
    <cellStyle name="Note 3 4 2 2 2 3" xfId="41830" xr:uid="{00000000-0005-0000-0000-0000E8A30000}"/>
    <cellStyle name="Note 3 4 2 2 3" xfId="41831" xr:uid="{00000000-0005-0000-0000-0000E9A30000}"/>
    <cellStyle name="Note 3 4 2 2 3 2" xfId="41832" xr:uid="{00000000-0005-0000-0000-0000EAA30000}"/>
    <cellStyle name="Note 3 4 2 2 4" xfId="41833" xr:uid="{00000000-0005-0000-0000-0000EBA30000}"/>
    <cellStyle name="Note 3 4 2 3" xfId="41834" xr:uid="{00000000-0005-0000-0000-0000ECA30000}"/>
    <cellStyle name="Note 3 4 2 3 2" xfId="41835" xr:uid="{00000000-0005-0000-0000-0000EDA30000}"/>
    <cellStyle name="Note 3 4 2 3 2 2" xfId="41836" xr:uid="{00000000-0005-0000-0000-0000EEA30000}"/>
    <cellStyle name="Note 3 4 2 3 3" xfId="41837" xr:uid="{00000000-0005-0000-0000-0000EFA30000}"/>
    <cellStyle name="Note 3 4 2 4" xfId="41838" xr:uid="{00000000-0005-0000-0000-0000F0A30000}"/>
    <cellStyle name="Note 3 4 2 4 2" xfId="41839" xr:uid="{00000000-0005-0000-0000-0000F1A30000}"/>
    <cellStyle name="Note 3 4 2 5" xfId="41840" xr:uid="{00000000-0005-0000-0000-0000F2A30000}"/>
    <cellStyle name="Note 3 4 3" xfId="41841" xr:uid="{00000000-0005-0000-0000-0000F3A30000}"/>
    <cellStyle name="Note 3 4 3 2" xfId="41842" xr:uid="{00000000-0005-0000-0000-0000F4A30000}"/>
    <cellStyle name="Note 3 4 3 2 2" xfId="41843" xr:uid="{00000000-0005-0000-0000-0000F5A30000}"/>
    <cellStyle name="Note 3 4 3 3" xfId="41844" xr:uid="{00000000-0005-0000-0000-0000F6A30000}"/>
    <cellStyle name="Note 3 4 4" xfId="41845" xr:uid="{00000000-0005-0000-0000-0000F7A30000}"/>
    <cellStyle name="Note 3 4 4 2" xfId="41846" xr:uid="{00000000-0005-0000-0000-0000F8A30000}"/>
    <cellStyle name="Note 3 4 4 2 2" xfId="41847" xr:uid="{00000000-0005-0000-0000-0000F9A30000}"/>
    <cellStyle name="Note 3 4 4 3" xfId="41848" xr:uid="{00000000-0005-0000-0000-0000FAA30000}"/>
    <cellStyle name="Note 3 4 5" xfId="41849" xr:uid="{00000000-0005-0000-0000-0000FBA30000}"/>
    <cellStyle name="Note 3 4 5 2" xfId="41850" xr:uid="{00000000-0005-0000-0000-0000FCA30000}"/>
    <cellStyle name="Note 3 4 5 2 2" xfId="41851" xr:uid="{00000000-0005-0000-0000-0000FDA30000}"/>
    <cellStyle name="Note 3 4 5 2 2 2" xfId="41852" xr:uid="{00000000-0005-0000-0000-0000FEA30000}"/>
    <cellStyle name="Note 3 4 5 2 3" xfId="41853" xr:uid="{00000000-0005-0000-0000-0000FFA30000}"/>
    <cellStyle name="Note 3 4 5 3" xfId="41854" xr:uid="{00000000-0005-0000-0000-000000A40000}"/>
    <cellStyle name="Note 3 4 5 3 2" xfId="41855" xr:uid="{00000000-0005-0000-0000-000001A40000}"/>
    <cellStyle name="Note 3 4 5 4" xfId="41856" xr:uid="{00000000-0005-0000-0000-000002A40000}"/>
    <cellStyle name="Note 3 4 6" xfId="41857" xr:uid="{00000000-0005-0000-0000-000003A40000}"/>
    <cellStyle name="Note 3 4 6 2" xfId="41858" xr:uid="{00000000-0005-0000-0000-000004A40000}"/>
    <cellStyle name="Note 3 4 6 2 2" xfId="41859" xr:uid="{00000000-0005-0000-0000-000005A40000}"/>
    <cellStyle name="Note 3 4 6 3" xfId="41860" xr:uid="{00000000-0005-0000-0000-000006A40000}"/>
    <cellStyle name="Note 3 4 7" xfId="41861" xr:uid="{00000000-0005-0000-0000-000007A40000}"/>
    <cellStyle name="Note 3 4 7 2" xfId="41862" xr:uid="{00000000-0005-0000-0000-000008A40000}"/>
    <cellStyle name="Note 3 4 8" xfId="41863" xr:uid="{00000000-0005-0000-0000-000009A40000}"/>
    <cellStyle name="Note 3 5" xfId="41864" xr:uid="{00000000-0005-0000-0000-00000AA40000}"/>
    <cellStyle name="Note 3 5 2" xfId="41865" xr:uid="{00000000-0005-0000-0000-00000BA40000}"/>
    <cellStyle name="Note 3 5 2 2" xfId="41866" xr:uid="{00000000-0005-0000-0000-00000CA40000}"/>
    <cellStyle name="Note 3 5 2 2 2" xfId="41867" xr:uid="{00000000-0005-0000-0000-00000DA40000}"/>
    <cellStyle name="Note 3 5 2 3" xfId="41868" xr:uid="{00000000-0005-0000-0000-00000EA40000}"/>
    <cellStyle name="Note 3 5 3" xfId="41869" xr:uid="{00000000-0005-0000-0000-00000FA40000}"/>
    <cellStyle name="Note 3 5 3 2" xfId="41870" xr:uid="{00000000-0005-0000-0000-000010A40000}"/>
    <cellStyle name="Note 3 5 3 2 2" xfId="41871" xr:uid="{00000000-0005-0000-0000-000011A40000}"/>
    <cellStyle name="Note 3 5 3 3" xfId="41872" xr:uid="{00000000-0005-0000-0000-000012A40000}"/>
    <cellStyle name="Note 3 5 4" xfId="41873" xr:uid="{00000000-0005-0000-0000-000013A40000}"/>
    <cellStyle name="Note 3 5 4 2" xfId="41874" xr:uid="{00000000-0005-0000-0000-000014A40000}"/>
    <cellStyle name="Note 3 5 4 2 2" xfId="41875" xr:uid="{00000000-0005-0000-0000-000015A40000}"/>
    <cellStyle name="Note 3 5 4 3" xfId="41876" xr:uid="{00000000-0005-0000-0000-000016A40000}"/>
    <cellStyle name="Note 3 5 5" xfId="41877" xr:uid="{00000000-0005-0000-0000-000017A40000}"/>
    <cellStyle name="Note 3 5 5 2" xfId="41878" xr:uid="{00000000-0005-0000-0000-000018A40000}"/>
    <cellStyle name="Note 3 5 6" xfId="41879" xr:uid="{00000000-0005-0000-0000-000019A40000}"/>
    <cellStyle name="Note 3 6" xfId="41880" xr:uid="{00000000-0005-0000-0000-00001AA40000}"/>
    <cellStyle name="Note 3 6 2" xfId="41881" xr:uid="{00000000-0005-0000-0000-00001BA40000}"/>
    <cellStyle name="Note 3 6 2 2" xfId="41882" xr:uid="{00000000-0005-0000-0000-00001CA40000}"/>
    <cellStyle name="Note 3 6 2 2 2" xfId="41883" xr:uid="{00000000-0005-0000-0000-00001DA40000}"/>
    <cellStyle name="Note 3 6 2 2 2 2" xfId="41884" xr:uid="{00000000-0005-0000-0000-00001EA40000}"/>
    <cellStyle name="Note 3 6 2 2 3" xfId="41885" xr:uid="{00000000-0005-0000-0000-00001FA40000}"/>
    <cellStyle name="Note 3 6 2 3" xfId="41886" xr:uid="{00000000-0005-0000-0000-000020A40000}"/>
    <cellStyle name="Note 3 6 2 3 2" xfId="41887" xr:uid="{00000000-0005-0000-0000-000021A40000}"/>
    <cellStyle name="Note 3 6 2 3 2 2" xfId="41888" xr:uid="{00000000-0005-0000-0000-000022A40000}"/>
    <cellStyle name="Note 3 6 2 3 3" xfId="41889" xr:uid="{00000000-0005-0000-0000-000023A40000}"/>
    <cellStyle name="Note 3 6 2 4" xfId="41890" xr:uid="{00000000-0005-0000-0000-000024A40000}"/>
    <cellStyle name="Note 3 6 2 4 2" xfId="41891" xr:uid="{00000000-0005-0000-0000-000025A40000}"/>
    <cellStyle name="Note 3 6 2 5" xfId="41892" xr:uid="{00000000-0005-0000-0000-000026A40000}"/>
    <cellStyle name="Note 3 6 3" xfId="41893" xr:uid="{00000000-0005-0000-0000-000027A40000}"/>
    <cellStyle name="Note 3 6 3 2" xfId="41894" xr:uid="{00000000-0005-0000-0000-000028A40000}"/>
    <cellStyle name="Note 3 6 3 2 2" xfId="41895" xr:uid="{00000000-0005-0000-0000-000029A40000}"/>
    <cellStyle name="Note 3 6 3 2 2 2" xfId="41896" xr:uid="{00000000-0005-0000-0000-00002AA40000}"/>
    <cellStyle name="Note 3 6 3 2 3" xfId="41897" xr:uid="{00000000-0005-0000-0000-00002BA40000}"/>
    <cellStyle name="Note 3 6 3 3" xfId="41898" xr:uid="{00000000-0005-0000-0000-00002CA40000}"/>
    <cellStyle name="Note 3 6 3 3 2" xfId="41899" xr:uid="{00000000-0005-0000-0000-00002DA40000}"/>
    <cellStyle name="Note 3 6 3 4" xfId="41900" xr:uid="{00000000-0005-0000-0000-00002EA40000}"/>
    <cellStyle name="Note 3 6 4" xfId="41901" xr:uid="{00000000-0005-0000-0000-00002FA40000}"/>
    <cellStyle name="Note 3 6 4 2" xfId="41902" xr:uid="{00000000-0005-0000-0000-000030A40000}"/>
    <cellStyle name="Note 3 6 4 2 2" xfId="41903" xr:uid="{00000000-0005-0000-0000-000031A40000}"/>
    <cellStyle name="Note 3 6 4 3" xfId="41904" xr:uid="{00000000-0005-0000-0000-000032A40000}"/>
    <cellStyle name="Note 3 6 5" xfId="41905" xr:uid="{00000000-0005-0000-0000-000033A40000}"/>
    <cellStyle name="Note 3 6 5 2" xfId="41906" xr:uid="{00000000-0005-0000-0000-000034A40000}"/>
    <cellStyle name="Note 3 6 5 2 2" xfId="41907" xr:uid="{00000000-0005-0000-0000-000035A40000}"/>
    <cellStyle name="Note 3 6 5 3" xfId="41908" xr:uid="{00000000-0005-0000-0000-000036A40000}"/>
    <cellStyle name="Note 3 6 6" xfId="41909" xr:uid="{00000000-0005-0000-0000-000037A40000}"/>
    <cellStyle name="Note 3 6 6 2" xfId="41910" xr:uid="{00000000-0005-0000-0000-000038A40000}"/>
    <cellStyle name="Note 3 6 7" xfId="41911" xr:uid="{00000000-0005-0000-0000-000039A40000}"/>
    <cellStyle name="Note 3 7" xfId="41912" xr:uid="{00000000-0005-0000-0000-00003AA40000}"/>
    <cellStyle name="Note 3 7 2" xfId="41913" xr:uid="{00000000-0005-0000-0000-00003BA40000}"/>
    <cellStyle name="Note 3 7 2 2" xfId="41914" xr:uid="{00000000-0005-0000-0000-00003CA40000}"/>
    <cellStyle name="Note 3 7 2 2 2" xfId="41915" xr:uid="{00000000-0005-0000-0000-00003DA40000}"/>
    <cellStyle name="Note 3 7 2 2 2 2" xfId="41916" xr:uid="{00000000-0005-0000-0000-00003EA40000}"/>
    <cellStyle name="Note 3 7 2 2 2 2 2" xfId="41917" xr:uid="{00000000-0005-0000-0000-00003FA40000}"/>
    <cellStyle name="Note 3 7 2 2 2 2 2 2" xfId="41918" xr:uid="{00000000-0005-0000-0000-000040A40000}"/>
    <cellStyle name="Note 3 7 2 2 2 2 3" xfId="41919" xr:uid="{00000000-0005-0000-0000-000041A40000}"/>
    <cellStyle name="Note 3 7 2 2 2 3" xfId="41920" xr:uid="{00000000-0005-0000-0000-000042A40000}"/>
    <cellStyle name="Note 3 7 2 2 2 3 2" xfId="41921" xr:uid="{00000000-0005-0000-0000-000043A40000}"/>
    <cellStyle name="Note 3 7 2 2 2 4" xfId="41922" xr:uid="{00000000-0005-0000-0000-000044A40000}"/>
    <cellStyle name="Note 3 7 2 2 3" xfId="41923" xr:uid="{00000000-0005-0000-0000-000045A40000}"/>
    <cellStyle name="Note 3 7 2 2 3 2" xfId="41924" xr:uid="{00000000-0005-0000-0000-000046A40000}"/>
    <cellStyle name="Note 3 7 2 2 3 2 2" xfId="41925" xr:uid="{00000000-0005-0000-0000-000047A40000}"/>
    <cellStyle name="Note 3 7 2 2 3 3" xfId="41926" xr:uid="{00000000-0005-0000-0000-000048A40000}"/>
    <cellStyle name="Note 3 7 2 2 4" xfId="41927" xr:uid="{00000000-0005-0000-0000-000049A40000}"/>
    <cellStyle name="Note 3 7 2 2 4 2" xfId="41928" xr:uid="{00000000-0005-0000-0000-00004AA40000}"/>
    <cellStyle name="Note 3 7 2 2 5" xfId="41929" xr:uid="{00000000-0005-0000-0000-00004BA40000}"/>
    <cellStyle name="Note 3 7 2 3" xfId="41930" xr:uid="{00000000-0005-0000-0000-00004CA40000}"/>
    <cellStyle name="Note 3 7 2 3 2" xfId="41931" xr:uid="{00000000-0005-0000-0000-00004DA40000}"/>
    <cellStyle name="Note 3 7 2 3 2 2" xfId="41932" xr:uid="{00000000-0005-0000-0000-00004EA40000}"/>
    <cellStyle name="Note 3 7 2 3 3" xfId="41933" xr:uid="{00000000-0005-0000-0000-00004FA40000}"/>
    <cellStyle name="Note 3 7 2 4" xfId="41934" xr:uid="{00000000-0005-0000-0000-000050A40000}"/>
    <cellStyle name="Note 3 7 2 4 2" xfId="41935" xr:uid="{00000000-0005-0000-0000-000051A40000}"/>
    <cellStyle name="Note 3 7 2 4 2 2" xfId="41936" xr:uid="{00000000-0005-0000-0000-000052A40000}"/>
    <cellStyle name="Note 3 7 2 4 2 2 2" xfId="41937" xr:uid="{00000000-0005-0000-0000-000053A40000}"/>
    <cellStyle name="Note 3 7 2 4 2 3" xfId="41938" xr:uid="{00000000-0005-0000-0000-000054A40000}"/>
    <cellStyle name="Note 3 7 2 4 3" xfId="41939" xr:uid="{00000000-0005-0000-0000-000055A40000}"/>
    <cellStyle name="Note 3 7 2 4 3 2" xfId="41940" xr:uid="{00000000-0005-0000-0000-000056A40000}"/>
    <cellStyle name="Note 3 7 2 4 4" xfId="41941" xr:uid="{00000000-0005-0000-0000-000057A40000}"/>
    <cellStyle name="Note 3 7 2 5" xfId="41942" xr:uid="{00000000-0005-0000-0000-000058A40000}"/>
    <cellStyle name="Note 3 7 2 5 2" xfId="41943" xr:uid="{00000000-0005-0000-0000-000059A40000}"/>
    <cellStyle name="Note 3 7 2 5 2 2" xfId="41944" xr:uid="{00000000-0005-0000-0000-00005AA40000}"/>
    <cellStyle name="Note 3 7 2 5 3" xfId="41945" xr:uid="{00000000-0005-0000-0000-00005BA40000}"/>
    <cellStyle name="Note 3 7 2 6" xfId="41946" xr:uid="{00000000-0005-0000-0000-00005CA40000}"/>
    <cellStyle name="Note 3 7 2 6 2" xfId="41947" xr:uid="{00000000-0005-0000-0000-00005DA40000}"/>
    <cellStyle name="Note 3 7 2 7" xfId="41948" xr:uid="{00000000-0005-0000-0000-00005EA40000}"/>
    <cellStyle name="Note 3 7 3" xfId="41949" xr:uid="{00000000-0005-0000-0000-00005FA40000}"/>
    <cellStyle name="Note 3 7 3 2" xfId="41950" xr:uid="{00000000-0005-0000-0000-000060A40000}"/>
    <cellStyle name="Note 3 7 3 2 2" xfId="41951" xr:uid="{00000000-0005-0000-0000-000061A40000}"/>
    <cellStyle name="Note 3 7 3 2 2 2" xfId="41952" xr:uid="{00000000-0005-0000-0000-000062A40000}"/>
    <cellStyle name="Note 3 7 3 2 2 2 2" xfId="41953" xr:uid="{00000000-0005-0000-0000-000063A40000}"/>
    <cellStyle name="Note 3 7 3 2 2 2 2 2" xfId="41954" xr:uid="{00000000-0005-0000-0000-000064A40000}"/>
    <cellStyle name="Note 3 7 3 2 2 2 3" xfId="41955" xr:uid="{00000000-0005-0000-0000-000065A40000}"/>
    <cellStyle name="Note 3 7 3 2 2 3" xfId="41956" xr:uid="{00000000-0005-0000-0000-000066A40000}"/>
    <cellStyle name="Note 3 7 3 2 2 3 2" xfId="41957" xr:uid="{00000000-0005-0000-0000-000067A40000}"/>
    <cellStyle name="Note 3 7 3 2 2 4" xfId="41958" xr:uid="{00000000-0005-0000-0000-000068A40000}"/>
    <cellStyle name="Note 3 7 3 2 3" xfId="41959" xr:uid="{00000000-0005-0000-0000-000069A40000}"/>
    <cellStyle name="Note 3 7 3 2 3 2" xfId="41960" xr:uid="{00000000-0005-0000-0000-00006AA40000}"/>
    <cellStyle name="Note 3 7 3 2 3 2 2" xfId="41961" xr:uid="{00000000-0005-0000-0000-00006BA40000}"/>
    <cellStyle name="Note 3 7 3 2 3 3" xfId="41962" xr:uid="{00000000-0005-0000-0000-00006CA40000}"/>
    <cellStyle name="Note 3 7 3 2 4" xfId="41963" xr:uid="{00000000-0005-0000-0000-00006DA40000}"/>
    <cellStyle name="Note 3 7 3 2 4 2" xfId="41964" xr:uid="{00000000-0005-0000-0000-00006EA40000}"/>
    <cellStyle name="Note 3 7 3 2 5" xfId="41965" xr:uid="{00000000-0005-0000-0000-00006FA40000}"/>
    <cellStyle name="Note 3 7 3 3" xfId="41966" xr:uid="{00000000-0005-0000-0000-000070A40000}"/>
    <cellStyle name="Note 3 7 3 3 2" xfId="41967" xr:uid="{00000000-0005-0000-0000-000071A40000}"/>
    <cellStyle name="Note 3 7 3 3 2 2" xfId="41968" xr:uid="{00000000-0005-0000-0000-000072A40000}"/>
    <cellStyle name="Note 3 7 3 3 2 2 2" xfId="41969" xr:uid="{00000000-0005-0000-0000-000073A40000}"/>
    <cellStyle name="Note 3 7 3 3 2 3" xfId="41970" xr:uid="{00000000-0005-0000-0000-000074A40000}"/>
    <cellStyle name="Note 3 7 3 3 3" xfId="41971" xr:uid="{00000000-0005-0000-0000-000075A40000}"/>
    <cellStyle name="Note 3 7 3 3 3 2" xfId="41972" xr:uid="{00000000-0005-0000-0000-000076A40000}"/>
    <cellStyle name="Note 3 7 3 3 4" xfId="41973" xr:uid="{00000000-0005-0000-0000-000077A40000}"/>
    <cellStyle name="Note 3 7 3 4" xfId="41974" xr:uid="{00000000-0005-0000-0000-000078A40000}"/>
    <cellStyle name="Note 3 7 3 4 2" xfId="41975" xr:uid="{00000000-0005-0000-0000-000079A40000}"/>
    <cellStyle name="Note 3 7 3 4 2 2" xfId="41976" xr:uid="{00000000-0005-0000-0000-00007AA40000}"/>
    <cellStyle name="Note 3 7 3 4 3" xfId="41977" xr:uid="{00000000-0005-0000-0000-00007BA40000}"/>
    <cellStyle name="Note 3 7 3 5" xfId="41978" xr:uid="{00000000-0005-0000-0000-00007CA40000}"/>
    <cellStyle name="Note 3 7 3 5 2" xfId="41979" xr:uid="{00000000-0005-0000-0000-00007DA40000}"/>
    <cellStyle name="Note 3 7 3 6" xfId="41980" xr:uid="{00000000-0005-0000-0000-00007EA40000}"/>
    <cellStyle name="Note 3 7 4" xfId="41981" xr:uid="{00000000-0005-0000-0000-00007FA40000}"/>
    <cellStyle name="Note 3 7 4 2" xfId="41982" xr:uid="{00000000-0005-0000-0000-000080A40000}"/>
    <cellStyle name="Note 3 7 4 2 2" xfId="41983" xr:uid="{00000000-0005-0000-0000-000081A40000}"/>
    <cellStyle name="Note 3 7 4 3" xfId="41984" xr:uid="{00000000-0005-0000-0000-000082A40000}"/>
    <cellStyle name="Note 3 7 5" xfId="41985" xr:uid="{00000000-0005-0000-0000-000083A40000}"/>
    <cellStyle name="Note 3 7 5 2" xfId="41986" xr:uid="{00000000-0005-0000-0000-000084A40000}"/>
    <cellStyle name="Note 3 7 5 2 2" xfId="41987" xr:uid="{00000000-0005-0000-0000-000085A40000}"/>
    <cellStyle name="Note 3 7 5 2 2 2" xfId="41988" xr:uid="{00000000-0005-0000-0000-000086A40000}"/>
    <cellStyle name="Note 3 7 5 2 3" xfId="41989" xr:uid="{00000000-0005-0000-0000-000087A40000}"/>
    <cellStyle name="Note 3 7 5 3" xfId="41990" xr:uid="{00000000-0005-0000-0000-000088A40000}"/>
    <cellStyle name="Note 3 7 5 3 2" xfId="41991" xr:uid="{00000000-0005-0000-0000-000089A40000}"/>
    <cellStyle name="Note 3 7 5 4" xfId="41992" xr:uid="{00000000-0005-0000-0000-00008AA40000}"/>
    <cellStyle name="Note 3 7 6" xfId="41993" xr:uid="{00000000-0005-0000-0000-00008BA40000}"/>
    <cellStyle name="Note 3 7 6 2" xfId="41994" xr:uid="{00000000-0005-0000-0000-00008CA40000}"/>
    <cellStyle name="Note 3 7 6 2 2" xfId="41995" xr:uid="{00000000-0005-0000-0000-00008DA40000}"/>
    <cellStyle name="Note 3 7 6 3" xfId="41996" xr:uid="{00000000-0005-0000-0000-00008EA40000}"/>
    <cellStyle name="Note 3 7 7" xfId="41997" xr:uid="{00000000-0005-0000-0000-00008FA40000}"/>
    <cellStyle name="Note 3 7 7 2" xfId="41998" xr:uid="{00000000-0005-0000-0000-000090A40000}"/>
    <cellStyle name="Note 3 7 8" xfId="41999" xr:uid="{00000000-0005-0000-0000-000091A40000}"/>
    <cellStyle name="Note 3 8" xfId="42000" xr:uid="{00000000-0005-0000-0000-000092A40000}"/>
    <cellStyle name="Note 3 8 2" xfId="42001" xr:uid="{00000000-0005-0000-0000-000093A40000}"/>
    <cellStyle name="Note 3 8 2 2" xfId="42002" xr:uid="{00000000-0005-0000-0000-000094A40000}"/>
    <cellStyle name="Note 3 8 2 2 2" xfId="42003" xr:uid="{00000000-0005-0000-0000-000095A40000}"/>
    <cellStyle name="Note 3 8 2 3" xfId="42004" xr:uid="{00000000-0005-0000-0000-000096A40000}"/>
    <cellStyle name="Note 3 8 3" xfId="42005" xr:uid="{00000000-0005-0000-0000-000097A40000}"/>
    <cellStyle name="Note 3 8 3 2" xfId="42006" xr:uid="{00000000-0005-0000-0000-000098A40000}"/>
    <cellStyle name="Note 3 8 4" xfId="42007" xr:uid="{00000000-0005-0000-0000-000099A40000}"/>
    <cellStyle name="Note 3 9" xfId="42008" xr:uid="{00000000-0005-0000-0000-00009AA40000}"/>
    <cellStyle name="Note 3 9 2" xfId="42009" xr:uid="{00000000-0005-0000-0000-00009BA40000}"/>
    <cellStyle name="Note 3 9 2 2" xfId="42010" xr:uid="{00000000-0005-0000-0000-00009CA40000}"/>
    <cellStyle name="Note 3 9 3" xfId="42011" xr:uid="{00000000-0005-0000-0000-00009DA40000}"/>
    <cellStyle name="Note 4" xfId="42012" xr:uid="{00000000-0005-0000-0000-00009EA40000}"/>
    <cellStyle name="Note 4 10" xfId="42013" xr:uid="{00000000-0005-0000-0000-00009FA40000}"/>
    <cellStyle name="Note 4 2" xfId="42014" xr:uid="{00000000-0005-0000-0000-0000A0A40000}"/>
    <cellStyle name="Note 4 2 2" xfId="42015" xr:uid="{00000000-0005-0000-0000-0000A1A40000}"/>
    <cellStyle name="Note 4 2 2 2" xfId="42016" xr:uid="{00000000-0005-0000-0000-0000A2A40000}"/>
    <cellStyle name="Note 4 2 2 2 2" xfId="42017" xr:uid="{00000000-0005-0000-0000-0000A3A40000}"/>
    <cellStyle name="Note 4 2 2 2 2 2" xfId="42018" xr:uid="{00000000-0005-0000-0000-0000A4A40000}"/>
    <cellStyle name="Note 4 2 2 2 3" xfId="42019" xr:uid="{00000000-0005-0000-0000-0000A5A40000}"/>
    <cellStyle name="Note 4 2 2 3" xfId="42020" xr:uid="{00000000-0005-0000-0000-0000A6A40000}"/>
    <cellStyle name="Note 4 2 2 3 2" xfId="42021" xr:uid="{00000000-0005-0000-0000-0000A7A40000}"/>
    <cellStyle name="Note 4 2 2 3 2 2" xfId="42022" xr:uid="{00000000-0005-0000-0000-0000A8A40000}"/>
    <cellStyle name="Note 4 2 2 3 3" xfId="42023" xr:uid="{00000000-0005-0000-0000-0000A9A40000}"/>
    <cellStyle name="Note 4 2 2 4" xfId="42024" xr:uid="{00000000-0005-0000-0000-0000AAA40000}"/>
    <cellStyle name="Note 4 2 2 4 2" xfId="42025" xr:uid="{00000000-0005-0000-0000-0000ABA40000}"/>
    <cellStyle name="Note 4 2 2 4 2 2" xfId="42026" xr:uid="{00000000-0005-0000-0000-0000ACA40000}"/>
    <cellStyle name="Note 4 2 2 4 3" xfId="42027" xr:uid="{00000000-0005-0000-0000-0000ADA40000}"/>
    <cellStyle name="Note 4 2 2 5" xfId="42028" xr:uid="{00000000-0005-0000-0000-0000AEA40000}"/>
    <cellStyle name="Note 4 2 2 5 2" xfId="42029" xr:uid="{00000000-0005-0000-0000-0000AFA40000}"/>
    <cellStyle name="Note 4 2 2 6" xfId="42030" xr:uid="{00000000-0005-0000-0000-0000B0A40000}"/>
    <cellStyle name="Note 4 2 3" xfId="42031" xr:uid="{00000000-0005-0000-0000-0000B1A40000}"/>
    <cellStyle name="Note 4 2 3 2" xfId="42032" xr:uid="{00000000-0005-0000-0000-0000B2A40000}"/>
    <cellStyle name="Note 4 2 3 2 2" xfId="42033" xr:uid="{00000000-0005-0000-0000-0000B3A40000}"/>
    <cellStyle name="Note 4 2 3 2 2 2" xfId="42034" xr:uid="{00000000-0005-0000-0000-0000B4A40000}"/>
    <cellStyle name="Note 4 2 3 2 2 2 2" xfId="42035" xr:uid="{00000000-0005-0000-0000-0000B5A40000}"/>
    <cellStyle name="Note 4 2 3 2 2 3" xfId="42036" xr:uid="{00000000-0005-0000-0000-0000B6A40000}"/>
    <cellStyle name="Note 4 2 3 2 3" xfId="42037" xr:uid="{00000000-0005-0000-0000-0000B7A40000}"/>
    <cellStyle name="Note 4 2 3 2 3 2" xfId="42038" xr:uid="{00000000-0005-0000-0000-0000B8A40000}"/>
    <cellStyle name="Note 4 2 3 2 3 2 2" xfId="42039" xr:uid="{00000000-0005-0000-0000-0000B9A40000}"/>
    <cellStyle name="Note 4 2 3 2 3 3" xfId="42040" xr:uid="{00000000-0005-0000-0000-0000BAA40000}"/>
    <cellStyle name="Note 4 2 3 2 4" xfId="42041" xr:uid="{00000000-0005-0000-0000-0000BBA40000}"/>
    <cellStyle name="Note 4 2 3 2 4 2" xfId="42042" xr:uid="{00000000-0005-0000-0000-0000BCA40000}"/>
    <cellStyle name="Note 4 2 3 2 5" xfId="42043" xr:uid="{00000000-0005-0000-0000-0000BDA40000}"/>
    <cellStyle name="Note 4 2 3 3" xfId="42044" xr:uid="{00000000-0005-0000-0000-0000BEA40000}"/>
    <cellStyle name="Note 4 2 3 3 2" xfId="42045" xr:uid="{00000000-0005-0000-0000-0000BFA40000}"/>
    <cellStyle name="Note 4 2 3 3 2 2" xfId="42046" xr:uid="{00000000-0005-0000-0000-0000C0A40000}"/>
    <cellStyle name="Note 4 2 3 3 2 2 2" xfId="42047" xr:uid="{00000000-0005-0000-0000-0000C1A40000}"/>
    <cellStyle name="Note 4 2 3 3 2 3" xfId="42048" xr:uid="{00000000-0005-0000-0000-0000C2A40000}"/>
    <cellStyle name="Note 4 2 3 3 3" xfId="42049" xr:uid="{00000000-0005-0000-0000-0000C3A40000}"/>
    <cellStyle name="Note 4 2 3 3 3 2" xfId="42050" xr:uid="{00000000-0005-0000-0000-0000C4A40000}"/>
    <cellStyle name="Note 4 2 3 3 4" xfId="42051" xr:uid="{00000000-0005-0000-0000-0000C5A40000}"/>
    <cellStyle name="Note 4 2 3 4" xfId="42052" xr:uid="{00000000-0005-0000-0000-0000C6A40000}"/>
    <cellStyle name="Note 4 2 3 4 2" xfId="42053" xr:uid="{00000000-0005-0000-0000-0000C7A40000}"/>
    <cellStyle name="Note 4 2 3 4 2 2" xfId="42054" xr:uid="{00000000-0005-0000-0000-0000C8A40000}"/>
    <cellStyle name="Note 4 2 3 4 3" xfId="42055" xr:uid="{00000000-0005-0000-0000-0000C9A40000}"/>
    <cellStyle name="Note 4 2 3 5" xfId="42056" xr:uid="{00000000-0005-0000-0000-0000CAA40000}"/>
    <cellStyle name="Note 4 2 3 5 2" xfId="42057" xr:uid="{00000000-0005-0000-0000-0000CBA40000}"/>
    <cellStyle name="Note 4 2 3 5 2 2" xfId="42058" xr:uid="{00000000-0005-0000-0000-0000CCA40000}"/>
    <cellStyle name="Note 4 2 3 5 3" xfId="42059" xr:uid="{00000000-0005-0000-0000-0000CDA40000}"/>
    <cellStyle name="Note 4 2 3 6" xfId="42060" xr:uid="{00000000-0005-0000-0000-0000CEA40000}"/>
    <cellStyle name="Note 4 2 3 6 2" xfId="42061" xr:uid="{00000000-0005-0000-0000-0000CFA40000}"/>
    <cellStyle name="Note 4 2 3 7" xfId="42062" xr:uid="{00000000-0005-0000-0000-0000D0A40000}"/>
    <cellStyle name="Note 4 2 4" xfId="42063" xr:uid="{00000000-0005-0000-0000-0000D1A40000}"/>
    <cellStyle name="Note 4 2 4 2" xfId="42064" xr:uid="{00000000-0005-0000-0000-0000D2A40000}"/>
    <cellStyle name="Note 4 2 4 2 2" xfId="42065" xr:uid="{00000000-0005-0000-0000-0000D3A40000}"/>
    <cellStyle name="Note 4 2 4 2 2 2" xfId="42066" xr:uid="{00000000-0005-0000-0000-0000D4A40000}"/>
    <cellStyle name="Note 4 2 4 2 3" xfId="42067" xr:uid="{00000000-0005-0000-0000-0000D5A40000}"/>
    <cellStyle name="Note 4 2 4 3" xfId="42068" xr:uid="{00000000-0005-0000-0000-0000D6A40000}"/>
    <cellStyle name="Note 4 2 4 3 2" xfId="42069" xr:uid="{00000000-0005-0000-0000-0000D7A40000}"/>
    <cellStyle name="Note 4 2 4 4" xfId="42070" xr:uid="{00000000-0005-0000-0000-0000D8A40000}"/>
    <cellStyle name="Note 4 2 5" xfId="42071" xr:uid="{00000000-0005-0000-0000-0000D9A40000}"/>
    <cellStyle name="Note 4 2 5 2" xfId="42072" xr:uid="{00000000-0005-0000-0000-0000DAA40000}"/>
    <cellStyle name="Note 4 2 5 2 2" xfId="42073" xr:uid="{00000000-0005-0000-0000-0000DBA40000}"/>
    <cellStyle name="Note 4 2 5 3" xfId="42074" xr:uid="{00000000-0005-0000-0000-0000DCA40000}"/>
    <cellStyle name="Note 4 2 6" xfId="42075" xr:uid="{00000000-0005-0000-0000-0000DDA40000}"/>
    <cellStyle name="Note 4 2 6 2" xfId="42076" xr:uid="{00000000-0005-0000-0000-0000DEA40000}"/>
    <cellStyle name="Note 4 2 6 2 2" xfId="42077" xr:uid="{00000000-0005-0000-0000-0000DFA40000}"/>
    <cellStyle name="Note 4 2 6 3" xfId="42078" xr:uid="{00000000-0005-0000-0000-0000E0A40000}"/>
    <cellStyle name="Note 4 2 7" xfId="42079" xr:uid="{00000000-0005-0000-0000-0000E1A40000}"/>
    <cellStyle name="Note 4 2 7 2" xfId="42080" xr:uid="{00000000-0005-0000-0000-0000E2A40000}"/>
    <cellStyle name="Note 4 2 8" xfId="42081" xr:uid="{00000000-0005-0000-0000-0000E3A40000}"/>
    <cellStyle name="Note 4 3" xfId="42082" xr:uid="{00000000-0005-0000-0000-0000E4A40000}"/>
    <cellStyle name="Note 4 3 2" xfId="42083" xr:uid="{00000000-0005-0000-0000-0000E5A40000}"/>
    <cellStyle name="Note 4 3 2 2" xfId="42084" xr:uid="{00000000-0005-0000-0000-0000E6A40000}"/>
    <cellStyle name="Note 4 3 2 2 2" xfId="42085" xr:uid="{00000000-0005-0000-0000-0000E7A40000}"/>
    <cellStyle name="Note 4 3 2 3" xfId="42086" xr:uid="{00000000-0005-0000-0000-0000E8A40000}"/>
    <cellStyle name="Note 4 3 2 3 2" xfId="42087" xr:uid="{00000000-0005-0000-0000-0000E9A40000}"/>
    <cellStyle name="Note 4 3 2 3 2 2" xfId="42088" xr:uid="{00000000-0005-0000-0000-0000EAA40000}"/>
    <cellStyle name="Note 4 3 2 3 3" xfId="42089" xr:uid="{00000000-0005-0000-0000-0000EBA40000}"/>
    <cellStyle name="Note 4 3 2 4" xfId="42090" xr:uid="{00000000-0005-0000-0000-0000ECA40000}"/>
    <cellStyle name="Note 4 3 2 4 2" xfId="42091" xr:uid="{00000000-0005-0000-0000-0000EDA40000}"/>
    <cellStyle name="Note 4 3 2 4 2 2" xfId="42092" xr:uid="{00000000-0005-0000-0000-0000EEA40000}"/>
    <cellStyle name="Note 4 3 2 4 3" xfId="42093" xr:uid="{00000000-0005-0000-0000-0000EFA40000}"/>
    <cellStyle name="Note 4 3 2 5" xfId="42094" xr:uid="{00000000-0005-0000-0000-0000F0A40000}"/>
    <cellStyle name="Note 4 3 3" xfId="42095" xr:uid="{00000000-0005-0000-0000-0000F1A40000}"/>
    <cellStyle name="Note 4 3 3 2" xfId="42096" xr:uid="{00000000-0005-0000-0000-0000F2A40000}"/>
    <cellStyle name="Note 4 3 3 2 2" xfId="42097" xr:uid="{00000000-0005-0000-0000-0000F3A40000}"/>
    <cellStyle name="Note 4 3 3 2 2 2" xfId="42098" xr:uid="{00000000-0005-0000-0000-0000F4A40000}"/>
    <cellStyle name="Note 4 3 3 2 3" xfId="42099" xr:uid="{00000000-0005-0000-0000-0000F5A40000}"/>
    <cellStyle name="Note 4 3 3 2 3 2" xfId="42100" xr:uid="{00000000-0005-0000-0000-0000F6A40000}"/>
    <cellStyle name="Note 4 3 3 2 3 2 2" xfId="42101" xr:uid="{00000000-0005-0000-0000-0000F7A40000}"/>
    <cellStyle name="Note 4 3 3 2 3 3" xfId="42102" xr:uid="{00000000-0005-0000-0000-0000F8A40000}"/>
    <cellStyle name="Note 4 3 3 2 4" xfId="42103" xr:uid="{00000000-0005-0000-0000-0000F9A40000}"/>
    <cellStyle name="Note 4 3 3 3" xfId="42104" xr:uid="{00000000-0005-0000-0000-0000FAA40000}"/>
    <cellStyle name="Note 4 3 3 3 2" xfId="42105" xr:uid="{00000000-0005-0000-0000-0000FBA40000}"/>
    <cellStyle name="Note 4 3 3 3 2 2" xfId="42106" xr:uid="{00000000-0005-0000-0000-0000FCA40000}"/>
    <cellStyle name="Note 4 3 3 3 3" xfId="42107" xr:uid="{00000000-0005-0000-0000-0000FDA40000}"/>
    <cellStyle name="Note 4 3 3 4" xfId="42108" xr:uid="{00000000-0005-0000-0000-0000FEA40000}"/>
    <cellStyle name="Note 4 3 3 4 2" xfId="42109" xr:uid="{00000000-0005-0000-0000-0000FFA40000}"/>
    <cellStyle name="Note 4 3 3 4 2 2" xfId="42110" xr:uid="{00000000-0005-0000-0000-000000A50000}"/>
    <cellStyle name="Note 4 3 3 4 3" xfId="42111" xr:uid="{00000000-0005-0000-0000-000001A50000}"/>
    <cellStyle name="Note 4 3 3 5" xfId="42112" xr:uid="{00000000-0005-0000-0000-000002A50000}"/>
    <cellStyle name="Note 4 3 3 5 2" xfId="42113" xr:uid="{00000000-0005-0000-0000-000003A50000}"/>
    <cellStyle name="Note 4 3 3 5 2 2" xfId="42114" xr:uid="{00000000-0005-0000-0000-000004A50000}"/>
    <cellStyle name="Note 4 3 3 5 3" xfId="42115" xr:uid="{00000000-0005-0000-0000-000005A50000}"/>
    <cellStyle name="Note 4 3 3 6" xfId="42116" xr:uid="{00000000-0005-0000-0000-000006A50000}"/>
    <cellStyle name="Note 4 3 4" xfId="42117" xr:uid="{00000000-0005-0000-0000-000007A50000}"/>
    <cellStyle name="Note 4 3 4 2" xfId="42118" xr:uid="{00000000-0005-0000-0000-000008A50000}"/>
    <cellStyle name="Note 4 3 4 2 2" xfId="42119" xr:uid="{00000000-0005-0000-0000-000009A50000}"/>
    <cellStyle name="Note 4 3 4 3" xfId="42120" xr:uid="{00000000-0005-0000-0000-00000AA50000}"/>
    <cellStyle name="Note 4 3 5" xfId="42121" xr:uid="{00000000-0005-0000-0000-00000BA50000}"/>
    <cellStyle name="Note 4 3 5 2" xfId="42122" xr:uid="{00000000-0005-0000-0000-00000CA50000}"/>
    <cellStyle name="Note 4 3 5 2 2" xfId="42123" xr:uid="{00000000-0005-0000-0000-00000DA50000}"/>
    <cellStyle name="Note 4 3 5 3" xfId="42124" xr:uid="{00000000-0005-0000-0000-00000EA50000}"/>
    <cellStyle name="Note 4 3 6" xfId="42125" xr:uid="{00000000-0005-0000-0000-00000FA50000}"/>
    <cellStyle name="Note 4 3 6 2" xfId="42126" xr:uid="{00000000-0005-0000-0000-000010A50000}"/>
    <cellStyle name="Note 4 3 6 2 2" xfId="42127" xr:uid="{00000000-0005-0000-0000-000011A50000}"/>
    <cellStyle name="Note 4 3 6 3" xfId="42128" xr:uid="{00000000-0005-0000-0000-000012A50000}"/>
    <cellStyle name="Note 4 3 7" xfId="42129" xr:uid="{00000000-0005-0000-0000-000013A50000}"/>
    <cellStyle name="Note 4 4" xfId="42130" xr:uid="{00000000-0005-0000-0000-000014A50000}"/>
    <cellStyle name="Note 4 4 2" xfId="42131" xr:uid="{00000000-0005-0000-0000-000015A50000}"/>
    <cellStyle name="Note 4 4 2 2" xfId="42132" xr:uid="{00000000-0005-0000-0000-000016A50000}"/>
    <cellStyle name="Note 4 4 2 2 2" xfId="42133" xr:uid="{00000000-0005-0000-0000-000017A50000}"/>
    <cellStyle name="Note 4 4 2 3" xfId="42134" xr:uid="{00000000-0005-0000-0000-000018A50000}"/>
    <cellStyle name="Note 4 4 3" xfId="42135" xr:uid="{00000000-0005-0000-0000-000019A50000}"/>
    <cellStyle name="Note 4 4 3 2" xfId="42136" xr:uid="{00000000-0005-0000-0000-00001AA50000}"/>
    <cellStyle name="Note 4 4 3 2 2" xfId="42137" xr:uid="{00000000-0005-0000-0000-00001BA50000}"/>
    <cellStyle name="Note 4 4 3 3" xfId="42138" xr:uid="{00000000-0005-0000-0000-00001CA50000}"/>
    <cellStyle name="Note 4 4 4" xfId="42139" xr:uid="{00000000-0005-0000-0000-00001DA50000}"/>
    <cellStyle name="Note 4 4 4 2" xfId="42140" xr:uid="{00000000-0005-0000-0000-00001EA50000}"/>
    <cellStyle name="Note 4 4 4 2 2" xfId="42141" xr:uid="{00000000-0005-0000-0000-00001FA50000}"/>
    <cellStyle name="Note 4 4 4 3" xfId="42142" xr:uid="{00000000-0005-0000-0000-000020A50000}"/>
    <cellStyle name="Note 4 4 5" xfId="42143" xr:uid="{00000000-0005-0000-0000-000021A50000}"/>
    <cellStyle name="Note 4 4 5 2" xfId="42144" xr:uid="{00000000-0005-0000-0000-000022A50000}"/>
    <cellStyle name="Note 4 4 6" xfId="42145" xr:uid="{00000000-0005-0000-0000-000023A50000}"/>
    <cellStyle name="Note 4 5" xfId="42146" xr:uid="{00000000-0005-0000-0000-000024A50000}"/>
    <cellStyle name="Note 4 5 2" xfId="42147" xr:uid="{00000000-0005-0000-0000-000025A50000}"/>
    <cellStyle name="Note 4 5 2 2" xfId="42148" xr:uid="{00000000-0005-0000-0000-000026A50000}"/>
    <cellStyle name="Note 4 5 2 2 2" xfId="42149" xr:uid="{00000000-0005-0000-0000-000027A50000}"/>
    <cellStyle name="Note 4 5 2 2 2 2" xfId="42150" xr:uid="{00000000-0005-0000-0000-000028A50000}"/>
    <cellStyle name="Note 4 5 2 2 3" xfId="42151" xr:uid="{00000000-0005-0000-0000-000029A50000}"/>
    <cellStyle name="Note 4 5 2 3" xfId="42152" xr:uid="{00000000-0005-0000-0000-00002AA50000}"/>
    <cellStyle name="Note 4 5 2 3 2" xfId="42153" xr:uid="{00000000-0005-0000-0000-00002BA50000}"/>
    <cellStyle name="Note 4 5 2 3 2 2" xfId="42154" xr:uid="{00000000-0005-0000-0000-00002CA50000}"/>
    <cellStyle name="Note 4 5 2 3 3" xfId="42155" xr:uid="{00000000-0005-0000-0000-00002DA50000}"/>
    <cellStyle name="Note 4 5 2 4" xfId="42156" xr:uid="{00000000-0005-0000-0000-00002EA50000}"/>
    <cellStyle name="Note 4 5 2 4 2" xfId="42157" xr:uid="{00000000-0005-0000-0000-00002FA50000}"/>
    <cellStyle name="Note 4 5 2 5" xfId="42158" xr:uid="{00000000-0005-0000-0000-000030A50000}"/>
    <cellStyle name="Note 4 5 3" xfId="42159" xr:uid="{00000000-0005-0000-0000-000031A50000}"/>
    <cellStyle name="Note 4 5 3 2" xfId="42160" xr:uid="{00000000-0005-0000-0000-000032A50000}"/>
    <cellStyle name="Note 4 5 3 2 2" xfId="42161" xr:uid="{00000000-0005-0000-0000-000033A50000}"/>
    <cellStyle name="Note 4 5 3 2 2 2" xfId="42162" xr:uid="{00000000-0005-0000-0000-000034A50000}"/>
    <cellStyle name="Note 4 5 3 2 3" xfId="42163" xr:uid="{00000000-0005-0000-0000-000035A50000}"/>
    <cellStyle name="Note 4 5 3 3" xfId="42164" xr:uid="{00000000-0005-0000-0000-000036A50000}"/>
    <cellStyle name="Note 4 5 3 3 2" xfId="42165" xr:uid="{00000000-0005-0000-0000-000037A50000}"/>
    <cellStyle name="Note 4 5 3 4" xfId="42166" xr:uid="{00000000-0005-0000-0000-000038A50000}"/>
    <cellStyle name="Note 4 5 4" xfId="42167" xr:uid="{00000000-0005-0000-0000-000039A50000}"/>
    <cellStyle name="Note 4 5 4 2" xfId="42168" xr:uid="{00000000-0005-0000-0000-00003AA50000}"/>
    <cellStyle name="Note 4 5 4 2 2" xfId="42169" xr:uid="{00000000-0005-0000-0000-00003BA50000}"/>
    <cellStyle name="Note 4 5 4 3" xfId="42170" xr:uid="{00000000-0005-0000-0000-00003CA50000}"/>
    <cellStyle name="Note 4 5 5" xfId="42171" xr:uid="{00000000-0005-0000-0000-00003DA50000}"/>
    <cellStyle name="Note 4 5 5 2" xfId="42172" xr:uid="{00000000-0005-0000-0000-00003EA50000}"/>
    <cellStyle name="Note 4 5 5 2 2" xfId="42173" xr:uid="{00000000-0005-0000-0000-00003FA50000}"/>
    <cellStyle name="Note 4 5 5 3" xfId="42174" xr:uid="{00000000-0005-0000-0000-000040A50000}"/>
    <cellStyle name="Note 4 5 6" xfId="42175" xr:uid="{00000000-0005-0000-0000-000041A50000}"/>
    <cellStyle name="Note 4 5 6 2" xfId="42176" xr:uid="{00000000-0005-0000-0000-000042A50000}"/>
    <cellStyle name="Note 4 5 7" xfId="42177" xr:uid="{00000000-0005-0000-0000-000043A50000}"/>
    <cellStyle name="Note 4 6" xfId="42178" xr:uid="{00000000-0005-0000-0000-000044A50000}"/>
    <cellStyle name="Note 4 6 2" xfId="42179" xr:uid="{00000000-0005-0000-0000-000045A50000}"/>
    <cellStyle name="Note 4 6 2 2" xfId="42180" xr:uid="{00000000-0005-0000-0000-000046A50000}"/>
    <cellStyle name="Note 4 6 2 2 2" xfId="42181" xr:uid="{00000000-0005-0000-0000-000047A50000}"/>
    <cellStyle name="Note 4 6 2 3" xfId="42182" xr:uid="{00000000-0005-0000-0000-000048A50000}"/>
    <cellStyle name="Note 4 6 3" xfId="42183" xr:uid="{00000000-0005-0000-0000-000049A50000}"/>
    <cellStyle name="Note 4 6 3 2" xfId="42184" xr:uid="{00000000-0005-0000-0000-00004AA50000}"/>
    <cellStyle name="Note 4 6 4" xfId="42185" xr:uid="{00000000-0005-0000-0000-00004BA50000}"/>
    <cellStyle name="Note 4 7" xfId="42186" xr:uid="{00000000-0005-0000-0000-00004CA50000}"/>
    <cellStyle name="Note 4 7 2" xfId="42187" xr:uid="{00000000-0005-0000-0000-00004DA50000}"/>
    <cellStyle name="Note 4 7 2 2" xfId="42188" xr:uid="{00000000-0005-0000-0000-00004EA50000}"/>
    <cellStyle name="Note 4 7 3" xfId="42189" xr:uid="{00000000-0005-0000-0000-00004FA50000}"/>
    <cellStyle name="Note 4 8" xfId="42190" xr:uid="{00000000-0005-0000-0000-000050A50000}"/>
    <cellStyle name="Note 4 8 2" xfId="42191" xr:uid="{00000000-0005-0000-0000-000051A50000}"/>
    <cellStyle name="Note 4 8 2 2" xfId="42192" xr:uid="{00000000-0005-0000-0000-000052A50000}"/>
    <cellStyle name="Note 4 8 3" xfId="42193" xr:uid="{00000000-0005-0000-0000-000053A50000}"/>
    <cellStyle name="Note 4 9" xfId="42194" xr:uid="{00000000-0005-0000-0000-000054A50000}"/>
    <cellStyle name="Note 4 9 2" xfId="42195" xr:uid="{00000000-0005-0000-0000-000055A50000}"/>
    <cellStyle name="Note 5" xfId="42196" xr:uid="{00000000-0005-0000-0000-000056A50000}"/>
    <cellStyle name="Note 5 10" xfId="42197" xr:uid="{00000000-0005-0000-0000-000057A50000}"/>
    <cellStyle name="Note 5 2" xfId="42198" xr:uid="{00000000-0005-0000-0000-000058A50000}"/>
    <cellStyle name="Note 5 2 2" xfId="42199" xr:uid="{00000000-0005-0000-0000-000059A50000}"/>
    <cellStyle name="Note 5 2 2 2" xfId="42200" xr:uid="{00000000-0005-0000-0000-00005AA50000}"/>
    <cellStyle name="Note 5 2 2 2 2" xfId="42201" xr:uid="{00000000-0005-0000-0000-00005BA50000}"/>
    <cellStyle name="Note 5 2 2 2 2 2" xfId="42202" xr:uid="{00000000-0005-0000-0000-00005CA50000}"/>
    <cellStyle name="Note 5 2 2 2 2 2 2" xfId="42203" xr:uid="{00000000-0005-0000-0000-00005DA50000}"/>
    <cellStyle name="Note 5 2 2 2 2 3" xfId="42204" xr:uid="{00000000-0005-0000-0000-00005EA50000}"/>
    <cellStyle name="Note 5 2 2 2 3" xfId="42205" xr:uid="{00000000-0005-0000-0000-00005FA50000}"/>
    <cellStyle name="Note 5 2 2 2 3 2" xfId="42206" xr:uid="{00000000-0005-0000-0000-000060A50000}"/>
    <cellStyle name="Note 5 2 2 2 4" xfId="42207" xr:uid="{00000000-0005-0000-0000-000061A50000}"/>
    <cellStyle name="Note 5 2 2 3" xfId="42208" xr:uid="{00000000-0005-0000-0000-000062A50000}"/>
    <cellStyle name="Note 5 2 2 3 2" xfId="42209" xr:uid="{00000000-0005-0000-0000-000063A50000}"/>
    <cellStyle name="Note 5 2 2 3 2 2" xfId="42210" xr:uid="{00000000-0005-0000-0000-000064A50000}"/>
    <cellStyle name="Note 5 2 2 3 3" xfId="42211" xr:uid="{00000000-0005-0000-0000-000065A50000}"/>
    <cellStyle name="Note 5 2 2 4" xfId="42212" xr:uid="{00000000-0005-0000-0000-000066A50000}"/>
    <cellStyle name="Note 5 2 2 4 2" xfId="42213" xr:uid="{00000000-0005-0000-0000-000067A50000}"/>
    <cellStyle name="Note 5 2 2 5" xfId="42214" xr:uid="{00000000-0005-0000-0000-000068A50000}"/>
    <cellStyle name="Note 5 2 3" xfId="42215" xr:uid="{00000000-0005-0000-0000-000069A50000}"/>
    <cellStyle name="Note 5 2 3 2" xfId="42216" xr:uid="{00000000-0005-0000-0000-00006AA50000}"/>
    <cellStyle name="Note 5 2 3 2 2" xfId="42217" xr:uid="{00000000-0005-0000-0000-00006BA50000}"/>
    <cellStyle name="Note 5 2 3 3" xfId="42218" xr:uid="{00000000-0005-0000-0000-00006CA50000}"/>
    <cellStyle name="Note 5 2 4" xfId="42219" xr:uid="{00000000-0005-0000-0000-00006DA50000}"/>
    <cellStyle name="Note 5 2 4 2" xfId="42220" xr:uid="{00000000-0005-0000-0000-00006EA50000}"/>
    <cellStyle name="Note 5 2 4 2 2" xfId="42221" xr:uid="{00000000-0005-0000-0000-00006FA50000}"/>
    <cellStyle name="Note 5 2 4 3" xfId="42222" xr:uid="{00000000-0005-0000-0000-000070A50000}"/>
    <cellStyle name="Note 5 2 5" xfId="42223" xr:uid="{00000000-0005-0000-0000-000071A50000}"/>
    <cellStyle name="Note 5 2 5 2" xfId="42224" xr:uid="{00000000-0005-0000-0000-000072A50000}"/>
    <cellStyle name="Note 5 2 5 2 2" xfId="42225" xr:uid="{00000000-0005-0000-0000-000073A50000}"/>
    <cellStyle name="Note 5 2 5 2 2 2" xfId="42226" xr:uid="{00000000-0005-0000-0000-000074A50000}"/>
    <cellStyle name="Note 5 2 5 2 3" xfId="42227" xr:uid="{00000000-0005-0000-0000-000075A50000}"/>
    <cellStyle name="Note 5 2 5 3" xfId="42228" xr:uid="{00000000-0005-0000-0000-000076A50000}"/>
    <cellStyle name="Note 5 2 5 3 2" xfId="42229" xr:uid="{00000000-0005-0000-0000-000077A50000}"/>
    <cellStyle name="Note 5 2 5 4" xfId="42230" xr:uid="{00000000-0005-0000-0000-000078A50000}"/>
    <cellStyle name="Note 5 2 6" xfId="42231" xr:uid="{00000000-0005-0000-0000-000079A50000}"/>
    <cellStyle name="Note 5 2 6 2" xfId="42232" xr:uid="{00000000-0005-0000-0000-00007AA50000}"/>
    <cellStyle name="Note 5 2 6 2 2" xfId="42233" xr:uid="{00000000-0005-0000-0000-00007BA50000}"/>
    <cellStyle name="Note 5 2 6 3" xfId="42234" xr:uid="{00000000-0005-0000-0000-00007CA50000}"/>
    <cellStyle name="Note 5 2 7" xfId="42235" xr:uid="{00000000-0005-0000-0000-00007DA50000}"/>
    <cellStyle name="Note 5 2 7 2" xfId="42236" xr:uid="{00000000-0005-0000-0000-00007EA50000}"/>
    <cellStyle name="Note 5 2 8" xfId="42237" xr:uid="{00000000-0005-0000-0000-00007FA50000}"/>
    <cellStyle name="Note 5 3" xfId="42238" xr:uid="{00000000-0005-0000-0000-000080A50000}"/>
    <cellStyle name="Note 5 3 2" xfId="42239" xr:uid="{00000000-0005-0000-0000-000081A50000}"/>
    <cellStyle name="Note 5 3 2 2" xfId="42240" xr:uid="{00000000-0005-0000-0000-000082A50000}"/>
    <cellStyle name="Note 5 3 2 2 2" xfId="42241" xr:uid="{00000000-0005-0000-0000-000083A50000}"/>
    <cellStyle name="Note 5 3 2 2 2 2" xfId="42242" xr:uid="{00000000-0005-0000-0000-000084A50000}"/>
    <cellStyle name="Note 5 3 2 2 2 2 2" xfId="42243" xr:uid="{00000000-0005-0000-0000-000085A50000}"/>
    <cellStyle name="Note 5 3 2 2 2 2 2 2" xfId="42244" xr:uid="{00000000-0005-0000-0000-000086A50000}"/>
    <cellStyle name="Note 5 3 2 2 2 2 3" xfId="42245" xr:uid="{00000000-0005-0000-0000-000087A50000}"/>
    <cellStyle name="Note 5 3 2 2 2 3" xfId="42246" xr:uid="{00000000-0005-0000-0000-000088A50000}"/>
    <cellStyle name="Note 5 3 2 2 2 3 2" xfId="42247" xr:uid="{00000000-0005-0000-0000-000089A50000}"/>
    <cellStyle name="Note 5 3 2 2 2 4" xfId="42248" xr:uid="{00000000-0005-0000-0000-00008AA50000}"/>
    <cellStyle name="Note 5 3 2 2 3" xfId="42249" xr:uid="{00000000-0005-0000-0000-00008BA50000}"/>
    <cellStyle name="Note 5 3 2 2 3 2" xfId="42250" xr:uid="{00000000-0005-0000-0000-00008CA50000}"/>
    <cellStyle name="Note 5 3 2 2 3 2 2" xfId="42251" xr:uid="{00000000-0005-0000-0000-00008DA50000}"/>
    <cellStyle name="Note 5 3 2 2 3 3" xfId="42252" xr:uid="{00000000-0005-0000-0000-00008EA50000}"/>
    <cellStyle name="Note 5 3 2 2 4" xfId="42253" xr:uid="{00000000-0005-0000-0000-00008FA50000}"/>
    <cellStyle name="Note 5 3 2 2 4 2" xfId="42254" xr:uid="{00000000-0005-0000-0000-000090A50000}"/>
    <cellStyle name="Note 5 3 2 2 5" xfId="42255" xr:uid="{00000000-0005-0000-0000-000091A50000}"/>
    <cellStyle name="Note 5 3 2 3" xfId="42256" xr:uid="{00000000-0005-0000-0000-000092A50000}"/>
    <cellStyle name="Note 5 3 2 3 2" xfId="42257" xr:uid="{00000000-0005-0000-0000-000093A50000}"/>
    <cellStyle name="Note 5 3 2 3 2 2" xfId="42258" xr:uid="{00000000-0005-0000-0000-000094A50000}"/>
    <cellStyle name="Note 5 3 2 3 3" xfId="42259" xr:uid="{00000000-0005-0000-0000-000095A50000}"/>
    <cellStyle name="Note 5 3 2 4" xfId="42260" xr:uid="{00000000-0005-0000-0000-000096A50000}"/>
    <cellStyle name="Note 5 3 2 4 2" xfId="42261" xr:uid="{00000000-0005-0000-0000-000097A50000}"/>
    <cellStyle name="Note 5 3 2 4 2 2" xfId="42262" xr:uid="{00000000-0005-0000-0000-000098A50000}"/>
    <cellStyle name="Note 5 3 2 4 2 2 2" xfId="42263" xr:uid="{00000000-0005-0000-0000-000099A50000}"/>
    <cellStyle name="Note 5 3 2 4 2 3" xfId="42264" xr:uid="{00000000-0005-0000-0000-00009AA50000}"/>
    <cellStyle name="Note 5 3 2 4 3" xfId="42265" xr:uid="{00000000-0005-0000-0000-00009BA50000}"/>
    <cellStyle name="Note 5 3 2 4 3 2" xfId="42266" xr:uid="{00000000-0005-0000-0000-00009CA50000}"/>
    <cellStyle name="Note 5 3 2 4 4" xfId="42267" xr:uid="{00000000-0005-0000-0000-00009DA50000}"/>
    <cellStyle name="Note 5 3 2 5" xfId="42268" xr:uid="{00000000-0005-0000-0000-00009EA50000}"/>
    <cellStyle name="Note 5 3 2 5 2" xfId="42269" xr:uid="{00000000-0005-0000-0000-00009FA50000}"/>
    <cellStyle name="Note 5 3 2 5 2 2" xfId="42270" xr:uid="{00000000-0005-0000-0000-0000A0A50000}"/>
    <cellStyle name="Note 5 3 2 5 3" xfId="42271" xr:uid="{00000000-0005-0000-0000-0000A1A50000}"/>
    <cellStyle name="Note 5 3 2 6" xfId="42272" xr:uid="{00000000-0005-0000-0000-0000A2A50000}"/>
    <cellStyle name="Note 5 3 2 6 2" xfId="42273" xr:uid="{00000000-0005-0000-0000-0000A3A50000}"/>
    <cellStyle name="Note 5 3 2 7" xfId="42274" xr:uid="{00000000-0005-0000-0000-0000A4A50000}"/>
    <cellStyle name="Note 5 3 3" xfId="42275" xr:uid="{00000000-0005-0000-0000-0000A5A50000}"/>
    <cellStyle name="Note 5 3 3 2" xfId="42276" xr:uid="{00000000-0005-0000-0000-0000A6A50000}"/>
    <cellStyle name="Note 5 3 3 2 2" xfId="42277" xr:uid="{00000000-0005-0000-0000-0000A7A50000}"/>
    <cellStyle name="Note 5 3 3 2 2 2" xfId="42278" xr:uid="{00000000-0005-0000-0000-0000A8A50000}"/>
    <cellStyle name="Note 5 3 3 2 2 2 2" xfId="42279" xr:uid="{00000000-0005-0000-0000-0000A9A50000}"/>
    <cellStyle name="Note 5 3 3 2 2 2 2 2" xfId="42280" xr:uid="{00000000-0005-0000-0000-0000AAA50000}"/>
    <cellStyle name="Note 5 3 3 2 2 2 3" xfId="42281" xr:uid="{00000000-0005-0000-0000-0000ABA50000}"/>
    <cellStyle name="Note 5 3 3 2 2 3" xfId="42282" xr:uid="{00000000-0005-0000-0000-0000ACA50000}"/>
    <cellStyle name="Note 5 3 3 2 2 3 2" xfId="42283" xr:uid="{00000000-0005-0000-0000-0000ADA50000}"/>
    <cellStyle name="Note 5 3 3 2 2 4" xfId="42284" xr:uid="{00000000-0005-0000-0000-0000AEA50000}"/>
    <cellStyle name="Note 5 3 3 2 3" xfId="42285" xr:uid="{00000000-0005-0000-0000-0000AFA50000}"/>
    <cellStyle name="Note 5 3 3 2 3 2" xfId="42286" xr:uid="{00000000-0005-0000-0000-0000B0A50000}"/>
    <cellStyle name="Note 5 3 3 2 3 2 2" xfId="42287" xr:uid="{00000000-0005-0000-0000-0000B1A50000}"/>
    <cellStyle name="Note 5 3 3 2 3 3" xfId="42288" xr:uid="{00000000-0005-0000-0000-0000B2A50000}"/>
    <cellStyle name="Note 5 3 3 2 4" xfId="42289" xr:uid="{00000000-0005-0000-0000-0000B3A50000}"/>
    <cellStyle name="Note 5 3 3 2 4 2" xfId="42290" xr:uid="{00000000-0005-0000-0000-0000B4A50000}"/>
    <cellStyle name="Note 5 3 3 2 5" xfId="42291" xr:uid="{00000000-0005-0000-0000-0000B5A50000}"/>
    <cellStyle name="Note 5 3 3 3" xfId="42292" xr:uid="{00000000-0005-0000-0000-0000B6A50000}"/>
    <cellStyle name="Note 5 3 3 3 2" xfId="42293" xr:uid="{00000000-0005-0000-0000-0000B7A50000}"/>
    <cellStyle name="Note 5 3 3 3 2 2" xfId="42294" xr:uid="{00000000-0005-0000-0000-0000B8A50000}"/>
    <cellStyle name="Note 5 3 3 3 2 2 2" xfId="42295" xr:uid="{00000000-0005-0000-0000-0000B9A50000}"/>
    <cellStyle name="Note 5 3 3 3 2 3" xfId="42296" xr:uid="{00000000-0005-0000-0000-0000BAA50000}"/>
    <cellStyle name="Note 5 3 3 3 3" xfId="42297" xr:uid="{00000000-0005-0000-0000-0000BBA50000}"/>
    <cellStyle name="Note 5 3 3 3 3 2" xfId="42298" xr:uid="{00000000-0005-0000-0000-0000BCA50000}"/>
    <cellStyle name="Note 5 3 3 3 4" xfId="42299" xr:uid="{00000000-0005-0000-0000-0000BDA50000}"/>
    <cellStyle name="Note 5 3 3 4" xfId="42300" xr:uid="{00000000-0005-0000-0000-0000BEA50000}"/>
    <cellStyle name="Note 5 3 3 4 2" xfId="42301" xr:uid="{00000000-0005-0000-0000-0000BFA50000}"/>
    <cellStyle name="Note 5 3 3 4 2 2" xfId="42302" xr:uid="{00000000-0005-0000-0000-0000C0A50000}"/>
    <cellStyle name="Note 5 3 3 4 3" xfId="42303" xr:uid="{00000000-0005-0000-0000-0000C1A50000}"/>
    <cellStyle name="Note 5 3 3 5" xfId="42304" xr:uid="{00000000-0005-0000-0000-0000C2A50000}"/>
    <cellStyle name="Note 5 3 3 5 2" xfId="42305" xr:uid="{00000000-0005-0000-0000-0000C3A50000}"/>
    <cellStyle name="Note 5 3 3 6" xfId="42306" xr:uid="{00000000-0005-0000-0000-0000C4A50000}"/>
    <cellStyle name="Note 5 3 4" xfId="42307" xr:uid="{00000000-0005-0000-0000-0000C5A50000}"/>
    <cellStyle name="Note 5 3 4 2" xfId="42308" xr:uid="{00000000-0005-0000-0000-0000C6A50000}"/>
    <cellStyle name="Note 5 3 4 2 2" xfId="42309" xr:uid="{00000000-0005-0000-0000-0000C7A50000}"/>
    <cellStyle name="Note 5 3 4 3" xfId="42310" xr:uid="{00000000-0005-0000-0000-0000C8A50000}"/>
    <cellStyle name="Note 5 3 5" xfId="42311" xr:uid="{00000000-0005-0000-0000-0000C9A50000}"/>
    <cellStyle name="Note 5 3 5 2" xfId="42312" xr:uid="{00000000-0005-0000-0000-0000CAA50000}"/>
    <cellStyle name="Note 5 3 5 2 2" xfId="42313" xr:uid="{00000000-0005-0000-0000-0000CBA50000}"/>
    <cellStyle name="Note 5 3 5 3" xfId="42314" xr:uid="{00000000-0005-0000-0000-0000CCA50000}"/>
    <cellStyle name="Note 5 3 6" xfId="42315" xr:uid="{00000000-0005-0000-0000-0000CDA50000}"/>
    <cellStyle name="Note 5 3 6 2" xfId="42316" xr:uid="{00000000-0005-0000-0000-0000CEA50000}"/>
    <cellStyle name="Note 5 3 6 2 2" xfId="42317" xr:uid="{00000000-0005-0000-0000-0000CFA50000}"/>
    <cellStyle name="Note 5 3 6 2 2 2" xfId="42318" xr:uid="{00000000-0005-0000-0000-0000D0A50000}"/>
    <cellStyle name="Note 5 3 6 2 3" xfId="42319" xr:uid="{00000000-0005-0000-0000-0000D1A50000}"/>
    <cellStyle name="Note 5 3 6 3" xfId="42320" xr:uid="{00000000-0005-0000-0000-0000D2A50000}"/>
    <cellStyle name="Note 5 3 6 3 2" xfId="42321" xr:uid="{00000000-0005-0000-0000-0000D3A50000}"/>
    <cellStyle name="Note 5 3 6 4" xfId="42322" xr:uid="{00000000-0005-0000-0000-0000D4A50000}"/>
    <cellStyle name="Note 5 3 7" xfId="42323" xr:uid="{00000000-0005-0000-0000-0000D5A50000}"/>
    <cellStyle name="Note 5 3 7 2" xfId="42324" xr:uid="{00000000-0005-0000-0000-0000D6A50000}"/>
    <cellStyle name="Note 5 3 7 2 2" xfId="42325" xr:uid="{00000000-0005-0000-0000-0000D7A50000}"/>
    <cellStyle name="Note 5 3 7 3" xfId="42326" xr:uid="{00000000-0005-0000-0000-0000D8A50000}"/>
    <cellStyle name="Note 5 3 8" xfId="42327" xr:uid="{00000000-0005-0000-0000-0000D9A50000}"/>
    <cellStyle name="Note 5 3 8 2" xfId="42328" xr:uid="{00000000-0005-0000-0000-0000DAA50000}"/>
    <cellStyle name="Note 5 3 9" xfId="42329" xr:uid="{00000000-0005-0000-0000-0000DBA50000}"/>
    <cellStyle name="Note 5 4" xfId="42330" xr:uid="{00000000-0005-0000-0000-0000DCA50000}"/>
    <cellStyle name="Note 5 4 2" xfId="42331" xr:uid="{00000000-0005-0000-0000-0000DDA50000}"/>
    <cellStyle name="Note 5 4 2 2" xfId="42332" xr:uid="{00000000-0005-0000-0000-0000DEA50000}"/>
    <cellStyle name="Note 5 4 2 2 2" xfId="42333" xr:uid="{00000000-0005-0000-0000-0000DFA50000}"/>
    <cellStyle name="Note 5 4 2 2 2 2" xfId="42334" xr:uid="{00000000-0005-0000-0000-0000E0A50000}"/>
    <cellStyle name="Note 5 4 2 2 2 2 2" xfId="42335" xr:uid="{00000000-0005-0000-0000-0000E1A50000}"/>
    <cellStyle name="Note 5 4 2 2 2 3" xfId="42336" xr:uid="{00000000-0005-0000-0000-0000E2A50000}"/>
    <cellStyle name="Note 5 4 2 2 3" xfId="42337" xr:uid="{00000000-0005-0000-0000-0000E3A50000}"/>
    <cellStyle name="Note 5 4 2 2 3 2" xfId="42338" xr:uid="{00000000-0005-0000-0000-0000E4A50000}"/>
    <cellStyle name="Note 5 4 2 2 4" xfId="42339" xr:uid="{00000000-0005-0000-0000-0000E5A50000}"/>
    <cellStyle name="Note 5 4 2 3" xfId="42340" xr:uid="{00000000-0005-0000-0000-0000E6A50000}"/>
    <cellStyle name="Note 5 4 2 3 2" xfId="42341" xr:uid="{00000000-0005-0000-0000-0000E7A50000}"/>
    <cellStyle name="Note 5 4 2 3 2 2" xfId="42342" xr:uid="{00000000-0005-0000-0000-0000E8A50000}"/>
    <cellStyle name="Note 5 4 2 3 3" xfId="42343" xr:uid="{00000000-0005-0000-0000-0000E9A50000}"/>
    <cellStyle name="Note 5 4 2 4" xfId="42344" xr:uid="{00000000-0005-0000-0000-0000EAA50000}"/>
    <cellStyle name="Note 5 4 2 4 2" xfId="42345" xr:uid="{00000000-0005-0000-0000-0000EBA50000}"/>
    <cellStyle name="Note 5 4 2 5" xfId="42346" xr:uid="{00000000-0005-0000-0000-0000ECA50000}"/>
    <cellStyle name="Note 5 4 3" xfId="42347" xr:uid="{00000000-0005-0000-0000-0000EDA50000}"/>
    <cellStyle name="Note 5 4 3 2" xfId="42348" xr:uid="{00000000-0005-0000-0000-0000EEA50000}"/>
    <cellStyle name="Note 5 4 3 2 2" xfId="42349" xr:uid="{00000000-0005-0000-0000-0000EFA50000}"/>
    <cellStyle name="Note 5 4 3 2 2 2" xfId="42350" xr:uid="{00000000-0005-0000-0000-0000F0A50000}"/>
    <cellStyle name="Note 5 4 3 2 3" xfId="42351" xr:uid="{00000000-0005-0000-0000-0000F1A50000}"/>
    <cellStyle name="Note 5 4 3 3" xfId="42352" xr:uid="{00000000-0005-0000-0000-0000F2A50000}"/>
    <cellStyle name="Note 5 4 3 3 2" xfId="42353" xr:uid="{00000000-0005-0000-0000-0000F3A50000}"/>
    <cellStyle name="Note 5 4 3 4" xfId="42354" xr:uid="{00000000-0005-0000-0000-0000F4A50000}"/>
    <cellStyle name="Note 5 4 4" xfId="42355" xr:uid="{00000000-0005-0000-0000-0000F5A50000}"/>
    <cellStyle name="Note 5 4 4 2" xfId="42356" xr:uid="{00000000-0005-0000-0000-0000F6A50000}"/>
    <cellStyle name="Note 5 4 4 2 2" xfId="42357" xr:uid="{00000000-0005-0000-0000-0000F7A50000}"/>
    <cellStyle name="Note 5 4 4 3" xfId="42358" xr:uid="{00000000-0005-0000-0000-0000F8A50000}"/>
    <cellStyle name="Note 5 4 5" xfId="42359" xr:uid="{00000000-0005-0000-0000-0000F9A50000}"/>
    <cellStyle name="Note 5 4 5 2" xfId="42360" xr:uid="{00000000-0005-0000-0000-0000FAA50000}"/>
    <cellStyle name="Note 5 4 6" xfId="42361" xr:uid="{00000000-0005-0000-0000-0000FBA50000}"/>
    <cellStyle name="Note 5 5" xfId="42362" xr:uid="{00000000-0005-0000-0000-0000FCA50000}"/>
    <cellStyle name="Note 5 5 2" xfId="42363" xr:uid="{00000000-0005-0000-0000-0000FDA50000}"/>
    <cellStyle name="Note 5 5 2 2" xfId="42364" xr:uid="{00000000-0005-0000-0000-0000FEA50000}"/>
    <cellStyle name="Note 5 5 3" xfId="42365" xr:uid="{00000000-0005-0000-0000-0000FFA50000}"/>
    <cellStyle name="Note 5 6" xfId="42366" xr:uid="{00000000-0005-0000-0000-000000A60000}"/>
    <cellStyle name="Note 5 6 2" xfId="42367" xr:uid="{00000000-0005-0000-0000-000001A60000}"/>
    <cellStyle name="Note 5 6 2 2" xfId="42368" xr:uid="{00000000-0005-0000-0000-000002A60000}"/>
    <cellStyle name="Note 5 6 3" xfId="42369" xr:uid="{00000000-0005-0000-0000-000003A60000}"/>
    <cellStyle name="Note 5 7" xfId="42370" xr:uid="{00000000-0005-0000-0000-000004A60000}"/>
    <cellStyle name="Note 5 7 2" xfId="42371" xr:uid="{00000000-0005-0000-0000-000005A60000}"/>
    <cellStyle name="Note 5 7 2 2" xfId="42372" xr:uid="{00000000-0005-0000-0000-000006A60000}"/>
    <cellStyle name="Note 5 7 2 2 2" xfId="42373" xr:uid="{00000000-0005-0000-0000-000007A60000}"/>
    <cellStyle name="Note 5 7 2 3" xfId="42374" xr:uid="{00000000-0005-0000-0000-000008A60000}"/>
    <cellStyle name="Note 5 7 3" xfId="42375" xr:uid="{00000000-0005-0000-0000-000009A60000}"/>
    <cellStyle name="Note 5 7 3 2" xfId="42376" xr:uid="{00000000-0005-0000-0000-00000AA60000}"/>
    <cellStyle name="Note 5 7 4" xfId="42377" xr:uid="{00000000-0005-0000-0000-00000BA60000}"/>
    <cellStyle name="Note 5 8" xfId="42378" xr:uid="{00000000-0005-0000-0000-00000CA60000}"/>
    <cellStyle name="Note 5 8 2" xfId="42379" xr:uid="{00000000-0005-0000-0000-00000DA60000}"/>
    <cellStyle name="Note 5 8 2 2" xfId="42380" xr:uid="{00000000-0005-0000-0000-00000EA60000}"/>
    <cellStyle name="Note 5 8 3" xfId="42381" xr:uid="{00000000-0005-0000-0000-00000FA60000}"/>
    <cellStyle name="Note 5 9" xfId="42382" xr:uid="{00000000-0005-0000-0000-000010A60000}"/>
    <cellStyle name="Note 5 9 2" xfId="42383" xr:uid="{00000000-0005-0000-0000-000011A60000}"/>
    <cellStyle name="Note 6" xfId="42384" xr:uid="{00000000-0005-0000-0000-000012A60000}"/>
    <cellStyle name="Note 6 2" xfId="42385" xr:uid="{00000000-0005-0000-0000-000013A60000}"/>
    <cellStyle name="Note 6 2 2" xfId="42386" xr:uid="{00000000-0005-0000-0000-000014A60000}"/>
    <cellStyle name="Note 6 2 2 2" xfId="42387" xr:uid="{00000000-0005-0000-0000-000015A60000}"/>
    <cellStyle name="Note 6 2 2 2 2" xfId="42388" xr:uid="{00000000-0005-0000-0000-000016A60000}"/>
    <cellStyle name="Note 6 2 2 2 2 2" xfId="42389" xr:uid="{00000000-0005-0000-0000-000017A60000}"/>
    <cellStyle name="Note 6 2 2 2 2 2 2" xfId="42390" xr:uid="{00000000-0005-0000-0000-000018A60000}"/>
    <cellStyle name="Note 6 2 2 2 2 3" xfId="42391" xr:uid="{00000000-0005-0000-0000-000019A60000}"/>
    <cellStyle name="Note 6 2 2 2 3" xfId="42392" xr:uid="{00000000-0005-0000-0000-00001AA60000}"/>
    <cellStyle name="Note 6 2 2 2 3 2" xfId="42393" xr:uid="{00000000-0005-0000-0000-00001BA60000}"/>
    <cellStyle name="Note 6 2 2 2 4" xfId="42394" xr:uid="{00000000-0005-0000-0000-00001CA60000}"/>
    <cellStyle name="Note 6 2 2 3" xfId="42395" xr:uid="{00000000-0005-0000-0000-00001DA60000}"/>
    <cellStyle name="Note 6 2 2 3 2" xfId="42396" xr:uid="{00000000-0005-0000-0000-00001EA60000}"/>
    <cellStyle name="Note 6 2 2 3 2 2" xfId="42397" xr:uid="{00000000-0005-0000-0000-00001FA60000}"/>
    <cellStyle name="Note 6 2 2 3 3" xfId="42398" xr:uid="{00000000-0005-0000-0000-000020A60000}"/>
    <cellStyle name="Note 6 2 2 4" xfId="42399" xr:uid="{00000000-0005-0000-0000-000021A60000}"/>
    <cellStyle name="Note 6 2 2 4 2" xfId="42400" xr:uid="{00000000-0005-0000-0000-000022A60000}"/>
    <cellStyle name="Note 6 2 2 5" xfId="42401" xr:uid="{00000000-0005-0000-0000-000023A60000}"/>
    <cellStyle name="Note 6 2 3" xfId="42402" xr:uid="{00000000-0005-0000-0000-000024A60000}"/>
    <cellStyle name="Note 6 2 3 2" xfId="42403" xr:uid="{00000000-0005-0000-0000-000025A60000}"/>
    <cellStyle name="Note 6 2 3 2 2" xfId="42404" xr:uid="{00000000-0005-0000-0000-000026A60000}"/>
    <cellStyle name="Note 6 2 3 3" xfId="42405" xr:uid="{00000000-0005-0000-0000-000027A60000}"/>
    <cellStyle name="Note 6 2 4" xfId="42406" xr:uid="{00000000-0005-0000-0000-000028A60000}"/>
    <cellStyle name="Note 6 2 4 2" xfId="42407" xr:uid="{00000000-0005-0000-0000-000029A60000}"/>
    <cellStyle name="Note 6 2 4 2 2" xfId="42408" xr:uid="{00000000-0005-0000-0000-00002AA60000}"/>
    <cellStyle name="Note 6 2 4 3" xfId="42409" xr:uid="{00000000-0005-0000-0000-00002BA60000}"/>
    <cellStyle name="Note 6 2 5" xfId="42410" xr:uid="{00000000-0005-0000-0000-00002CA60000}"/>
    <cellStyle name="Note 6 2 5 2" xfId="42411" xr:uid="{00000000-0005-0000-0000-00002DA60000}"/>
    <cellStyle name="Note 6 2 5 2 2" xfId="42412" xr:uid="{00000000-0005-0000-0000-00002EA60000}"/>
    <cellStyle name="Note 6 2 5 2 2 2" xfId="42413" xr:uid="{00000000-0005-0000-0000-00002FA60000}"/>
    <cellStyle name="Note 6 2 5 2 3" xfId="42414" xr:uid="{00000000-0005-0000-0000-000030A60000}"/>
    <cellStyle name="Note 6 2 5 3" xfId="42415" xr:uid="{00000000-0005-0000-0000-000031A60000}"/>
    <cellStyle name="Note 6 2 5 3 2" xfId="42416" xr:uid="{00000000-0005-0000-0000-000032A60000}"/>
    <cellStyle name="Note 6 2 5 4" xfId="42417" xr:uid="{00000000-0005-0000-0000-000033A60000}"/>
    <cellStyle name="Note 6 2 6" xfId="42418" xr:uid="{00000000-0005-0000-0000-000034A60000}"/>
    <cellStyle name="Note 6 2 6 2" xfId="42419" xr:uid="{00000000-0005-0000-0000-000035A60000}"/>
    <cellStyle name="Note 6 2 6 2 2" xfId="42420" xr:uid="{00000000-0005-0000-0000-000036A60000}"/>
    <cellStyle name="Note 6 2 6 3" xfId="42421" xr:uid="{00000000-0005-0000-0000-000037A60000}"/>
    <cellStyle name="Note 6 2 7" xfId="42422" xr:uid="{00000000-0005-0000-0000-000038A60000}"/>
    <cellStyle name="Note 6 2 7 2" xfId="42423" xr:uid="{00000000-0005-0000-0000-000039A60000}"/>
    <cellStyle name="Note 6 2 8" xfId="42424" xr:uid="{00000000-0005-0000-0000-00003AA60000}"/>
    <cellStyle name="Note 6 3" xfId="42425" xr:uid="{00000000-0005-0000-0000-00003BA60000}"/>
    <cellStyle name="Note 6 3 2" xfId="42426" xr:uid="{00000000-0005-0000-0000-00003CA60000}"/>
    <cellStyle name="Note 6 3 2 2" xfId="42427" xr:uid="{00000000-0005-0000-0000-00003DA60000}"/>
    <cellStyle name="Note 6 3 2 2 2" xfId="42428" xr:uid="{00000000-0005-0000-0000-00003EA60000}"/>
    <cellStyle name="Note 6 3 2 2 2 2" xfId="42429" xr:uid="{00000000-0005-0000-0000-00003FA60000}"/>
    <cellStyle name="Note 6 3 2 2 2 2 2" xfId="42430" xr:uid="{00000000-0005-0000-0000-000040A60000}"/>
    <cellStyle name="Note 6 3 2 2 2 3" xfId="42431" xr:uid="{00000000-0005-0000-0000-000041A60000}"/>
    <cellStyle name="Note 6 3 2 2 3" xfId="42432" xr:uid="{00000000-0005-0000-0000-000042A60000}"/>
    <cellStyle name="Note 6 3 2 2 3 2" xfId="42433" xr:uid="{00000000-0005-0000-0000-000043A60000}"/>
    <cellStyle name="Note 6 3 2 2 4" xfId="42434" xr:uid="{00000000-0005-0000-0000-000044A60000}"/>
    <cellStyle name="Note 6 3 2 3" xfId="42435" xr:uid="{00000000-0005-0000-0000-000045A60000}"/>
    <cellStyle name="Note 6 3 2 3 2" xfId="42436" xr:uid="{00000000-0005-0000-0000-000046A60000}"/>
    <cellStyle name="Note 6 3 2 3 2 2" xfId="42437" xr:uid="{00000000-0005-0000-0000-000047A60000}"/>
    <cellStyle name="Note 6 3 2 3 3" xfId="42438" xr:uid="{00000000-0005-0000-0000-000048A60000}"/>
    <cellStyle name="Note 6 3 2 4" xfId="42439" xr:uid="{00000000-0005-0000-0000-000049A60000}"/>
    <cellStyle name="Note 6 3 2 4 2" xfId="42440" xr:uid="{00000000-0005-0000-0000-00004AA60000}"/>
    <cellStyle name="Note 6 3 2 5" xfId="42441" xr:uid="{00000000-0005-0000-0000-00004BA60000}"/>
    <cellStyle name="Note 6 3 3" xfId="42442" xr:uid="{00000000-0005-0000-0000-00004CA60000}"/>
    <cellStyle name="Note 6 3 3 2" xfId="42443" xr:uid="{00000000-0005-0000-0000-00004DA60000}"/>
    <cellStyle name="Note 6 3 3 2 2" xfId="42444" xr:uid="{00000000-0005-0000-0000-00004EA60000}"/>
    <cellStyle name="Note 6 3 3 2 2 2" xfId="42445" xr:uid="{00000000-0005-0000-0000-00004FA60000}"/>
    <cellStyle name="Note 6 3 3 2 3" xfId="42446" xr:uid="{00000000-0005-0000-0000-000050A60000}"/>
    <cellStyle name="Note 6 3 3 3" xfId="42447" xr:uid="{00000000-0005-0000-0000-000051A60000}"/>
    <cellStyle name="Note 6 3 3 3 2" xfId="42448" xr:uid="{00000000-0005-0000-0000-000052A60000}"/>
    <cellStyle name="Note 6 3 3 4" xfId="42449" xr:uid="{00000000-0005-0000-0000-000053A60000}"/>
    <cellStyle name="Note 6 3 4" xfId="42450" xr:uid="{00000000-0005-0000-0000-000054A60000}"/>
    <cellStyle name="Note 6 3 4 2" xfId="42451" xr:uid="{00000000-0005-0000-0000-000055A60000}"/>
    <cellStyle name="Note 6 3 4 2 2" xfId="42452" xr:uid="{00000000-0005-0000-0000-000056A60000}"/>
    <cellStyle name="Note 6 3 4 3" xfId="42453" xr:uid="{00000000-0005-0000-0000-000057A60000}"/>
    <cellStyle name="Note 6 3 5" xfId="42454" xr:uid="{00000000-0005-0000-0000-000058A60000}"/>
    <cellStyle name="Note 6 3 5 2" xfId="42455" xr:uid="{00000000-0005-0000-0000-000059A60000}"/>
    <cellStyle name="Note 6 3 6" xfId="42456" xr:uid="{00000000-0005-0000-0000-00005AA60000}"/>
    <cellStyle name="Note 6 4" xfId="42457" xr:uid="{00000000-0005-0000-0000-00005BA60000}"/>
    <cellStyle name="Note 6 4 2" xfId="42458" xr:uid="{00000000-0005-0000-0000-00005CA60000}"/>
    <cellStyle name="Note 6 4 2 2" xfId="42459" xr:uid="{00000000-0005-0000-0000-00005DA60000}"/>
    <cellStyle name="Note 6 4 3" xfId="42460" xr:uid="{00000000-0005-0000-0000-00005EA60000}"/>
    <cellStyle name="Note 6 5" xfId="42461" xr:uid="{00000000-0005-0000-0000-00005FA60000}"/>
    <cellStyle name="Note 6 5 2" xfId="42462" xr:uid="{00000000-0005-0000-0000-000060A60000}"/>
    <cellStyle name="Note 6 5 2 2" xfId="42463" xr:uid="{00000000-0005-0000-0000-000061A60000}"/>
    <cellStyle name="Note 6 5 3" xfId="42464" xr:uid="{00000000-0005-0000-0000-000062A60000}"/>
    <cellStyle name="Note 6 6" xfId="42465" xr:uid="{00000000-0005-0000-0000-000063A60000}"/>
    <cellStyle name="Note 6 6 2" xfId="42466" xr:uid="{00000000-0005-0000-0000-000064A60000}"/>
    <cellStyle name="Note 6 6 2 2" xfId="42467" xr:uid="{00000000-0005-0000-0000-000065A60000}"/>
    <cellStyle name="Note 6 6 2 2 2" xfId="42468" xr:uid="{00000000-0005-0000-0000-000066A60000}"/>
    <cellStyle name="Note 6 6 2 3" xfId="42469" xr:uid="{00000000-0005-0000-0000-000067A60000}"/>
    <cellStyle name="Note 6 6 3" xfId="42470" xr:uid="{00000000-0005-0000-0000-000068A60000}"/>
    <cellStyle name="Note 6 6 3 2" xfId="42471" xr:uid="{00000000-0005-0000-0000-000069A60000}"/>
    <cellStyle name="Note 6 6 4" xfId="42472" xr:uid="{00000000-0005-0000-0000-00006AA60000}"/>
    <cellStyle name="Note 6 7" xfId="42473" xr:uid="{00000000-0005-0000-0000-00006BA60000}"/>
    <cellStyle name="Note 6 7 2" xfId="42474" xr:uid="{00000000-0005-0000-0000-00006CA60000}"/>
    <cellStyle name="Note 6 7 2 2" xfId="42475" xr:uid="{00000000-0005-0000-0000-00006DA60000}"/>
    <cellStyle name="Note 6 7 3" xfId="42476" xr:uid="{00000000-0005-0000-0000-00006EA60000}"/>
    <cellStyle name="Note 6 8" xfId="42477" xr:uid="{00000000-0005-0000-0000-00006FA60000}"/>
    <cellStyle name="Note 6 8 2" xfId="42478" xr:uid="{00000000-0005-0000-0000-000070A60000}"/>
    <cellStyle name="Note 6 9" xfId="42479" xr:uid="{00000000-0005-0000-0000-000071A60000}"/>
    <cellStyle name="Note 7" xfId="42480" xr:uid="{00000000-0005-0000-0000-000072A60000}"/>
    <cellStyle name="Note 7 2" xfId="42481" xr:uid="{00000000-0005-0000-0000-000073A60000}"/>
    <cellStyle name="Note 7 2 2" xfId="42482" xr:uid="{00000000-0005-0000-0000-000074A60000}"/>
    <cellStyle name="Note 7 2 2 2" xfId="42483" xr:uid="{00000000-0005-0000-0000-000075A60000}"/>
    <cellStyle name="Note 7 2 2 2 2" xfId="42484" xr:uid="{00000000-0005-0000-0000-000076A60000}"/>
    <cellStyle name="Note 7 2 2 2 2 2" xfId="42485" xr:uid="{00000000-0005-0000-0000-000077A60000}"/>
    <cellStyle name="Note 7 2 2 2 3" xfId="42486" xr:uid="{00000000-0005-0000-0000-000078A60000}"/>
    <cellStyle name="Note 7 2 2 3" xfId="42487" xr:uid="{00000000-0005-0000-0000-000079A60000}"/>
    <cellStyle name="Note 7 2 2 3 2" xfId="42488" xr:uid="{00000000-0005-0000-0000-00007AA60000}"/>
    <cellStyle name="Note 7 2 2 4" xfId="42489" xr:uid="{00000000-0005-0000-0000-00007BA60000}"/>
    <cellStyle name="Note 7 2 3" xfId="42490" xr:uid="{00000000-0005-0000-0000-00007CA60000}"/>
    <cellStyle name="Note 7 2 3 2" xfId="42491" xr:uid="{00000000-0005-0000-0000-00007DA60000}"/>
    <cellStyle name="Note 7 2 3 2 2" xfId="42492" xr:uid="{00000000-0005-0000-0000-00007EA60000}"/>
    <cellStyle name="Note 7 2 3 3" xfId="42493" xr:uid="{00000000-0005-0000-0000-00007FA60000}"/>
    <cellStyle name="Note 7 2 4" xfId="42494" xr:uid="{00000000-0005-0000-0000-000080A60000}"/>
    <cellStyle name="Note 7 2 4 2" xfId="42495" xr:uid="{00000000-0005-0000-0000-000081A60000}"/>
    <cellStyle name="Note 7 2 5" xfId="42496" xr:uid="{00000000-0005-0000-0000-000082A60000}"/>
    <cellStyle name="Note 7 3" xfId="42497" xr:uid="{00000000-0005-0000-0000-000083A60000}"/>
    <cellStyle name="Note 7 3 2" xfId="42498" xr:uid="{00000000-0005-0000-0000-000084A60000}"/>
    <cellStyle name="Note 7 3 2 2" xfId="42499" xr:uid="{00000000-0005-0000-0000-000085A60000}"/>
    <cellStyle name="Note 7 3 3" xfId="42500" xr:uid="{00000000-0005-0000-0000-000086A60000}"/>
    <cellStyle name="Note 7 4" xfId="42501" xr:uid="{00000000-0005-0000-0000-000087A60000}"/>
    <cellStyle name="Note 7 4 2" xfId="42502" xr:uid="{00000000-0005-0000-0000-000088A60000}"/>
    <cellStyle name="Note 7 4 2 2" xfId="42503" xr:uid="{00000000-0005-0000-0000-000089A60000}"/>
    <cellStyle name="Note 7 4 2 2 2" xfId="42504" xr:uid="{00000000-0005-0000-0000-00008AA60000}"/>
    <cellStyle name="Note 7 4 2 3" xfId="42505" xr:uid="{00000000-0005-0000-0000-00008BA60000}"/>
    <cellStyle name="Note 7 4 3" xfId="42506" xr:uid="{00000000-0005-0000-0000-00008CA60000}"/>
    <cellStyle name="Note 7 4 3 2" xfId="42507" xr:uid="{00000000-0005-0000-0000-00008DA60000}"/>
    <cellStyle name="Note 7 4 4" xfId="42508" xr:uid="{00000000-0005-0000-0000-00008EA60000}"/>
    <cellStyle name="Note 7 5" xfId="42509" xr:uid="{00000000-0005-0000-0000-00008FA60000}"/>
    <cellStyle name="Note 7 5 2" xfId="42510" xr:uid="{00000000-0005-0000-0000-000090A60000}"/>
    <cellStyle name="Note 7 5 2 2" xfId="42511" xr:uid="{00000000-0005-0000-0000-000091A60000}"/>
    <cellStyle name="Note 7 5 3" xfId="42512" xr:uid="{00000000-0005-0000-0000-000092A60000}"/>
    <cellStyle name="Note 7 6" xfId="42513" xr:uid="{00000000-0005-0000-0000-000093A60000}"/>
    <cellStyle name="Note 7 6 2" xfId="42514" xr:uid="{00000000-0005-0000-0000-000094A60000}"/>
    <cellStyle name="Note 7 7" xfId="42515" xr:uid="{00000000-0005-0000-0000-000095A60000}"/>
    <cellStyle name="Note 8" xfId="42516" xr:uid="{00000000-0005-0000-0000-000096A60000}"/>
    <cellStyle name="Note 8 2" xfId="42517" xr:uid="{00000000-0005-0000-0000-000097A60000}"/>
    <cellStyle name="Note 8 2 2" xfId="42518" xr:uid="{00000000-0005-0000-0000-000098A60000}"/>
    <cellStyle name="Note 8 2 2 2" xfId="42519" xr:uid="{00000000-0005-0000-0000-000099A60000}"/>
    <cellStyle name="Note 8 2 2 2 2" xfId="42520" xr:uid="{00000000-0005-0000-0000-00009AA60000}"/>
    <cellStyle name="Note 8 2 2 2 2 2" xfId="42521" xr:uid="{00000000-0005-0000-0000-00009BA60000}"/>
    <cellStyle name="Note 8 2 2 2 2 2 2" xfId="42522" xr:uid="{00000000-0005-0000-0000-00009CA60000}"/>
    <cellStyle name="Note 8 2 2 2 2 3" xfId="42523" xr:uid="{00000000-0005-0000-0000-00009DA60000}"/>
    <cellStyle name="Note 8 2 2 2 3" xfId="42524" xr:uid="{00000000-0005-0000-0000-00009EA60000}"/>
    <cellStyle name="Note 8 2 2 2 3 2" xfId="42525" xr:uid="{00000000-0005-0000-0000-00009FA60000}"/>
    <cellStyle name="Note 8 2 2 2 4" xfId="42526" xr:uid="{00000000-0005-0000-0000-0000A0A60000}"/>
    <cellStyle name="Note 8 2 2 3" xfId="42527" xr:uid="{00000000-0005-0000-0000-0000A1A60000}"/>
    <cellStyle name="Note 8 2 2 3 2" xfId="42528" xr:uid="{00000000-0005-0000-0000-0000A2A60000}"/>
    <cellStyle name="Note 8 2 2 3 2 2" xfId="42529" xr:uid="{00000000-0005-0000-0000-0000A3A60000}"/>
    <cellStyle name="Note 8 2 2 3 3" xfId="42530" xr:uid="{00000000-0005-0000-0000-0000A4A60000}"/>
    <cellStyle name="Note 8 2 2 4" xfId="42531" xr:uid="{00000000-0005-0000-0000-0000A5A60000}"/>
    <cellStyle name="Note 8 2 2 4 2" xfId="42532" xr:uid="{00000000-0005-0000-0000-0000A6A60000}"/>
    <cellStyle name="Note 8 2 2 5" xfId="42533" xr:uid="{00000000-0005-0000-0000-0000A7A60000}"/>
    <cellStyle name="Note 8 2 3" xfId="42534" xr:uid="{00000000-0005-0000-0000-0000A8A60000}"/>
    <cellStyle name="Note 8 2 3 2" xfId="42535" xr:uid="{00000000-0005-0000-0000-0000A9A60000}"/>
    <cellStyle name="Note 8 2 3 2 2" xfId="42536" xr:uid="{00000000-0005-0000-0000-0000AAA60000}"/>
    <cellStyle name="Note 8 2 3 2 2 2" xfId="42537" xr:uid="{00000000-0005-0000-0000-0000ABA60000}"/>
    <cellStyle name="Note 8 2 3 2 3" xfId="42538" xr:uid="{00000000-0005-0000-0000-0000ACA60000}"/>
    <cellStyle name="Note 8 2 3 3" xfId="42539" xr:uid="{00000000-0005-0000-0000-0000ADA60000}"/>
    <cellStyle name="Note 8 2 3 3 2" xfId="42540" xr:uid="{00000000-0005-0000-0000-0000AEA60000}"/>
    <cellStyle name="Note 8 2 3 4" xfId="42541" xr:uid="{00000000-0005-0000-0000-0000AFA60000}"/>
    <cellStyle name="Note 8 2 4" xfId="42542" xr:uid="{00000000-0005-0000-0000-0000B0A60000}"/>
    <cellStyle name="Note 8 2 4 2" xfId="42543" xr:uid="{00000000-0005-0000-0000-0000B1A60000}"/>
    <cellStyle name="Note 8 2 4 2 2" xfId="42544" xr:uid="{00000000-0005-0000-0000-0000B2A60000}"/>
    <cellStyle name="Note 8 2 4 3" xfId="42545" xr:uid="{00000000-0005-0000-0000-0000B3A60000}"/>
    <cellStyle name="Note 8 2 5" xfId="42546" xr:uid="{00000000-0005-0000-0000-0000B4A60000}"/>
    <cellStyle name="Note 8 2 5 2" xfId="42547" xr:uid="{00000000-0005-0000-0000-0000B5A60000}"/>
    <cellStyle name="Note 8 2 6" xfId="42548" xr:uid="{00000000-0005-0000-0000-0000B6A60000}"/>
    <cellStyle name="Note 8 3" xfId="42549" xr:uid="{00000000-0005-0000-0000-0000B7A60000}"/>
    <cellStyle name="Note 8 3 2" xfId="42550" xr:uid="{00000000-0005-0000-0000-0000B8A60000}"/>
    <cellStyle name="Note 8 3 2 2" xfId="42551" xr:uid="{00000000-0005-0000-0000-0000B9A60000}"/>
    <cellStyle name="Note 8 3 2 2 2" xfId="42552" xr:uid="{00000000-0005-0000-0000-0000BAA60000}"/>
    <cellStyle name="Note 8 3 2 2 2 2" xfId="42553" xr:uid="{00000000-0005-0000-0000-0000BBA60000}"/>
    <cellStyle name="Note 8 3 2 2 2 2 2" xfId="42554" xr:uid="{00000000-0005-0000-0000-0000BCA60000}"/>
    <cellStyle name="Note 8 3 2 2 2 2 2 2" xfId="42555" xr:uid="{00000000-0005-0000-0000-0000BDA60000}"/>
    <cellStyle name="Note 8 3 2 2 2 2 3" xfId="42556" xr:uid="{00000000-0005-0000-0000-0000BEA60000}"/>
    <cellStyle name="Note 8 3 2 2 2 3" xfId="42557" xr:uid="{00000000-0005-0000-0000-0000BFA60000}"/>
    <cellStyle name="Note 8 3 2 2 2 3 2" xfId="42558" xr:uid="{00000000-0005-0000-0000-0000C0A60000}"/>
    <cellStyle name="Note 8 3 2 2 2 4" xfId="42559" xr:uid="{00000000-0005-0000-0000-0000C1A60000}"/>
    <cellStyle name="Note 8 3 2 2 3" xfId="42560" xr:uid="{00000000-0005-0000-0000-0000C2A60000}"/>
    <cellStyle name="Note 8 3 2 2 3 2" xfId="42561" xr:uid="{00000000-0005-0000-0000-0000C3A60000}"/>
    <cellStyle name="Note 8 3 2 2 3 2 2" xfId="42562" xr:uid="{00000000-0005-0000-0000-0000C4A60000}"/>
    <cellStyle name="Note 8 3 2 2 3 3" xfId="42563" xr:uid="{00000000-0005-0000-0000-0000C5A60000}"/>
    <cellStyle name="Note 8 3 2 2 4" xfId="42564" xr:uid="{00000000-0005-0000-0000-0000C6A60000}"/>
    <cellStyle name="Note 8 3 2 2 4 2" xfId="42565" xr:uid="{00000000-0005-0000-0000-0000C7A60000}"/>
    <cellStyle name="Note 8 3 2 2 5" xfId="42566" xr:uid="{00000000-0005-0000-0000-0000C8A60000}"/>
    <cellStyle name="Note 8 3 2 3" xfId="42567" xr:uid="{00000000-0005-0000-0000-0000C9A60000}"/>
    <cellStyle name="Note 8 3 2 3 2" xfId="42568" xr:uid="{00000000-0005-0000-0000-0000CAA60000}"/>
    <cellStyle name="Note 8 3 2 3 2 2" xfId="42569" xr:uid="{00000000-0005-0000-0000-0000CBA60000}"/>
    <cellStyle name="Note 8 3 2 3 2 2 2" xfId="42570" xr:uid="{00000000-0005-0000-0000-0000CCA60000}"/>
    <cellStyle name="Note 8 3 2 3 2 3" xfId="42571" xr:uid="{00000000-0005-0000-0000-0000CDA60000}"/>
    <cellStyle name="Note 8 3 2 3 3" xfId="42572" xr:uid="{00000000-0005-0000-0000-0000CEA60000}"/>
    <cellStyle name="Note 8 3 2 3 3 2" xfId="42573" xr:uid="{00000000-0005-0000-0000-0000CFA60000}"/>
    <cellStyle name="Note 8 3 2 3 4" xfId="42574" xr:uid="{00000000-0005-0000-0000-0000D0A60000}"/>
    <cellStyle name="Note 8 3 2 4" xfId="42575" xr:uid="{00000000-0005-0000-0000-0000D1A60000}"/>
    <cellStyle name="Note 8 3 2 4 2" xfId="42576" xr:uid="{00000000-0005-0000-0000-0000D2A60000}"/>
    <cellStyle name="Note 8 3 2 4 2 2" xfId="42577" xr:uid="{00000000-0005-0000-0000-0000D3A60000}"/>
    <cellStyle name="Note 8 3 2 4 3" xfId="42578" xr:uid="{00000000-0005-0000-0000-0000D4A60000}"/>
    <cellStyle name="Note 8 3 2 5" xfId="42579" xr:uid="{00000000-0005-0000-0000-0000D5A60000}"/>
    <cellStyle name="Note 8 3 2 5 2" xfId="42580" xr:uid="{00000000-0005-0000-0000-0000D6A60000}"/>
    <cellStyle name="Note 8 3 2 6" xfId="42581" xr:uid="{00000000-0005-0000-0000-0000D7A60000}"/>
    <cellStyle name="Note 8 3 3" xfId="42582" xr:uid="{00000000-0005-0000-0000-0000D8A60000}"/>
    <cellStyle name="Note 8 3 3 2" xfId="42583" xr:uid="{00000000-0005-0000-0000-0000D9A60000}"/>
    <cellStyle name="Note 8 3 3 2 2" xfId="42584" xr:uid="{00000000-0005-0000-0000-0000DAA60000}"/>
    <cellStyle name="Note 8 3 3 2 2 2" xfId="42585" xr:uid="{00000000-0005-0000-0000-0000DBA60000}"/>
    <cellStyle name="Note 8 3 3 2 2 2 2" xfId="42586" xr:uid="{00000000-0005-0000-0000-0000DCA60000}"/>
    <cellStyle name="Note 8 3 3 2 2 3" xfId="42587" xr:uid="{00000000-0005-0000-0000-0000DDA60000}"/>
    <cellStyle name="Note 8 3 3 2 3" xfId="42588" xr:uid="{00000000-0005-0000-0000-0000DEA60000}"/>
    <cellStyle name="Note 8 3 3 2 3 2" xfId="42589" xr:uid="{00000000-0005-0000-0000-0000DFA60000}"/>
    <cellStyle name="Note 8 3 3 2 4" xfId="42590" xr:uid="{00000000-0005-0000-0000-0000E0A60000}"/>
    <cellStyle name="Note 8 3 3 3" xfId="42591" xr:uid="{00000000-0005-0000-0000-0000E1A60000}"/>
    <cellStyle name="Note 8 3 3 3 2" xfId="42592" xr:uid="{00000000-0005-0000-0000-0000E2A60000}"/>
    <cellStyle name="Note 8 3 3 3 2 2" xfId="42593" xr:uid="{00000000-0005-0000-0000-0000E3A60000}"/>
    <cellStyle name="Note 8 3 3 3 3" xfId="42594" xr:uid="{00000000-0005-0000-0000-0000E4A60000}"/>
    <cellStyle name="Note 8 3 3 4" xfId="42595" xr:uid="{00000000-0005-0000-0000-0000E5A60000}"/>
    <cellStyle name="Note 8 3 3 4 2" xfId="42596" xr:uid="{00000000-0005-0000-0000-0000E6A60000}"/>
    <cellStyle name="Note 8 3 3 5" xfId="42597" xr:uid="{00000000-0005-0000-0000-0000E7A60000}"/>
    <cellStyle name="Note 8 3 4" xfId="42598" xr:uid="{00000000-0005-0000-0000-0000E8A60000}"/>
    <cellStyle name="Note 8 3 4 2" xfId="42599" xr:uid="{00000000-0005-0000-0000-0000E9A60000}"/>
    <cellStyle name="Note 8 3 4 2 2" xfId="42600" xr:uid="{00000000-0005-0000-0000-0000EAA60000}"/>
    <cellStyle name="Note 8 3 4 2 2 2" xfId="42601" xr:uid="{00000000-0005-0000-0000-0000EBA60000}"/>
    <cellStyle name="Note 8 3 4 2 3" xfId="42602" xr:uid="{00000000-0005-0000-0000-0000ECA60000}"/>
    <cellStyle name="Note 8 3 4 3" xfId="42603" xr:uid="{00000000-0005-0000-0000-0000EDA60000}"/>
    <cellStyle name="Note 8 3 4 3 2" xfId="42604" xr:uid="{00000000-0005-0000-0000-0000EEA60000}"/>
    <cellStyle name="Note 8 3 4 4" xfId="42605" xr:uid="{00000000-0005-0000-0000-0000EFA60000}"/>
    <cellStyle name="Note 8 3 5" xfId="42606" xr:uid="{00000000-0005-0000-0000-0000F0A60000}"/>
    <cellStyle name="Note 8 3 5 2" xfId="42607" xr:uid="{00000000-0005-0000-0000-0000F1A60000}"/>
    <cellStyle name="Note 8 3 5 2 2" xfId="42608" xr:uid="{00000000-0005-0000-0000-0000F2A60000}"/>
    <cellStyle name="Note 8 3 5 3" xfId="42609" xr:uid="{00000000-0005-0000-0000-0000F3A60000}"/>
    <cellStyle name="Note 8 3 6" xfId="42610" xr:uid="{00000000-0005-0000-0000-0000F4A60000}"/>
    <cellStyle name="Note 8 3 6 2" xfId="42611" xr:uid="{00000000-0005-0000-0000-0000F5A60000}"/>
    <cellStyle name="Note 8 3 7" xfId="42612" xr:uid="{00000000-0005-0000-0000-0000F6A60000}"/>
    <cellStyle name="Note 8 4" xfId="42613" xr:uid="{00000000-0005-0000-0000-0000F7A60000}"/>
    <cellStyle name="Note 8 4 2" xfId="42614" xr:uid="{00000000-0005-0000-0000-0000F8A60000}"/>
    <cellStyle name="Note 8 4 2 2" xfId="42615" xr:uid="{00000000-0005-0000-0000-0000F9A60000}"/>
    <cellStyle name="Note 8 4 3" xfId="42616" xr:uid="{00000000-0005-0000-0000-0000FAA60000}"/>
    <cellStyle name="Note 8 5" xfId="42617" xr:uid="{00000000-0005-0000-0000-0000FBA60000}"/>
    <cellStyle name="Note 8 5 2" xfId="42618" xr:uid="{00000000-0005-0000-0000-0000FCA60000}"/>
    <cellStyle name="Note 8 5 2 2" xfId="42619" xr:uid="{00000000-0005-0000-0000-0000FDA60000}"/>
    <cellStyle name="Note 8 5 2 2 2" xfId="42620" xr:uid="{00000000-0005-0000-0000-0000FEA60000}"/>
    <cellStyle name="Note 8 5 2 2 2 2" xfId="42621" xr:uid="{00000000-0005-0000-0000-0000FFA60000}"/>
    <cellStyle name="Note 8 5 2 2 3" xfId="42622" xr:uid="{00000000-0005-0000-0000-000000A70000}"/>
    <cellStyle name="Note 8 5 2 3" xfId="42623" xr:uid="{00000000-0005-0000-0000-000001A70000}"/>
    <cellStyle name="Note 8 5 2 3 2" xfId="42624" xr:uid="{00000000-0005-0000-0000-000002A70000}"/>
    <cellStyle name="Note 8 5 2 4" xfId="42625" xr:uid="{00000000-0005-0000-0000-000003A70000}"/>
    <cellStyle name="Note 8 5 3" xfId="42626" xr:uid="{00000000-0005-0000-0000-000004A70000}"/>
    <cellStyle name="Note 8 5 3 2" xfId="42627" xr:uid="{00000000-0005-0000-0000-000005A70000}"/>
    <cellStyle name="Note 8 5 3 2 2" xfId="42628" xr:uid="{00000000-0005-0000-0000-000006A70000}"/>
    <cellStyle name="Note 8 5 3 3" xfId="42629" xr:uid="{00000000-0005-0000-0000-000007A70000}"/>
    <cellStyle name="Note 8 5 4" xfId="42630" xr:uid="{00000000-0005-0000-0000-000008A70000}"/>
    <cellStyle name="Note 8 5 4 2" xfId="42631" xr:uid="{00000000-0005-0000-0000-000009A70000}"/>
    <cellStyle name="Note 8 5 5" xfId="42632" xr:uid="{00000000-0005-0000-0000-00000AA70000}"/>
    <cellStyle name="Note 8 6" xfId="42633" xr:uid="{00000000-0005-0000-0000-00000BA70000}"/>
    <cellStyle name="Note 8 6 2" xfId="42634" xr:uid="{00000000-0005-0000-0000-00000CA70000}"/>
    <cellStyle name="Note 8 6 2 2" xfId="42635" xr:uid="{00000000-0005-0000-0000-00000DA70000}"/>
    <cellStyle name="Note 8 6 2 2 2" xfId="42636" xr:uid="{00000000-0005-0000-0000-00000EA70000}"/>
    <cellStyle name="Note 8 6 2 3" xfId="42637" xr:uid="{00000000-0005-0000-0000-00000FA70000}"/>
    <cellStyle name="Note 8 6 3" xfId="42638" xr:uid="{00000000-0005-0000-0000-000010A70000}"/>
    <cellStyle name="Note 8 6 3 2" xfId="42639" xr:uid="{00000000-0005-0000-0000-000011A70000}"/>
    <cellStyle name="Note 8 6 4" xfId="42640" xr:uid="{00000000-0005-0000-0000-000012A70000}"/>
    <cellStyle name="Note 8 7" xfId="42641" xr:uid="{00000000-0005-0000-0000-000013A70000}"/>
    <cellStyle name="Note 8 7 2" xfId="42642" xr:uid="{00000000-0005-0000-0000-000014A70000}"/>
    <cellStyle name="Note 8 7 2 2" xfId="42643" xr:uid="{00000000-0005-0000-0000-000015A70000}"/>
    <cellStyle name="Note 8 7 3" xfId="42644" xr:uid="{00000000-0005-0000-0000-000016A70000}"/>
    <cellStyle name="Note 8 8" xfId="42645" xr:uid="{00000000-0005-0000-0000-000017A70000}"/>
    <cellStyle name="Note 8 8 2" xfId="42646" xr:uid="{00000000-0005-0000-0000-000018A70000}"/>
    <cellStyle name="Note 8 9" xfId="42647" xr:uid="{00000000-0005-0000-0000-000019A70000}"/>
    <cellStyle name="Note 9" xfId="42648" xr:uid="{00000000-0005-0000-0000-00001AA70000}"/>
    <cellStyle name="Note 9 2" xfId="42649" xr:uid="{00000000-0005-0000-0000-00001BA70000}"/>
    <cellStyle name="Note 9 2 2" xfId="42650" xr:uid="{00000000-0005-0000-0000-00001CA70000}"/>
    <cellStyle name="Note 9 2 2 2" xfId="42651" xr:uid="{00000000-0005-0000-0000-00001DA70000}"/>
    <cellStyle name="Note 9 2 2 2 2" xfId="42652" xr:uid="{00000000-0005-0000-0000-00001EA70000}"/>
    <cellStyle name="Note 9 2 2 3" xfId="42653" xr:uid="{00000000-0005-0000-0000-00001FA70000}"/>
    <cellStyle name="Note 9 2 3" xfId="42654" xr:uid="{00000000-0005-0000-0000-000020A70000}"/>
    <cellStyle name="Note 9 2 3 2" xfId="42655" xr:uid="{00000000-0005-0000-0000-000021A70000}"/>
    <cellStyle name="Note 9 2 4" xfId="42656" xr:uid="{00000000-0005-0000-0000-000022A70000}"/>
    <cellStyle name="Note 9 3" xfId="42657" xr:uid="{00000000-0005-0000-0000-000023A70000}"/>
    <cellStyle name="Note 9 3 2" xfId="42658" xr:uid="{00000000-0005-0000-0000-000024A70000}"/>
    <cellStyle name="Note 9 3 2 2" xfId="42659" xr:uid="{00000000-0005-0000-0000-000025A70000}"/>
    <cellStyle name="Note 9 3 3" xfId="42660" xr:uid="{00000000-0005-0000-0000-000026A70000}"/>
    <cellStyle name="Note 9 4" xfId="42661" xr:uid="{00000000-0005-0000-0000-000027A70000}"/>
    <cellStyle name="Note 9 4 2" xfId="42662" xr:uid="{00000000-0005-0000-0000-000028A70000}"/>
    <cellStyle name="Note 9 5" xfId="42663" xr:uid="{00000000-0005-0000-0000-000029A70000}"/>
    <cellStyle name="onezero" xfId="42664" xr:uid="{00000000-0005-0000-0000-00002AA70000}"/>
    <cellStyle name="onezero 2" xfId="42665" xr:uid="{00000000-0005-0000-0000-00002BA70000}"/>
    <cellStyle name="onezero 3" xfId="42666" xr:uid="{00000000-0005-0000-0000-00002CA70000}"/>
    <cellStyle name="onezero 3 2" xfId="42667" xr:uid="{00000000-0005-0000-0000-00002DA70000}"/>
    <cellStyle name="onezero 3 2 2" xfId="42668" xr:uid="{00000000-0005-0000-0000-00002EA70000}"/>
    <cellStyle name="onezero 3 3" xfId="42669" xr:uid="{00000000-0005-0000-0000-00002FA70000}"/>
    <cellStyle name="onezero 4" xfId="42670" xr:uid="{00000000-0005-0000-0000-000030A70000}"/>
    <cellStyle name="onezero 4 2" xfId="42671" xr:uid="{00000000-0005-0000-0000-000031A70000}"/>
    <cellStyle name="onezero 4 2 2" xfId="42672" xr:uid="{00000000-0005-0000-0000-000032A70000}"/>
    <cellStyle name="onezero 4 3" xfId="42673" xr:uid="{00000000-0005-0000-0000-000033A70000}"/>
    <cellStyle name="Output 10" xfId="42674" xr:uid="{00000000-0005-0000-0000-000034A70000}"/>
    <cellStyle name="Output 2" xfId="42675" xr:uid="{00000000-0005-0000-0000-000035A70000}"/>
    <cellStyle name="Output 2 10" xfId="42676" xr:uid="{00000000-0005-0000-0000-000036A70000}"/>
    <cellStyle name="Output 2 10 2" xfId="42677" xr:uid="{00000000-0005-0000-0000-000037A70000}"/>
    <cellStyle name="Output 2 10 2 2" xfId="42678" xr:uid="{00000000-0005-0000-0000-000038A70000}"/>
    <cellStyle name="Output 2 10 3" xfId="42679" xr:uid="{00000000-0005-0000-0000-000039A70000}"/>
    <cellStyle name="Output 2 11" xfId="42680" xr:uid="{00000000-0005-0000-0000-00003AA70000}"/>
    <cellStyle name="Output 2 11 2" xfId="42681" xr:uid="{00000000-0005-0000-0000-00003BA70000}"/>
    <cellStyle name="Output 2 11 2 2" xfId="42682" xr:uid="{00000000-0005-0000-0000-00003CA70000}"/>
    <cellStyle name="Output 2 11 3" xfId="42683" xr:uid="{00000000-0005-0000-0000-00003DA70000}"/>
    <cellStyle name="Output 2 12" xfId="42684" xr:uid="{00000000-0005-0000-0000-00003EA70000}"/>
    <cellStyle name="Output 2 12 2" xfId="42685" xr:uid="{00000000-0005-0000-0000-00003FA70000}"/>
    <cellStyle name="Output 2 12 2 2" xfId="42686" xr:uid="{00000000-0005-0000-0000-000040A70000}"/>
    <cellStyle name="Output 2 12 2 2 2" xfId="42687" xr:uid="{00000000-0005-0000-0000-000041A70000}"/>
    <cellStyle name="Output 2 12 2 3" xfId="42688" xr:uid="{00000000-0005-0000-0000-000042A70000}"/>
    <cellStyle name="Output 2 12 3" xfId="42689" xr:uid="{00000000-0005-0000-0000-000043A70000}"/>
    <cellStyle name="Output 2 12 3 2" xfId="42690" xr:uid="{00000000-0005-0000-0000-000044A70000}"/>
    <cellStyle name="Output 2 12 4" xfId="42691" xr:uid="{00000000-0005-0000-0000-000045A70000}"/>
    <cellStyle name="Output 2 12 4 2" xfId="42692" xr:uid="{00000000-0005-0000-0000-000046A70000}"/>
    <cellStyle name="Output 2 12 5" xfId="42693" xr:uid="{00000000-0005-0000-0000-000047A70000}"/>
    <cellStyle name="Output 2 13" xfId="42694" xr:uid="{00000000-0005-0000-0000-000048A70000}"/>
    <cellStyle name="Output 2 13 2" xfId="42695" xr:uid="{00000000-0005-0000-0000-000049A70000}"/>
    <cellStyle name="Output 2 13 3" xfId="42696" xr:uid="{00000000-0005-0000-0000-00004AA70000}"/>
    <cellStyle name="Output 2 14" xfId="42697" xr:uid="{00000000-0005-0000-0000-00004BA70000}"/>
    <cellStyle name="Output 2 14 2" xfId="42698" xr:uid="{00000000-0005-0000-0000-00004CA70000}"/>
    <cellStyle name="Output 2 15" xfId="42699" xr:uid="{00000000-0005-0000-0000-00004DA70000}"/>
    <cellStyle name="Output 2 16" xfId="42700" xr:uid="{00000000-0005-0000-0000-00004EA70000}"/>
    <cellStyle name="Output 2 2" xfId="42701" xr:uid="{00000000-0005-0000-0000-00004FA70000}"/>
    <cellStyle name="Output 2 2 2" xfId="42702" xr:uid="{00000000-0005-0000-0000-000050A70000}"/>
    <cellStyle name="Output 2 2 2 2" xfId="42703" xr:uid="{00000000-0005-0000-0000-000051A70000}"/>
    <cellStyle name="Output 2 2 2 2 2" xfId="42704" xr:uid="{00000000-0005-0000-0000-000052A70000}"/>
    <cellStyle name="Output 2 2 2 3" xfId="42705" xr:uid="{00000000-0005-0000-0000-000053A70000}"/>
    <cellStyle name="Output 2 2 2 3 2" xfId="42706" xr:uid="{00000000-0005-0000-0000-000054A70000}"/>
    <cellStyle name="Output 2 2 2 3 2 2" xfId="42707" xr:uid="{00000000-0005-0000-0000-000055A70000}"/>
    <cellStyle name="Output 2 2 2 3 3" xfId="42708" xr:uid="{00000000-0005-0000-0000-000056A70000}"/>
    <cellStyle name="Output 2 2 2 4" xfId="42709" xr:uid="{00000000-0005-0000-0000-000057A70000}"/>
    <cellStyle name="Output 2 2 2 4 2" xfId="42710" xr:uid="{00000000-0005-0000-0000-000058A70000}"/>
    <cellStyle name="Output 2 2 2 4 2 2" xfId="42711" xr:uid="{00000000-0005-0000-0000-000059A70000}"/>
    <cellStyle name="Output 2 2 2 4 3" xfId="42712" xr:uid="{00000000-0005-0000-0000-00005AA70000}"/>
    <cellStyle name="Output 2 2 2 5" xfId="42713" xr:uid="{00000000-0005-0000-0000-00005BA70000}"/>
    <cellStyle name="Output 2 2 3" xfId="42714" xr:uid="{00000000-0005-0000-0000-00005CA70000}"/>
    <cellStyle name="Output 2 2 3 2" xfId="42715" xr:uid="{00000000-0005-0000-0000-00005DA70000}"/>
    <cellStyle name="Output 2 2 3 2 2" xfId="42716" xr:uid="{00000000-0005-0000-0000-00005EA70000}"/>
    <cellStyle name="Output 2 2 3 2 2 2" xfId="42717" xr:uid="{00000000-0005-0000-0000-00005FA70000}"/>
    <cellStyle name="Output 2 2 3 2 3" xfId="42718" xr:uid="{00000000-0005-0000-0000-000060A70000}"/>
    <cellStyle name="Output 2 2 3 2 3 2" xfId="42719" xr:uid="{00000000-0005-0000-0000-000061A70000}"/>
    <cellStyle name="Output 2 2 3 2 3 2 2" xfId="42720" xr:uid="{00000000-0005-0000-0000-000062A70000}"/>
    <cellStyle name="Output 2 2 3 2 3 3" xfId="42721" xr:uid="{00000000-0005-0000-0000-000063A70000}"/>
    <cellStyle name="Output 2 2 3 2 4" xfId="42722" xr:uid="{00000000-0005-0000-0000-000064A70000}"/>
    <cellStyle name="Output 2 2 3 3" xfId="42723" xr:uid="{00000000-0005-0000-0000-000065A70000}"/>
    <cellStyle name="Output 2 2 3 3 2" xfId="42724" xr:uid="{00000000-0005-0000-0000-000066A70000}"/>
    <cellStyle name="Output 2 2 3 3 2 2" xfId="42725" xr:uid="{00000000-0005-0000-0000-000067A70000}"/>
    <cellStyle name="Output 2 2 3 3 3" xfId="42726" xr:uid="{00000000-0005-0000-0000-000068A70000}"/>
    <cellStyle name="Output 2 2 3 4" xfId="42727" xr:uid="{00000000-0005-0000-0000-000069A70000}"/>
    <cellStyle name="Output 2 2 3 4 2" xfId="42728" xr:uid="{00000000-0005-0000-0000-00006AA70000}"/>
    <cellStyle name="Output 2 2 3 4 2 2" xfId="42729" xr:uid="{00000000-0005-0000-0000-00006BA70000}"/>
    <cellStyle name="Output 2 2 3 4 3" xfId="42730" xr:uid="{00000000-0005-0000-0000-00006CA70000}"/>
    <cellStyle name="Output 2 2 3 5" xfId="42731" xr:uid="{00000000-0005-0000-0000-00006DA70000}"/>
    <cellStyle name="Output 2 2 3 5 2" xfId="42732" xr:uid="{00000000-0005-0000-0000-00006EA70000}"/>
    <cellStyle name="Output 2 2 3 5 2 2" xfId="42733" xr:uid="{00000000-0005-0000-0000-00006FA70000}"/>
    <cellStyle name="Output 2 2 3 5 3" xfId="42734" xr:uid="{00000000-0005-0000-0000-000070A70000}"/>
    <cellStyle name="Output 2 2 3 6" xfId="42735" xr:uid="{00000000-0005-0000-0000-000071A70000}"/>
    <cellStyle name="Output 2 2 4" xfId="42736" xr:uid="{00000000-0005-0000-0000-000072A70000}"/>
    <cellStyle name="Output 2 2 4 2" xfId="42737" xr:uid="{00000000-0005-0000-0000-000073A70000}"/>
    <cellStyle name="Output 2 2 4 2 2" xfId="42738" xr:uid="{00000000-0005-0000-0000-000074A70000}"/>
    <cellStyle name="Output 2 2 4 3" xfId="42739" xr:uid="{00000000-0005-0000-0000-000075A70000}"/>
    <cellStyle name="Output 2 2 5" xfId="42740" xr:uid="{00000000-0005-0000-0000-000076A70000}"/>
    <cellStyle name="Output 2 2 5 2" xfId="42741" xr:uid="{00000000-0005-0000-0000-000077A70000}"/>
    <cellStyle name="Output 2 2 5 2 2" xfId="42742" xr:uid="{00000000-0005-0000-0000-000078A70000}"/>
    <cellStyle name="Output 2 2 5 3" xfId="42743" xr:uid="{00000000-0005-0000-0000-000079A70000}"/>
    <cellStyle name="Output 2 2 6" xfId="42744" xr:uid="{00000000-0005-0000-0000-00007AA70000}"/>
    <cellStyle name="Output 2 2 6 2" xfId="42745" xr:uid="{00000000-0005-0000-0000-00007BA70000}"/>
    <cellStyle name="Output 2 2 6 2 2" xfId="42746" xr:uid="{00000000-0005-0000-0000-00007CA70000}"/>
    <cellStyle name="Output 2 2 6 3" xfId="42747" xr:uid="{00000000-0005-0000-0000-00007DA70000}"/>
    <cellStyle name="Output 2 2 7" xfId="42748" xr:uid="{00000000-0005-0000-0000-00007EA70000}"/>
    <cellStyle name="Output 2 3" xfId="42749" xr:uid="{00000000-0005-0000-0000-00007FA70000}"/>
    <cellStyle name="Output 2 3 2" xfId="42750" xr:uid="{00000000-0005-0000-0000-000080A70000}"/>
    <cellStyle name="Output 2 3 2 2" xfId="42751" xr:uid="{00000000-0005-0000-0000-000081A70000}"/>
    <cellStyle name="Output 2 3 2 2 2" xfId="42752" xr:uid="{00000000-0005-0000-0000-000082A70000}"/>
    <cellStyle name="Output 2 3 2 2 2 2" xfId="42753" xr:uid="{00000000-0005-0000-0000-000083A70000}"/>
    <cellStyle name="Output 2 3 2 2 3" xfId="42754" xr:uid="{00000000-0005-0000-0000-000084A70000}"/>
    <cellStyle name="Output 2 3 2 3" xfId="42755" xr:uid="{00000000-0005-0000-0000-000085A70000}"/>
    <cellStyle name="Output 2 3 2 3 2" xfId="42756" xr:uid="{00000000-0005-0000-0000-000086A70000}"/>
    <cellStyle name="Output 2 3 2 3 2 2" xfId="42757" xr:uid="{00000000-0005-0000-0000-000087A70000}"/>
    <cellStyle name="Output 2 3 2 3 3" xfId="42758" xr:uid="{00000000-0005-0000-0000-000088A70000}"/>
    <cellStyle name="Output 2 3 2 4" xfId="42759" xr:uid="{00000000-0005-0000-0000-000089A70000}"/>
    <cellStyle name="Output 2 3 2 4 2" xfId="42760" xr:uid="{00000000-0005-0000-0000-00008AA70000}"/>
    <cellStyle name="Output 2 3 2 4 2 2" xfId="42761" xr:uid="{00000000-0005-0000-0000-00008BA70000}"/>
    <cellStyle name="Output 2 3 2 4 3" xfId="42762" xr:uid="{00000000-0005-0000-0000-00008CA70000}"/>
    <cellStyle name="Output 2 3 2 5" xfId="42763" xr:uid="{00000000-0005-0000-0000-00008DA70000}"/>
    <cellStyle name="Output 2 3 2 5 2" xfId="42764" xr:uid="{00000000-0005-0000-0000-00008EA70000}"/>
    <cellStyle name="Output 2 3 2 6" xfId="42765" xr:uid="{00000000-0005-0000-0000-00008FA70000}"/>
    <cellStyle name="Output 2 3 3" xfId="42766" xr:uid="{00000000-0005-0000-0000-000090A70000}"/>
    <cellStyle name="Output 2 3 3 2" xfId="42767" xr:uid="{00000000-0005-0000-0000-000091A70000}"/>
    <cellStyle name="Output 2 3 3 2 2" xfId="42768" xr:uid="{00000000-0005-0000-0000-000092A70000}"/>
    <cellStyle name="Output 2 3 3 2 2 2" xfId="42769" xr:uid="{00000000-0005-0000-0000-000093A70000}"/>
    <cellStyle name="Output 2 3 3 2 2 2 2" xfId="42770" xr:uid="{00000000-0005-0000-0000-000094A70000}"/>
    <cellStyle name="Output 2 3 3 2 2 3" xfId="42771" xr:uid="{00000000-0005-0000-0000-000095A70000}"/>
    <cellStyle name="Output 2 3 3 2 3" xfId="42772" xr:uid="{00000000-0005-0000-0000-000096A70000}"/>
    <cellStyle name="Output 2 3 3 2 3 2" xfId="42773" xr:uid="{00000000-0005-0000-0000-000097A70000}"/>
    <cellStyle name="Output 2 3 3 2 3 2 2" xfId="42774" xr:uid="{00000000-0005-0000-0000-000098A70000}"/>
    <cellStyle name="Output 2 3 3 2 3 3" xfId="42775" xr:uid="{00000000-0005-0000-0000-000099A70000}"/>
    <cellStyle name="Output 2 3 3 2 4" xfId="42776" xr:uid="{00000000-0005-0000-0000-00009AA70000}"/>
    <cellStyle name="Output 2 3 3 2 4 2" xfId="42777" xr:uid="{00000000-0005-0000-0000-00009BA70000}"/>
    <cellStyle name="Output 2 3 3 2 5" xfId="42778" xr:uid="{00000000-0005-0000-0000-00009CA70000}"/>
    <cellStyle name="Output 2 3 3 3" xfId="42779" xr:uid="{00000000-0005-0000-0000-00009DA70000}"/>
    <cellStyle name="Output 2 3 3 3 2" xfId="42780" xr:uid="{00000000-0005-0000-0000-00009EA70000}"/>
    <cellStyle name="Output 2 3 3 3 2 2" xfId="42781" xr:uid="{00000000-0005-0000-0000-00009FA70000}"/>
    <cellStyle name="Output 2 3 3 3 2 2 2" xfId="42782" xr:uid="{00000000-0005-0000-0000-0000A0A70000}"/>
    <cellStyle name="Output 2 3 3 3 2 3" xfId="42783" xr:uid="{00000000-0005-0000-0000-0000A1A70000}"/>
    <cellStyle name="Output 2 3 3 3 3" xfId="42784" xr:uid="{00000000-0005-0000-0000-0000A2A70000}"/>
    <cellStyle name="Output 2 3 3 3 3 2" xfId="42785" xr:uid="{00000000-0005-0000-0000-0000A3A70000}"/>
    <cellStyle name="Output 2 3 3 3 4" xfId="42786" xr:uid="{00000000-0005-0000-0000-0000A4A70000}"/>
    <cellStyle name="Output 2 3 3 4" xfId="42787" xr:uid="{00000000-0005-0000-0000-0000A5A70000}"/>
    <cellStyle name="Output 2 3 3 4 2" xfId="42788" xr:uid="{00000000-0005-0000-0000-0000A6A70000}"/>
    <cellStyle name="Output 2 3 3 4 2 2" xfId="42789" xr:uid="{00000000-0005-0000-0000-0000A7A70000}"/>
    <cellStyle name="Output 2 3 3 4 3" xfId="42790" xr:uid="{00000000-0005-0000-0000-0000A8A70000}"/>
    <cellStyle name="Output 2 3 3 5" xfId="42791" xr:uid="{00000000-0005-0000-0000-0000A9A70000}"/>
    <cellStyle name="Output 2 3 3 5 2" xfId="42792" xr:uid="{00000000-0005-0000-0000-0000AAA70000}"/>
    <cellStyle name="Output 2 3 3 5 2 2" xfId="42793" xr:uid="{00000000-0005-0000-0000-0000ABA70000}"/>
    <cellStyle name="Output 2 3 3 5 3" xfId="42794" xr:uid="{00000000-0005-0000-0000-0000ACA70000}"/>
    <cellStyle name="Output 2 3 3 6" xfId="42795" xr:uid="{00000000-0005-0000-0000-0000ADA70000}"/>
    <cellStyle name="Output 2 3 3 6 2" xfId="42796" xr:uid="{00000000-0005-0000-0000-0000AEA70000}"/>
    <cellStyle name="Output 2 3 3 7" xfId="42797" xr:uid="{00000000-0005-0000-0000-0000AFA70000}"/>
    <cellStyle name="Output 2 3 4" xfId="42798" xr:uid="{00000000-0005-0000-0000-0000B0A70000}"/>
    <cellStyle name="Output 2 3 4 2" xfId="42799" xr:uid="{00000000-0005-0000-0000-0000B1A70000}"/>
    <cellStyle name="Output 2 3 4 2 2" xfId="42800" xr:uid="{00000000-0005-0000-0000-0000B2A70000}"/>
    <cellStyle name="Output 2 3 4 2 2 2" xfId="42801" xr:uid="{00000000-0005-0000-0000-0000B3A70000}"/>
    <cellStyle name="Output 2 3 4 2 3" xfId="42802" xr:uid="{00000000-0005-0000-0000-0000B4A70000}"/>
    <cellStyle name="Output 2 3 4 3" xfId="42803" xr:uid="{00000000-0005-0000-0000-0000B5A70000}"/>
    <cellStyle name="Output 2 3 4 3 2" xfId="42804" xr:uid="{00000000-0005-0000-0000-0000B6A70000}"/>
    <cellStyle name="Output 2 3 4 4" xfId="42805" xr:uid="{00000000-0005-0000-0000-0000B7A70000}"/>
    <cellStyle name="Output 2 3 5" xfId="42806" xr:uid="{00000000-0005-0000-0000-0000B8A70000}"/>
    <cellStyle name="Output 2 3 5 2" xfId="42807" xr:uid="{00000000-0005-0000-0000-0000B9A70000}"/>
    <cellStyle name="Output 2 3 5 2 2" xfId="42808" xr:uid="{00000000-0005-0000-0000-0000BAA70000}"/>
    <cellStyle name="Output 2 3 5 3" xfId="42809" xr:uid="{00000000-0005-0000-0000-0000BBA70000}"/>
    <cellStyle name="Output 2 3 6" xfId="42810" xr:uid="{00000000-0005-0000-0000-0000BCA70000}"/>
    <cellStyle name="Output 2 3 6 2" xfId="42811" xr:uid="{00000000-0005-0000-0000-0000BDA70000}"/>
    <cellStyle name="Output 2 3 6 2 2" xfId="42812" xr:uid="{00000000-0005-0000-0000-0000BEA70000}"/>
    <cellStyle name="Output 2 3 6 3" xfId="42813" xr:uid="{00000000-0005-0000-0000-0000BFA70000}"/>
    <cellStyle name="Output 2 3 7" xfId="42814" xr:uid="{00000000-0005-0000-0000-0000C0A70000}"/>
    <cellStyle name="Output 2 3 7 2" xfId="42815" xr:uid="{00000000-0005-0000-0000-0000C1A70000}"/>
    <cellStyle name="Output 2 3 8" xfId="42816" xr:uid="{00000000-0005-0000-0000-0000C2A70000}"/>
    <cellStyle name="Output 2 4" xfId="42817" xr:uid="{00000000-0005-0000-0000-0000C3A70000}"/>
    <cellStyle name="Output 2 4 2" xfId="42818" xr:uid="{00000000-0005-0000-0000-0000C4A70000}"/>
    <cellStyle name="Output 2 4 2 2" xfId="42819" xr:uid="{00000000-0005-0000-0000-0000C5A70000}"/>
    <cellStyle name="Output 2 4 2 2 2" xfId="42820" xr:uid="{00000000-0005-0000-0000-0000C6A70000}"/>
    <cellStyle name="Output 2 4 2 2 2 2" xfId="42821" xr:uid="{00000000-0005-0000-0000-0000C7A70000}"/>
    <cellStyle name="Output 2 4 2 2 3" xfId="42822" xr:uid="{00000000-0005-0000-0000-0000C8A70000}"/>
    <cellStyle name="Output 2 4 2 3" xfId="42823" xr:uid="{00000000-0005-0000-0000-0000C9A70000}"/>
    <cellStyle name="Output 2 4 2 3 2" xfId="42824" xr:uid="{00000000-0005-0000-0000-0000CAA70000}"/>
    <cellStyle name="Output 2 4 2 3 2 2" xfId="42825" xr:uid="{00000000-0005-0000-0000-0000CBA70000}"/>
    <cellStyle name="Output 2 4 2 3 3" xfId="42826" xr:uid="{00000000-0005-0000-0000-0000CCA70000}"/>
    <cellStyle name="Output 2 4 2 4" xfId="42827" xr:uid="{00000000-0005-0000-0000-0000CDA70000}"/>
    <cellStyle name="Output 2 4 2 4 2" xfId="42828" xr:uid="{00000000-0005-0000-0000-0000CEA70000}"/>
    <cellStyle name="Output 2 4 2 4 2 2" xfId="42829" xr:uid="{00000000-0005-0000-0000-0000CFA70000}"/>
    <cellStyle name="Output 2 4 2 4 3" xfId="42830" xr:uid="{00000000-0005-0000-0000-0000D0A70000}"/>
    <cellStyle name="Output 2 4 2 5" xfId="42831" xr:uid="{00000000-0005-0000-0000-0000D1A70000}"/>
    <cellStyle name="Output 2 4 2 5 2" xfId="42832" xr:uid="{00000000-0005-0000-0000-0000D2A70000}"/>
    <cellStyle name="Output 2 4 2 6" xfId="42833" xr:uid="{00000000-0005-0000-0000-0000D3A70000}"/>
    <cellStyle name="Output 2 4 3" xfId="42834" xr:uid="{00000000-0005-0000-0000-0000D4A70000}"/>
    <cellStyle name="Output 2 4 3 2" xfId="42835" xr:uid="{00000000-0005-0000-0000-0000D5A70000}"/>
    <cellStyle name="Output 2 4 3 2 2" xfId="42836" xr:uid="{00000000-0005-0000-0000-0000D6A70000}"/>
    <cellStyle name="Output 2 4 3 2 2 2" xfId="42837" xr:uid="{00000000-0005-0000-0000-0000D7A70000}"/>
    <cellStyle name="Output 2 4 3 2 3" xfId="42838" xr:uid="{00000000-0005-0000-0000-0000D8A70000}"/>
    <cellStyle name="Output 2 4 3 3" xfId="42839" xr:uid="{00000000-0005-0000-0000-0000D9A70000}"/>
    <cellStyle name="Output 2 4 3 3 2" xfId="42840" xr:uid="{00000000-0005-0000-0000-0000DAA70000}"/>
    <cellStyle name="Output 2 4 3 4" xfId="42841" xr:uid="{00000000-0005-0000-0000-0000DBA70000}"/>
    <cellStyle name="Output 2 4 4" xfId="42842" xr:uid="{00000000-0005-0000-0000-0000DCA70000}"/>
    <cellStyle name="Output 2 4 4 2" xfId="42843" xr:uid="{00000000-0005-0000-0000-0000DDA70000}"/>
    <cellStyle name="Output 2 4 4 2 2" xfId="42844" xr:uid="{00000000-0005-0000-0000-0000DEA70000}"/>
    <cellStyle name="Output 2 4 4 3" xfId="42845" xr:uid="{00000000-0005-0000-0000-0000DFA70000}"/>
    <cellStyle name="Output 2 4 5" xfId="42846" xr:uid="{00000000-0005-0000-0000-0000E0A70000}"/>
    <cellStyle name="Output 2 4 5 2" xfId="42847" xr:uid="{00000000-0005-0000-0000-0000E1A70000}"/>
    <cellStyle name="Output 2 4 5 2 2" xfId="42848" xr:uid="{00000000-0005-0000-0000-0000E2A70000}"/>
    <cellStyle name="Output 2 4 5 3" xfId="42849" xr:uid="{00000000-0005-0000-0000-0000E3A70000}"/>
    <cellStyle name="Output 2 4 6" xfId="42850" xr:uid="{00000000-0005-0000-0000-0000E4A70000}"/>
    <cellStyle name="Output 2 4 6 2" xfId="42851" xr:uid="{00000000-0005-0000-0000-0000E5A70000}"/>
    <cellStyle name="Output 2 4 7" xfId="42852" xr:uid="{00000000-0005-0000-0000-0000E6A70000}"/>
    <cellStyle name="Output 2 5" xfId="42853" xr:uid="{00000000-0005-0000-0000-0000E7A70000}"/>
    <cellStyle name="Output 2 5 2" xfId="42854" xr:uid="{00000000-0005-0000-0000-0000E8A70000}"/>
    <cellStyle name="Output 2 5 2 2" xfId="42855" xr:uid="{00000000-0005-0000-0000-0000E9A70000}"/>
    <cellStyle name="Output 2 5 2 2 2" xfId="42856" xr:uid="{00000000-0005-0000-0000-0000EAA70000}"/>
    <cellStyle name="Output 2 5 2 2 2 2" xfId="42857" xr:uid="{00000000-0005-0000-0000-0000EBA70000}"/>
    <cellStyle name="Output 2 5 2 2 3" xfId="42858" xr:uid="{00000000-0005-0000-0000-0000ECA70000}"/>
    <cellStyle name="Output 2 5 2 3" xfId="42859" xr:uid="{00000000-0005-0000-0000-0000EDA70000}"/>
    <cellStyle name="Output 2 5 2 3 2" xfId="42860" xr:uid="{00000000-0005-0000-0000-0000EEA70000}"/>
    <cellStyle name="Output 2 5 2 3 2 2" xfId="42861" xr:uid="{00000000-0005-0000-0000-0000EFA70000}"/>
    <cellStyle name="Output 2 5 2 3 3" xfId="42862" xr:uid="{00000000-0005-0000-0000-0000F0A70000}"/>
    <cellStyle name="Output 2 5 2 4" xfId="42863" xr:uid="{00000000-0005-0000-0000-0000F1A70000}"/>
    <cellStyle name="Output 2 5 2 4 2" xfId="42864" xr:uid="{00000000-0005-0000-0000-0000F2A70000}"/>
    <cellStyle name="Output 2 5 2 4 2 2" xfId="42865" xr:uid="{00000000-0005-0000-0000-0000F3A70000}"/>
    <cellStyle name="Output 2 5 2 4 3" xfId="42866" xr:uid="{00000000-0005-0000-0000-0000F4A70000}"/>
    <cellStyle name="Output 2 5 2 5" xfId="42867" xr:uid="{00000000-0005-0000-0000-0000F5A70000}"/>
    <cellStyle name="Output 2 5 2 5 2" xfId="42868" xr:uid="{00000000-0005-0000-0000-0000F6A70000}"/>
    <cellStyle name="Output 2 5 2 6" xfId="42869" xr:uid="{00000000-0005-0000-0000-0000F7A70000}"/>
    <cellStyle name="Output 2 5 3" xfId="42870" xr:uid="{00000000-0005-0000-0000-0000F8A70000}"/>
    <cellStyle name="Output 2 5 3 2" xfId="42871" xr:uid="{00000000-0005-0000-0000-0000F9A70000}"/>
    <cellStyle name="Output 2 5 3 2 2" xfId="42872" xr:uid="{00000000-0005-0000-0000-0000FAA70000}"/>
    <cellStyle name="Output 2 5 3 2 2 2" xfId="42873" xr:uid="{00000000-0005-0000-0000-0000FBA70000}"/>
    <cellStyle name="Output 2 5 3 2 2 2 2" xfId="42874" xr:uid="{00000000-0005-0000-0000-0000FCA70000}"/>
    <cellStyle name="Output 2 5 3 2 2 3" xfId="42875" xr:uid="{00000000-0005-0000-0000-0000FDA70000}"/>
    <cellStyle name="Output 2 5 3 2 3" xfId="42876" xr:uid="{00000000-0005-0000-0000-0000FEA70000}"/>
    <cellStyle name="Output 2 5 3 2 3 2" xfId="42877" xr:uid="{00000000-0005-0000-0000-0000FFA70000}"/>
    <cellStyle name="Output 2 5 3 2 3 2 2" xfId="42878" xr:uid="{00000000-0005-0000-0000-000000A80000}"/>
    <cellStyle name="Output 2 5 3 2 3 3" xfId="42879" xr:uid="{00000000-0005-0000-0000-000001A80000}"/>
    <cellStyle name="Output 2 5 3 2 4" xfId="42880" xr:uid="{00000000-0005-0000-0000-000002A80000}"/>
    <cellStyle name="Output 2 5 3 2 4 2" xfId="42881" xr:uid="{00000000-0005-0000-0000-000003A80000}"/>
    <cellStyle name="Output 2 5 3 2 5" xfId="42882" xr:uid="{00000000-0005-0000-0000-000004A80000}"/>
    <cellStyle name="Output 2 5 3 3" xfId="42883" xr:uid="{00000000-0005-0000-0000-000005A80000}"/>
    <cellStyle name="Output 2 5 3 3 2" xfId="42884" xr:uid="{00000000-0005-0000-0000-000006A80000}"/>
    <cellStyle name="Output 2 5 3 3 2 2" xfId="42885" xr:uid="{00000000-0005-0000-0000-000007A80000}"/>
    <cellStyle name="Output 2 5 3 3 2 2 2" xfId="42886" xr:uid="{00000000-0005-0000-0000-000008A80000}"/>
    <cellStyle name="Output 2 5 3 3 2 3" xfId="42887" xr:uid="{00000000-0005-0000-0000-000009A80000}"/>
    <cellStyle name="Output 2 5 3 3 3" xfId="42888" xr:uid="{00000000-0005-0000-0000-00000AA80000}"/>
    <cellStyle name="Output 2 5 3 3 3 2" xfId="42889" xr:uid="{00000000-0005-0000-0000-00000BA80000}"/>
    <cellStyle name="Output 2 5 3 3 4" xfId="42890" xr:uid="{00000000-0005-0000-0000-00000CA80000}"/>
    <cellStyle name="Output 2 5 3 4" xfId="42891" xr:uid="{00000000-0005-0000-0000-00000DA80000}"/>
    <cellStyle name="Output 2 5 3 4 2" xfId="42892" xr:uid="{00000000-0005-0000-0000-00000EA80000}"/>
    <cellStyle name="Output 2 5 3 4 2 2" xfId="42893" xr:uid="{00000000-0005-0000-0000-00000FA80000}"/>
    <cellStyle name="Output 2 5 3 4 3" xfId="42894" xr:uid="{00000000-0005-0000-0000-000010A80000}"/>
    <cellStyle name="Output 2 5 3 5" xfId="42895" xr:uid="{00000000-0005-0000-0000-000011A80000}"/>
    <cellStyle name="Output 2 5 3 5 2" xfId="42896" xr:uid="{00000000-0005-0000-0000-000012A80000}"/>
    <cellStyle name="Output 2 5 3 5 2 2" xfId="42897" xr:uid="{00000000-0005-0000-0000-000013A80000}"/>
    <cellStyle name="Output 2 5 3 5 3" xfId="42898" xr:uid="{00000000-0005-0000-0000-000014A80000}"/>
    <cellStyle name="Output 2 5 3 6" xfId="42899" xr:uid="{00000000-0005-0000-0000-000015A80000}"/>
    <cellStyle name="Output 2 5 3 6 2" xfId="42900" xr:uid="{00000000-0005-0000-0000-000016A80000}"/>
    <cellStyle name="Output 2 5 3 7" xfId="42901" xr:uid="{00000000-0005-0000-0000-000017A80000}"/>
    <cellStyle name="Output 2 5 4" xfId="42902" xr:uid="{00000000-0005-0000-0000-000018A80000}"/>
    <cellStyle name="Output 2 5 4 2" xfId="42903" xr:uid="{00000000-0005-0000-0000-000019A80000}"/>
    <cellStyle name="Output 2 5 4 2 2" xfId="42904" xr:uid="{00000000-0005-0000-0000-00001AA80000}"/>
    <cellStyle name="Output 2 5 4 2 2 2" xfId="42905" xr:uid="{00000000-0005-0000-0000-00001BA80000}"/>
    <cellStyle name="Output 2 5 4 2 3" xfId="42906" xr:uid="{00000000-0005-0000-0000-00001CA80000}"/>
    <cellStyle name="Output 2 5 4 3" xfId="42907" xr:uid="{00000000-0005-0000-0000-00001DA80000}"/>
    <cellStyle name="Output 2 5 4 3 2" xfId="42908" xr:uid="{00000000-0005-0000-0000-00001EA80000}"/>
    <cellStyle name="Output 2 5 4 4" xfId="42909" xr:uid="{00000000-0005-0000-0000-00001FA80000}"/>
    <cellStyle name="Output 2 5 5" xfId="42910" xr:uid="{00000000-0005-0000-0000-000020A80000}"/>
    <cellStyle name="Output 2 5 5 2" xfId="42911" xr:uid="{00000000-0005-0000-0000-000021A80000}"/>
    <cellStyle name="Output 2 5 5 2 2" xfId="42912" xr:uid="{00000000-0005-0000-0000-000022A80000}"/>
    <cellStyle name="Output 2 5 5 3" xfId="42913" xr:uid="{00000000-0005-0000-0000-000023A80000}"/>
    <cellStyle name="Output 2 5 6" xfId="42914" xr:uid="{00000000-0005-0000-0000-000024A80000}"/>
    <cellStyle name="Output 2 5 6 2" xfId="42915" xr:uid="{00000000-0005-0000-0000-000025A80000}"/>
    <cellStyle name="Output 2 5 6 2 2" xfId="42916" xr:uid="{00000000-0005-0000-0000-000026A80000}"/>
    <cellStyle name="Output 2 5 6 3" xfId="42917" xr:uid="{00000000-0005-0000-0000-000027A80000}"/>
    <cellStyle name="Output 2 5 7" xfId="42918" xr:uid="{00000000-0005-0000-0000-000028A80000}"/>
    <cellStyle name="Output 2 5 7 2" xfId="42919" xr:uid="{00000000-0005-0000-0000-000029A80000}"/>
    <cellStyle name="Output 2 5 8" xfId="42920" xr:uid="{00000000-0005-0000-0000-00002AA80000}"/>
    <cellStyle name="Output 2 6" xfId="42921" xr:uid="{00000000-0005-0000-0000-00002BA80000}"/>
    <cellStyle name="Output 2 6 2" xfId="42922" xr:uid="{00000000-0005-0000-0000-00002CA80000}"/>
    <cellStyle name="Output 2 6 2 2" xfId="42923" xr:uid="{00000000-0005-0000-0000-00002DA80000}"/>
    <cellStyle name="Output 2 6 2 2 2" xfId="42924" xr:uid="{00000000-0005-0000-0000-00002EA80000}"/>
    <cellStyle name="Output 2 6 2 2 2 2" xfId="42925" xr:uid="{00000000-0005-0000-0000-00002FA80000}"/>
    <cellStyle name="Output 2 6 2 2 3" xfId="42926" xr:uid="{00000000-0005-0000-0000-000030A80000}"/>
    <cellStyle name="Output 2 6 2 3" xfId="42927" xr:uid="{00000000-0005-0000-0000-000031A80000}"/>
    <cellStyle name="Output 2 6 2 3 2" xfId="42928" xr:uid="{00000000-0005-0000-0000-000032A80000}"/>
    <cellStyle name="Output 2 6 2 3 2 2" xfId="42929" xr:uid="{00000000-0005-0000-0000-000033A80000}"/>
    <cellStyle name="Output 2 6 2 3 3" xfId="42930" xr:uid="{00000000-0005-0000-0000-000034A80000}"/>
    <cellStyle name="Output 2 6 2 4" xfId="42931" xr:uid="{00000000-0005-0000-0000-000035A80000}"/>
    <cellStyle name="Output 2 6 2 4 2" xfId="42932" xr:uid="{00000000-0005-0000-0000-000036A80000}"/>
    <cellStyle name="Output 2 6 2 4 2 2" xfId="42933" xr:uid="{00000000-0005-0000-0000-000037A80000}"/>
    <cellStyle name="Output 2 6 2 4 3" xfId="42934" xr:uid="{00000000-0005-0000-0000-000038A80000}"/>
    <cellStyle name="Output 2 6 2 5" xfId="42935" xr:uid="{00000000-0005-0000-0000-000039A80000}"/>
    <cellStyle name="Output 2 6 2 5 2" xfId="42936" xr:uid="{00000000-0005-0000-0000-00003AA80000}"/>
    <cellStyle name="Output 2 6 2 6" xfId="42937" xr:uid="{00000000-0005-0000-0000-00003BA80000}"/>
    <cellStyle name="Output 2 6 3" xfId="42938" xr:uid="{00000000-0005-0000-0000-00003CA80000}"/>
    <cellStyle name="Output 2 6 3 2" xfId="42939" xr:uid="{00000000-0005-0000-0000-00003DA80000}"/>
    <cellStyle name="Output 2 6 3 2 2" xfId="42940" xr:uid="{00000000-0005-0000-0000-00003EA80000}"/>
    <cellStyle name="Output 2 6 3 2 2 2" xfId="42941" xr:uid="{00000000-0005-0000-0000-00003FA80000}"/>
    <cellStyle name="Output 2 6 3 2 3" xfId="42942" xr:uid="{00000000-0005-0000-0000-000040A80000}"/>
    <cellStyle name="Output 2 6 3 3" xfId="42943" xr:uid="{00000000-0005-0000-0000-000041A80000}"/>
    <cellStyle name="Output 2 6 3 3 2" xfId="42944" xr:uid="{00000000-0005-0000-0000-000042A80000}"/>
    <cellStyle name="Output 2 6 3 3 2 2" xfId="42945" xr:uid="{00000000-0005-0000-0000-000043A80000}"/>
    <cellStyle name="Output 2 6 3 3 3" xfId="42946" xr:uid="{00000000-0005-0000-0000-000044A80000}"/>
    <cellStyle name="Output 2 6 3 4" xfId="42947" xr:uid="{00000000-0005-0000-0000-000045A80000}"/>
    <cellStyle name="Output 2 6 3 4 2" xfId="42948" xr:uid="{00000000-0005-0000-0000-000046A80000}"/>
    <cellStyle name="Output 2 6 3 5" xfId="42949" xr:uid="{00000000-0005-0000-0000-000047A80000}"/>
    <cellStyle name="Output 2 6 4" xfId="42950" xr:uid="{00000000-0005-0000-0000-000048A80000}"/>
    <cellStyle name="Output 2 6 4 2" xfId="42951" xr:uid="{00000000-0005-0000-0000-000049A80000}"/>
    <cellStyle name="Output 2 6 4 2 2" xfId="42952" xr:uid="{00000000-0005-0000-0000-00004AA80000}"/>
    <cellStyle name="Output 2 6 4 2 2 2" xfId="42953" xr:uid="{00000000-0005-0000-0000-00004BA80000}"/>
    <cellStyle name="Output 2 6 4 2 3" xfId="42954" xr:uid="{00000000-0005-0000-0000-00004CA80000}"/>
    <cellStyle name="Output 2 6 4 3" xfId="42955" xr:uid="{00000000-0005-0000-0000-00004DA80000}"/>
    <cellStyle name="Output 2 6 4 3 2" xfId="42956" xr:uid="{00000000-0005-0000-0000-00004EA80000}"/>
    <cellStyle name="Output 2 6 4 4" xfId="42957" xr:uid="{00000000-0005-0000-0000-00004FA80000}"/>
    <cellStyle name="Output 2 6 5" xfId="42958" xr:uid="{00000000-0005-0000-0000-000050A80000}"/>
    <cellStyle name="Output 2 6 5 2" xfId="42959" xr:uid="{00000000-0005-0000-0000-000051A80000}"/>
    <cellStyle name="Output 2 6 5 2 2" xfId="42960" xr:uid="{00000000-0005-0000-0000-000052A80000}"/>
    <cellStyle name="Output 2 6 5 3" xfId="42961" xr:uid="{00000000-0005-0000-0000-000053A80000}"/>
    <cellStyle name="Output 2 6 6" xfId="42962" xr:uid="{00000000-0005-0000-0000-000054A80000}"/>
    <cellStyle name="Output 2 6 6 2" xfId="42963" xr:uid="{00000000-0005-0000-0000-000055A80000}"/>
    <cellStyle name="Output 2 6 6 2 2" xfId="42964" xr:uid="{00000000-0005-0000-0000-000056A80000}"/>
    <cellStyle name="Output 2 6 6 3" xfId="42965" xr:uid="{00000000-0005-0000-0000-000057A80000}"/>
    <cellStyle name="Output 2 6 7" xfId="42966" xr:uid="{00000000-0005-0000-0000-000058A80000}"/>
    <cellStyle name="Output 2 6 7 2" xfId="42967" xr:uid="{00000000-0005-0000-0000-000059A80000}"/>
    <cellStyle name="Output 2 6 8" xfId="42968" xr:uid="{00000000-0005-0000-0000-00005AA80000}"/>
    <cellStyle name="Output 2 7" xfId="42969" xr:uid="{00000000-0005-0000-0000-00005BA80000}"/>
    <cellStyle name="Output 2 7 2" xfId="42970" xr:uid="{00000000-0005-0000-0000-00005CA80000}"/>
    <cellStyle name="Output 2 7 2 2" xfId="42971" xr:uid="{00000000-0005-0000-0000-00005DA80000}"/>
    <cellStyle name="Output 2 7 2 2 2" xfId="42972" xr:uid="{00000000-0005-0000-0000-00005EA80000}"/>
    <cellStyle name="Output 2 7 2 3" xfId="42973" xr:uid="{00000000-0005-0000-0000-00005FA80000}"/>
    <cellStyle name="Output 2 7 3" xfId="42974" xr:uid="{00000000-0005-0000-0000-000060A80000}"/>
    <cellStyle name="Output 2 7 3 2" xfId="42975" xr:uid="{00000000-0005-0000-0000-000061A80000}"/>
    <cellStyle name="Output 2 7 3 2 2" xfId="42976" xr:uid="{00000000-0005-0000-0000-000062A80000}"/>
    <cellStyle name="Output 2 7 3 3" xfId="42977" xr:uid="{00000000-0005-0000-0000-000063A80000}"/>
    <cellStyle name="Output 2 7 4" xfId="42978" xr:uid="{00000000-0005-0000-0000-000064A80000}"/>
    <cellStyle name="Output 2 7 4 2" xfId="42979" xr:uid="{00000000-0005-0000-0000-000065A80000}"/>
    <cellStyle name="Output 2 7 4 2 2" xfId="42980" xr:uid="{00000000-0005-0000-0000-000066A80000}"/>
    <cellStyle name="Output 2 7 4 3" xfId="42981" xr:uid="{00000000-0005-0000-0000-000067A80000}"/>
    <cellStyle name="Output 2 7 5" xfId="42982" xr:uid="{00000000-0005-0000-0000-000068A80000}"/>
    <cellStyle name="Output 2 7 5 2" xfId="42983" xr:uid="{00000000-0005-0000-0000-000069A80000}"/>
    <cellStyle name="Output 2 7 6" xfId="42984" xr:uid="{00000000-0005-0000-0000-00006AA80000}"/>
    <cellStyle name="Output 2 8" xfId="42985" xr:uid="{00000000-0005-0000-0000-00006BA80000}"/>
    <cellStyle name="Output 2 8 2" xfId="42986" xr:uid="{00000000-0005-0000-0000-00006CA80000}"/>
    <cellStyle name="Output 2 8 2 2" xfId="42987" xr:uid="{00000000-0005-0000-0000-00006DA80000}"/>
    <cellStyle name="Output 2 8 2 2 2" xfId="42988" xr:uid="{00000000-0005-0000-0000-00006EA80000}"/>
    <cellStyle name="Output 2 8 2 2 2 2" xfId="42989" xr:uid="{00000000-0005-0000-0000-00006FA80000}"/>
    <cellStyle name="Output 2 8 2 2 3" xfId="42990" xr:uid="{00000000-0005-0000-0000-000070A80000}"/>
    <cellStyle name="Output 2 8 2 3" xfId="42991" xr:uid="{00000000-0005-0000-0000-000071A80000}"/>
    <cellStyle name="Output 2 8 2 3 2" xfId="42992" xr:uid="{00000000-0005-0000-0000-000072A80000}"/>
    <cellStyle name="Output 2 8 2 3 2 2" xfId="42993" xr:uid="{00000000-0005-0000-0000-000073A80000}"/>
    <cellStyle name="Output 2 8 2 3 3" xfId="42994" xr:uid="{00000000-0005-0000-0000-000074A80000}"/>
    <cellStyle name="Output 2 8 2 4" xfId="42995" xr:uid="{00000000-0005-0000-0000-000075A80000}"/>
    <cellStyle name="Output 2 8 2 4 2" xfId="42996" xr:uid="{00000000-0005-0000-0000-000076A80000}"/>
    <cellStyle name="Output 2 8 2 5" xfId="42997" xr:uid="{00000000-0005-0000-0000-000077A80000}"/>
    <cellStyle name="Output 2 8 3" xfId="42998" xr:uid="{00000000-0005-0000-0000-000078A80000}"/>
    <cellStyle name="Output 2 8 3 2" xfId="42999" xr:uid="{00000000-0005-0000-0000-000079A80000}"/>
    <cellStyle name="Output 2 8 3 2 2" xfId="43000" xr:uid="{00000000-0005-0000-0000-00007AA80000}"/>
    <cellStyle name="Output 2 8 3 2 2 2" xfId="43001" xr:uid="{00000000-0005-0000-0000-00007BA80000}"/>
    <cellStyle name="Output 2 8 3 2 3" xfId="43002" xr:uid="{00000000-0005-0000-0000-00007CA80000}"/>
    <cellStyle name="Output 2 8 3 3" xfId="43003" xr:uid="{00000000-0005-0000-0000-00007DA80000}"/>
    <cellStyle name="Output 2 8 3 3 2" xfId="43004" xr:uid="{00000000-0005-0000-0000-00007EA80000}"/>
    <cellStyle name="Output 2 8 3 4" xfId="43005" xr:uid="{00000000-0005-0000-0000-00007FA80000}"/>
    <cellStyle name="Output 2 8 4" xfId="43006" xr:uid="{00000000-0005-0000-0000-000080A80000}"/>
    <cellStyle name="Output 2 8 4 2" xfId="43007" xr:uid="{00000000-0005-0000-0000-000081A80000}"/>
    <cellStyle name="Output 2 8 4 2 2" xfId="43008" xr:uid="{00000000-0005-0000-0000-000082A80000}"/>
    <cellStyle name="Output 2 8 4 3" xfId="43009" xr:uid="{00000000-0005-0000-0000-000083A80000}"/>
    <cellStyle name="Output 2 8 5" xfId="43010" xr:uid="{00000000-0005-0000-0000-000084A80000}"/>
    <cellStyle name="Output 2 8 5 2" xfId="43011" xr:uid="{00000000-0005-0000-0000-000085A80000}"/>
    <cellStyle name="Output 2 8 5 2 2" xfId="43012" xr:uid="{00000000-0005-0000-0000-000086A80000}"/>
    <cellStyle name="Output 2 8 5 3" xfId="43013" xr:uid="{00000000-0005-0000-0000-000087A80000}"/>
    <cellStyle name="Output 2 8 6" xfId="43014" xr:uid="{00000000-0005-0000-0000-000088A80000}"/>
    <cellStyle name="Output 2 8 6 2" xfId="43015" xr:uid="{00000000-0005-0000-0000-000089A80000}"/>
    <cellStyle name="Output 2 8 7" xfId="43016" xr:uid="{00000000-0005-0000-0000-00008AA80000}"/>
    <cellStyle name="Output 2 9" xfId="43017" xr:uid="{00000000-0005-0000-0000-00008BA80000}"/>
    <cellStyle name="Output 2 9 2" xfId="43018" xr:uid="{00000000-0005-0000-0000-00008CA80000}"/>
    <cellStyle name="Output 2 9 2 2" xfId="43019" xr:uid="{00000000-0005-0000-0000-00008DA80000}"/>
    <cellStyle name="Output 2 9 2 2 2" xfId="43020" xr:uid="{00000000-0005-0000-0000-00008EA80000}"/>
    <cellStyle name="Output 2 9 2 3" xfId="43021" xr:uid="{00000000-0005-0000-0000-00008FA80000}"/>
    <cellStyle name="Output 2 9 3" xfId="43022" xr:uid="{00000000-0005-0000-0000-000090A80000}"/>
    <cellStyle name="Output 2 9 3 2" xfId="43023" xr:uid="{00000000-0005-0000-0000-000091A80000}"/>
    <cellStyle name="Output 2 9 4" xfId="43024" xr:uid="{00000000-0005-0000-0000-000092A80000}"/>
    <cellStyle name="Output 3" xfId="43025" xr:uid="{00000000-0005-0000-0000-000093A80000}"/>
    <cellStyle name="Output 3 2" xfId="43026" xr:uid="{00000000-0005-0000-0000-000094A80000}"/>
    <cellStyle name="Output 3 2 2" xfId="43027" xr:uid="{00000000-0005-0000-0000-000095A80000}"/>
    <cellStyle name="Output 3 2 2 2" xfId="43028" xr:uid="{00000000-0005-0000-0000-000096A80000}"/>
    <cellStyle name="Output 3 2 2 2 2" xfId="43029" xr:uid="{00000000-0005-0000-0000-000097A80000}"/>
    <cellStyle name="Output 3 2 2 3" xfId="43030" xr:uid="{00000000-0005-0000-0000-000098A80000}"/>
    <cellStyle name="Output 3 2 3" xfId="43031" xr:uid="{00000000-0005-0000-0000-000099A80000}"/>
    <cellStyle name="Output 3 2 3 2" xfId="43032" xr:uid="{00000000-0005-0000-0000-00009AA80000}"/>
    <cellStyle name="Output 3 2 3 2 2" xfId="43033" xr:uid="{00000000-0005-0000-0000-00009BA80000}"/>
    <cellStyle name="Output 3 2 3 3" xfId="43034" xr:uid="{00000000-0005-0000-0000-00009CA80000}"/>
    <cellStyle name="Output 3 2 4" xfId="43035" xr:uid="{00000000-0005-0000-0000-00009DA80000}"/>
    <cellStyle name="Output 3 2 4 2" xfId="43036" xr:uid="{00000000-0005-0000-0000-00009EA80000}"/>
    <cellStyle name="Output 3 2 4 2 2" xfId="43037" xr:uid="{00000000-0005-0000-0000-00009FA80000}"/>
    <cellStyle name="Output 3 2 4 3" xfId="43038" xr:uid="{00000000-0005-0000-0000-0000A0A80000}"/>
    <cellStyle name="Output 3 2 5" xfId="43039" xr:uid="{00000000-0005-0000-0000-0000A1A80000}"/>
    <cellStyle name="Output 3 2 5 2" xfId="43040" xr:uid="{00000000-0005-0000-0000-0000A2A80000}"/>
    <cellStyle name="Output 3 2 6" xfId="43041" xr:uid="{00000000-0005-0000-0000-0000A3A80000}"/>
    <cellStyle name="Output 3 3" xfId="43042" xr:uid="{00000000-0005-0000-0000-0000A4A80000}"/>
    <cellStyle name="Output 3 3 2" xfId="43043" xr:uid="{00000000-0005-0000-0000-0000A5A80000}"/>
    <cellStyle name="Output 3 3 2 2" xfId="43044" xr:uid="{00000000-0005-0000-0000-0000A6A80000}"/>
    <cellStyle name="Output 3 3 3" xfId="43045" xr:uid="{00000000-0005-0000-0000-0000A7A80000}"/>
    <cellStyle name="Output 3 3 3 2" xfId="43046" xr:uid="{00000000-0005-0000-0000-0000A8A80000}"/>
    <cellStyle name="Output 3 3 3 2 2" xfId="43047" xr:uid="{00000000-0005-0000-0000-0000A9A80000}"/>
    <cellStyle name="Output 3 3 3 3" xfId="43048" xr:uid="{00000000-0005-0000-0000-0000AAA80000}"/>
    <cellStyle name="Output 3 3 4" xfId="43049" xr:uid="{00000000-0005-0000-0000-0000ABA80000}"/>
    <cellStyle name="Output 3 3 4 2" xfId="43050" xr:uid="{00000000-0005-0000-0000-0000ACA80000}"/>
    <cellStyle name="Output 3 3 4 2 2" xfId="43051" xr:uid="{00000000-0005-0000-0000-0000ADA80000}"/>
    <cellStyle name="Output 3 3 4 3" xfId="43052" xr:uid="{00000000-0005-0000-0000-0000AEA80000}"/>
    <cellStyle name="Output 3 3 5" xfId="43053" xr:uid="{00000000-0005-0000-0000-0000AFA80000}"/>
    <cellStyle name="Output 3 4" xfId="43054" xr:uid="{00000000-0005-0000-0000-0000B0A80000}"/>
    <cellStyle name="Output 3 4 2" xfId="43055" xr:uid="{00000000-0005-0000-0000-0000B1A80000}"/>
    <cellStyle name="Output 3 4 2 2" xfId="43056" xr:uid="{00000000-0005-0000-0000-0000B2A80000}"/>
    <cellStyle name="Output 3 4 2 2 2" xfId="43057" xr:uid="{00000000-0005-0000-0000-0000B3A80000}"/>
    <cellStyle name="Output 3 4 2 3" xfId="43058" xr:uid="{00000000-0005-0000-0000-0000B4A80000}"/>
    <cellStyle name="Output 3 4 2 3 2" xfId="43059" xr:uid="{00000000-0005-0000-0000-0000B5A80000}"/>
    <cellStyle name="Output 3 4 2 3 2 2" xfId="43060" xr:uid="{00000000-0005-0000-0000-0000B6A80000}"/>
    <cellStyle name="Output 3 4 2 3 3" xfId="43061" xr:uid="{00000000-0005-0000-0000-0000B7A80000}"/>
    <cellStyle name="Output 3 4 2 4" xfId="43062" xr:uid="{00000000-0005-0000-0000-0000B8A80000}"/>
    <cellStyle name="Output 3 4 3" xfId="43063" xr:uid="{00000000-0005-0000-0000-0000B9A80000}"/>
    <cellStyle name="Output 3 4 3 2" xfId="43064" xr:uid="{00000000-0005-0000-0000-0000BAA80000}"/>
    <cellStyle name="Output 3 4 3 2 2" xfId="43065" xr:uid="{00000000-0005-0000-0000-0000BBA80000}"/>
    <cellStyle name="Output 3 4 3 3" xfId="43066" xr:uid="{00000000-0005-0000-0000-0000BCA80000}"/>
    <cellStyle name="Output 3 4 4" xfId="43067" xr:uid="{00000000-0005-0000-0000-0000BDA80000}"/>
    <cellStyle name="Output 3 4 4 2" xfId="43068" xr:uid="{00000000-0005-0000-0000-0000BEA80000}"/>
    <cellStyle name="Output 3 4 4 2 2" xfId="43069" xr:uid="{00000000-0005-0000-0000-0000BFA80000}"/>
    <cellStyle name="Output 3 4 4 3" xfId="43070" xr:uid="{00000000-0005-0000-0000-0000C0A80000}"/>
    <cellStyle name="Output 3 4 5" xfId="43071" xr:uid="{00000000-0005-0000-0000-0000C1A80000}"/>
    <cellStyle name="Output 3 4 5 2" xfId="43072" xr:uid="{00000000-0005-0000-0000-0000C2A80000}"/>
    <cellStyle name="Output 3 4 5 2 2" xfId="43073" xr:uid="{00000000-0005-0000-0000-0000C3A80000}"/>
    <cellStyle name="Output 3 4 5 3" xfId="43074" xr:uid="{00000000-0005-0000-0000-0000C4A80000}"/>
    <cellStyle name="Output 3 4 6" xfId="43075" xr:uid="{00000000-0005-0000-0000-0000C5A80000}"/>
    <cellStyle name="Output 3 5" xfId="43076" xr:uid="{00000000-0005-0000-0000-0000C6A80000}"/>
    <cellStyle name="Output 3 5 2" xfId="43077" xr:uid="{00000000-0005-0000-0000-0000C7A80000}"/>
    <cellStyle name="Output 3 5 2 2" xfId="43078" xr:uid="{00000000-0005-0000-0000-0000C8A80000}"/>
    <cellStyle name="Output 3 5 3" xfId="43079" xr:uid="{00000000-0005-0000-0000-0000C9A80000}"/>
    <cellStyle name="Output 3 6" xfId="43080" xr:uid="{00000000-0005-0000-0000-0000CAA80000}"/>
    <cellStyle name="Output 3 6 2" xfId="43081" xr:uid="{00000000-0005-0000-0000-0000CBA80000}"/>
    <cellStyle name="Output 3 6 2 2" xfId="43082" xr:uid="{00000000-0005-0000-0000-0000CCA80000}"/>
    <cellStyle name="Output 3 6 3" xfId="43083" xr:uid="{00000000-0005-0000-0000-0000CDA80000}"/>
    <cellStyle name="Output 3 7" xfId="43084" xr:uid="{00000000-0005-0000-0000-0000CEA80000}"/>
    <cellStyle name="Output 3 7 2" xfId="43085" xr:uid="{00000000-0005-0000-0000-0000CFA80000}"/>
    <cellStyle name="Output 3 7 2 2" xfId="43086" xr:uid="{00000000-0005-0000-0000-0000D0A80000}"/>
    <cellStyle name="Output 3 7 3" xfId="43087" xr:uid="{00000000-0005-0000-0000-0000D1A80000}"/>
    <cellStyle name="Output 3 8" xfId="43088" xr:uid="{00000000-0005-0000-0000-0000D2A80000}"/>
    <cellStyle name="Output 4" xfId="43089" xr:uid="{00000000-0005-0000-0000-0000D3A80000}"/>
    <cellStyle name="Output 4 2" xfId="43090" xr:uid="{00000000-0005-0000-0000-0000D4A80000}"/>
    <cellStyle name="Output 4 2 2" xfId="43091" xr:uid="{00000000-0005-0000-0000-0000D5A80000}"/>
    <cellStyle name="Output 4 2 2 2" xfId="43092" xr:uid="{00000000-0005-0000-0000-0000D6A80000}"/>
    <cellStyle name="Output 4 2 3" xfId="43093" xr:uid="{00000000-0005-0000-0000-0000D7A80000}"/>
    <cellStyle name="Output 4 2 3 2" xfId="43094" xr:uid="{00000000-0005-0000-0000-0000D8A80000}"/>
    <cellStyle name="Output 4 2 3 2 2" xfId="43095" xr:uid="{00000000-0005-0000-0000-0000D9A80000}"/>
    <cellStyle name="Output 4 2 3 3" xfId="43096" xr:uid="{00000000-0005-0000-0000-0000DAA80000}"/>
    <cellStyle name="Output 4 2 4" xfId="43097" xr:uid="{00000000-0005-0000-0000-0000DBA80000}"/>
    <cellStyle name="Output 4 2 4 2" xfId="43098" xr:uid="{00000000-0005-0000-0000-0000DCA80000}"/>
    <cellStyle name="Output 4 2 4 2 2" xfId="43099" xr:uid="{00000000-0005-0000-0000-0000DDA80000}"/>
    <cellStyle name="Output 4 2 4 3" xfId="43100" xr:uid="{00000000-0005-0000-0000-0000DEA80000}"/>
    <cellStyle name="Output 4 2 5" xfId="43101" xr:uid="{00000000-0005-0000-0000-0000DFA80000}"/>
    <cellStyle name="Output 4 3" xfId="43102" xr:uid="{00000000-0005-0000-0000-0000E0A80000}"/>
    <cellStyle name="Output 4 3 2" xfId="43103" xr:uid="{00000000-0005-0000-0000-0000E1A80000}"/>
    <cellStyle name="Output 4 3 2 2" xfId="43104" xr:uid="{00000000-0005-0000-0000-0000E2A80000}"/>
    <cellStyle name="Output 4 3 2 2 2" xfId="43105" xr:uid="{00000000-0005-0000-0000-0000E3A80000}"/>
    <cellStyle name="Output 4 3 2 3" xfId="43106" xr:uid="{00000000-0005-0000-0000-0000E4A80000}"/>
    <cellStyle name="Output 4 3 2 3 2" xfId="43107" xr:uid="{00000000-0005-0000-0000-0000E5A80000}"/>
    <cellStyle name="Output 4 3 2 3 2 2" xfId="43108" xr:uid="{00000000-0005-0000-0000-0000E6A80000}"/>
    <cellStyle name="Output 4 3 2 3 3" xfId="43109" xr:uid="{00000000-0005-0000-0000-0000E7A80000}"/>
    <cellStyle name="Output 4 3 2 4" xfId="43110" xr:uid="{00000000-0005-0000-0000-0000E8A80000}"/>
    <cellStyle name="Output 4 3 3" xfId="43111" xr:uid="{00000000-0005-0000-0000-0000E9A80000}"/>
    <cellStyle name="Output 4 3 3 2" xfId="43112" xr:uid="{00000000-0005-0000-0000-0000EAA80000}"/>
    <cellStyle name="Output 4 3 3 2 2" xfId="43113" xr:uid="{00000000-0005-0000-0000-0000EBA80000}"/>
    <cellStyle name="Output 4 3 3 3" xfId="43114" xr:uid="{00000000-0005-0000-0000-0000ECA80000}"/>
    <cellStyle name="Output 4 3 4" xfId="43115" xr:uid="{00000000-0005-0000-0000-0000EDA80000}"/>
    <cellStyle name="Output 4 3 4 2" xfId="43116" xr:uid="{00000000-0005-0000-0000-0000EEA80000}"/>
    <cellStyle name="Output 4 3 4 2 2" xfId="43117" xr:uid="{00000000-0005-0000-0000-0000EFA80000}"/>
    <cellStyle name="Output 4 3 4 3" xfId="43118" xr:uid="{00000000-0005-0000-0000-0000F0A80000}"/>
    <cellStyle name="Output 4 3 5" xfId="43119" xr:uid="{00000000-0005-0000-0000-0000F1A80000}"/>
    <cellStyle name="Output 4 3 5 2" xfId="43120" xr:uid="{00000000-0005-0000-0000-0000F2A80000}"/>
    <cellStyle name="Output 4 3 5 2 2" xfId="43121" xr:uid="{00000000-0005-0000-0000-0000F3A80000}"/>
    <cellStyle name="Output 4 3 5 3" xfId="43122" xr:uid="{00000000-0005-0000-0000-0000F4A80000}"/>
    <cellStyle name="Output 4 3 6" xfId="43123" xr:uid="{00000000-0005-0000-0000-0000F5A80000}"/>
    <cellStyle name="Output 4 4" xfId="43124" xr:uid="{00000000-0005-0000-0000-0000F6A80000}"/>
    <cellStyle name="Output 4 4 2" xfId="43125" xr:uid="{00000000-0005-0000-0000-0000F7A80000}"/>
    <cellStyle name="Output 4 4 2 2" xfId="43126" xr:uid="{00000000-0005-0000-0000-0000F8A80000}"/>
    <cellStyle name="Output 4 4 3" xfId="43127" xr:uid="{00000000-0005-0000-0000-0000F9A80000}"/>
    <cellStyle name="Output 4 5" xfId="43128" xr:uid="{00000000-0005-0000-0000-0000FAA80000}"/>
    <cellStyle name="Output 4 5 2" xfId="43129" xr:uid="{00000000-0005-0000-0000-0000FBA80000}"/>
    <cellStyle name="Output 4 5 2 2" xfId="43130" xr:uid="{00000000-0005-0000-0000-0000FCA80000}"/>
    <cellStyle name="Output 4 5 3" xfId="43131" xr:uid="{00000000-0005-0000-0000-0000FDA80000}"/>
    <cellStyle name="Output 4 6" xfId="43132" xr:uid="{00000000-0005-0000-0000-0000FEA80000}"/>
    <cellStyle name="Output 4 6 2" xfId="43133" xr:uid="{00000000-0005-0000-0000-0000FFA80000}"/>
    <cellStyle name="Output 4 6 2 2" xfId="43134" xr:uid="{00000000-0005-0000-0000-000000A90000}"/>
    <cellStyle name="Output 4 6 3" xfId="43135" xr:uid="{00000000-0005-0000-0000-000001A90000}"/>
    <cellStyle name="Output 4 7" xfId="43136" xr:uid="{00000000-0005-0000-0000-000002A90000}"/>
    <cellStyle name="Output 5" xfId="43137" xr:uid="{00000000-0005-0000-0000-000003A90000}"/>
    <cellStyle name="Output 5 2" xfId="43138" xr:uid="{00000000-0005-0000-0000-000004A90000}"/>
    <cellStyle name="Output 5 2 2" xfId="43139" xr:uid="{00000000-0005-0000-0000-000005A90000}"/>
    <cellStyle name="Output 5 2 2 2" xfId="43140" xr:uid="{00000000-0005-0000-0000-000006A90000}"/>
    <cellStyle name="Output 5 2 2 2 2" xfId="43141" xr:uid="{00000000-0005-0000-0000-000007A90000}"/>
    <cellStyle name="Output 5 2 2 3" xfId="43142" xr:uid="{00000000-0005-0000-0000-000008A90000}"/>
    <cellStyle name="Output 5 2 3" xfId="43143" xr:uid="{00000000-0005-0000-0000-000009A90000}"/>
    <cellStyle name="Output 5 2 3 2" xfId="43144" xr:uid="{00000000-0005-0000-0000-00000AA90000}"/>
    <cellStyle name="Output 5 2 3 2 2" xfId="43145" xr:uid="{00000000-0005-0000-0000-00000BA90000}"/>
    <cellStyle name="Output 5 2 3 3" xfId="43146" xr:uid="{00000000-0005-0000-0000-00000CA90000}"/>
    <cellStyle name="Output 5 2 4" xfId="43147" xr:uid="{00000000-0005-0000-0000-00000DA90000}"/>
    <cellStyle name="Output 5 2 4 2" xfId="43148" xr:uid="{00000000-0005-0000-0000-00000EA90000}"/>
    <cellStyle name="Output 5 2 4 2 2" xfId="43149" xr:uid="{00000000-0005-0000-0000-00000FA90000}"/>
    <cellStyle name="Output 5 2 4 3" xfId="43150" xr:uid="{00000000-0005-0000-0000-000010A90000}"/>
    <cellStyle name="Output 5 2 5" xfId="43151" xr:uid="{00000000-0005-0000-0000-000011A90000}"/>
    <cellStyle name="Output 5 2 5 2" xfId="43152" xr:uid="{00000000-0005-0000-0000-000012A90000}"/>
    <cellStyle name="Output 5 2 6" xfId="43153" xr:uid="{00000000-0005-0000-0000-000013A90000}"/>
    <cellStyle name="Output 5 3" xfId="43154" xr:uid="{00000000-0005-0000-0000-000014A90000}"/>
    <cellStyle name="Output 5 3 2" xfId="43155" xr:uid="{00000000-0005-0000-0000-000015A90000}"/>
    <cellStyle name="Output 5 3 2 2" xfId="43156" xr:uid="{00000000-0005-0000-0000-000016A90000}"/>
    <cellStyle name="Output 5 3 2 2 2" xfId="43157" xr:uid="{00000000-0005-0000-0000-000017A90000}"/>
    <cellStyle name="Output 5 3 2 2 2 2" xfId="43158" xr:uid="{00000000-0005-0000-0000-000018A90000}"/>
    <cellStyle name="Output 5 3 2 2 3" xfId="43159" xr:uid="{00000000-0005-0000-0000-000019A90000}"/>
    <cellStyle name="Output 5 3 2 3" xfId="43160" xr:uid="{00000000-0005-0000-0000-00001AA90000}"/>
    <cellStyle name="Output 5 3 2 3 2" xfId="43161" xr:uid="{00000000-0005-0000-0000-00001BA90000}"/>
    <cellStyle name="Output 5 3 2 3 2 2" xfId="43162" xr:uid="{00000000-0005-0000-0000-00001CA90000}"/>
    <cellStyle name="Output 5 3 2 3 3" xfId="43163" xr:uid="{00000000-0005-0000-0000-00001DA90000}"/>
    <cellStyle name="Output 5 3 2 4" xfId="43164" xr:uid="{00000000-0005-0000-0000-00001EA90000}"/>
    <cellStyle name="Output 5 3 2 4 2" xfId="43165" xr:uid="{00000000-0005-0000-0000-00001FA90000}"/>
    <cellStyle name="Output 5 3 2 5" xfId="43166" xr:uid="{00000000-0005-0000-0000-000020A90000}"/>
    <cellStyle name="Output 5 3 3" xfId="43167" xr:uid="{00000000-0005-0000-0000-000021A90000}"/>
    <cellStyle name="Output 5 3 3 2" xfId="43168" xr:uid="{00000000-0005-0000-0000-000022A90000}"/>
    <cellStyle name="Output 5 3 3 2 2" xfId="43169" xr:uid="{00000000-0005-0000-0000-000023A90000}"/>
    <cellStyle name="Output 5 3 3 2 2 2" xfId="43170" xr:uid="{00000000-0005-0000-0000-000024A90000}"/>
    <cellStyle name="Output 5 3 3 2 3" xfId="43171" xr:uid="{00000000-0005-0000-0000-000025A90000}"/>
    <cellStyle name="Output 5 3 3 3" xfId="43172" xr:uid="{00000000-0005-0000-0000-000026A90000}"/>
    <cellStyle name="Output 5 3 3 3 2" xfId="43173" xr:uid="{00000000-0005-0000-0000-000027A90000}"/>
    <cellStyle name="Output 5 3 3 4" xfId="43174" xr:uid="{00000000-0005-0000-0000-000028A90000}"/>
    <cellStyle name="Output 5 3 4" xfId="43175" xr:uid="{00000000-0005-0000-0000-000029A90000}"/>
    <cellStyle name="Output 5 3 4 2" xfId="43176" xr:uid="{00000000-0005-0000-0000-00002AA90000}"/>
    <cellStyle name="Output 5 3 4 2 2" xfId="43177" xr:uid="{00000000-0005-0000-0000-00002BA90000}"/>
    <cellStyle name="Output 5 3 4 3" xfId="43178" xr:uid="{00000000-0005-0000-0000-00002CA90000}"/>
    <cellStyle name="Output 5 3 5" xfId="43179" xr:uid="{00000000-0005-0000-0000-00002DA90000}"/>
    <cellStyle name="Output 5 3 5 2" xfId="43180" xr:uid="{00000000-0005-0000-0000-00002EA90000}"/>
    <cellStyle name="Output 5 3 5 2 2" xfId="43181" xr:uid="{00000000-0005-0000-0000-00002FA90000}"/>
    <cellStyle name="Output 5 3 5 3" xfId="43182" xr:uid="{00000000-0005-0000-0000-000030A90000}"/>
    <cellStyle name="Output 5 3 6" xfId="43183" xr:uid="{00000000-0005-0000-0000-000031A90000}"/>
    <cellStyle name="Output 5 3 6 2" xfId="43184" xr:uid="{00000000-0005-0000-0000-000032A90000}"/>
    <cellStyle name="Output 5 3 7" xfId="43185" xr:uid="{00000000-0005-0000-0000-000033A90000}"/>
    <cellStyle name="Output 5 4" xfId="43186" xr:uid="{00000000-0005-0000-0000-000034A90000}"/>
    <cellStyle name="Output 5 4 2" xfId="43187" xr:uid="{00000000-0005-0000-0000-000035A90000}"/>
    <cellStyle name="Output 5 4 2 2" xfId="43188" xr:uid="{00000000-0005-0000-0000-000036A90000}"/>
    <cellStyle name="Output 5 4 2 2 2" xfId="43189" xr:uid="{00000000-0005-0000-0000-000037A90000}"/>
    <cellStyle name="Output 5 4 2 3" xfId="43190" xr:uid="{00000000-0005-0000-0000-000038A90000}"/>
    <cellStyle name="Output 5 4 3" xfId="43191" xr:uid="{00000000-0005-0000-0000-000039A90000}"/>
    <cellStyle name="Output 5 4 3 2" xfId="43192" xr:uid="{00000000-0005-0000-0000-00003AA90000}"/>
    <cellStyle name="Output 5 4 4" xfId="43193" xr:uid="{00000000-0005-0000-0000-00003BA90000}"/>
    <cellStyle name="Output 5 5" xfId="43194" xr:uid="{00000000-0005-0000-0000-00003CA90000}"/>
    <cellStyle name="Output 5 5 2" xfId="43195" xr:uid="{00000000-0005-0000-0000-00003DA90000}"/>
    <cellStyle name="Output 5 5 2 2" xfId="43196" xr:uid="{00000000-0005-0000-0000-00003EA90000}"/>
    <cellStyle name="Output 5 5 3" xfId="43197" xr:uid="{00000000-0005-0000-0000-00003FA90000}"/>
    <cellStyle name="Output 5 6" xfId="43198" xr:uid="{00000000-0005-0000-0000-000040A90000}"/>
    <cellStyle name="Output 5 6 2" xfId="43199" xr:uid="{00000000-0005-0000-0000-000041A90000}"/>
    <cellStyle name="Output 5 6 2 2" xfId="43200" xr:uid="{00000000-0005-0000-0000-000042A90000}"/>
    <cellStyle name="Output 5 6 3" xfId="43201" xr:uid="{00000000-0005-0000-0000-000043A90000}"/>
    <cellStyle name="Output 5 7" xfId="43202" xr:uid="{00000000-0005-0000-0000-000044A90000}"/>
    <cellStyle name="Output 5 7 2" xfId="43203" xr:uid="{00000000-0005-0000-0000-000045A90000}"/>
    <cellStyle name="Output 5 8" xfId="43204" xr:uid="{00000000-0005-0000-0000-000046A90000}"/>
    <cellStyle name="Output 6" xfId="43205" xr:uid="{00000000-0005-0000-0000-000047A90000}"/>
    <cellStyle name="Output 6 2" xfId="43206" xr:uid="{00000000-0005-0000-0000-000048A90000}"/>
    <cellStyle name="Output 6 2 2" xfId="43207" xr:uid="{00000000-0005-0000-0000-000049A90000}"/>
    <cellStyle name="Output 6 2 2 2" xfId="43208" xr:uid="{00000000-0005-0000-0000-00004AA90000}"/>
    <cellStyle name="Output 6 2 2 2 2" xfId="43209" xr:uid="{00000000-0005-0000-0000-00004BA90000}"/>
    <cellStyle name="Output 6 2 2 3" xfId="43210" xr:uid="{00000000-0005-0000-0000-00004CA90000}"/>
    <cellStyle name="Output 6 2 3" xfId="43211" xr:uid="{00000000-0005-0000-0000-00004DA90000}"/>
    <cellStyle name="Output 6 2 3 2" xfId="43212" xr:uid="{00000000-0005-0000-0000-00004EA90000}"/>
    <cellStyle name="Output 6 2 3 2 2" xfId="43213" xr:uid="{00000000-0005-0000-0000-00004FA90000}"/>
    <cellStyle name="Output 6 2 3 3" xfId="43214" xr:uid="{00000000-0005-0000-0000-000050A90000}"/>
    <cellStyle name="Output 6 2 4" xfId="43215" xr:uid="{00000000-0005-0000-0000-000051A90000}"/>
    <cellStyle name="Output 6 2 4 2" xfId="43216" xr:uid="{00000000-0005-0000-0000-000052A90000}"/>
    <cellStyle name="Output 6 2 4 2 2" xfId="43217" xr:uid="{00000000-0005-0000-0000-000053A90000}"/>
    <cellStyle name="Output 6 2 4 3" xfId="43218" xr:uid="{00000000-0005-0000-0000-000054A90000}"/>
    <cellStyle name="Output 6 2 5" xfId="43219" xr:uid="{00000000-0005-0000-0000-000055A90000}"/>
    <cellStyle name="Output 6 2 5 2" xfId="43220" xr:uid="{00000000-0005-0000-0000-000056A90000}"/>
    <cellStyle name="Output 6 2 6" xfId="43221" xr:uid="{00000000-0005-0000-0000-000057A90000}"/>
    <cellStyle name="Output 6 3" xfId="43222" xr:uid="{00000000-0005-0000-0000-000058A90000}"/>
    <cellStyle name="Output 6 3 2" xfId="43223" xr:uid="{00000000-0005-0000-0000-000059A90000}"/>
    <cellStyle name="Output 6 3 2 2" xfId="43224" xr:uid="{00000000-0005-0000-0000-00005AA90000}"/>
    <cellStyle name="Output 6 3 2 2 2" xfId="43225" xr:uid="{00000000-0005-0000-0000-00005BA90000}"/>
    <cellStyle name="Output 6 3 2 3" xfId="43226" xr:uid="{00000000-0005-0000-0000-00005CA90000}"/>
    <cellStyle name="Output 6 3 3" xfId="43227" xr:uid="{00000000-0005-0000-0000-00005DA90000}"/>
    <cellStyle name="Output 6 3 3 2" xfId="43228" xr:uid="{00000000-0005-0000-0000-00005EA90000}"/>
    <cellStyle name="Output 6 3 4" xfId="43229" xr:uid="{00000000-0005-0000-0000-00005FA90000}"/>
    <cellStyle name="Output 6 4" xfId="43230" xr:uid="{00000000-0005-0000-0000-000060A90000}"/>
    <cellStyle name="Output 6 4 2" xfId="43231" xr:uid="{00000000-0005-0000-0000-000061A90000}"/>
    <cellStyle name="Output 6 4 2 2" xfId="43232" xr:uid="{00000000-0005-0000-0000-000062A90000}"/>
    <cellStyle name="Output 6 4 3" xfId="43233" xr:uid="{00000000-0005-0000-0000-000063A90000}"/>
    <cellStyle name="Output 6 5" xfId="43234" xr:uid="{00000000-0005-0000-0000-000064A90000}"/>
    <cellStyle name="Output 6 5 2" xfId="43235" xr:uid="{00000000-0005-0000-0000-000065A90000}"/>
    <cellStyle name="Output 6 5 2 2" xfId="43236" xr:uid="{00000000-0005-0000-0000-000066A90000}"/>
    <cellStyle name="Output 6 5 3" xfId="43237" xr:uid="{00000000-0005-0000-0000-000067A90000}"/>
    <cellStyle name="Output 6 6" xfId="43238" xr:uid="{00000000-0005-0000-0000-000068A90000}"/>
    <cellStyle name="Output 6 6 2" xfId="43239" xr:uid="{00000000-0005-0000-0000-000069A90000}"/>
    <cellStyle name="Output 6 7" xfId="43240" xr:uid="{00000000-0005-0000-0000-00006AA90000}"/>
    <cellStyle name="Output 7" xfId="43241" xr:uid="{00000000-0005-0000-0000-00006BA90000}"/>
    <cellStyle name="Output 7 2" xfId="43242" xr:uid="{00000000-0005-0000-0000-00006CA90000}"/>
    <cellStyle name="Output 8" xfId="43243" xr:uid="{00000000-0005-0000-0000-00006DA90000}"/>
    <cellStyle name="Output 8 2" xfId="43244" xr:uid="{00000000-0005-0000-0000-00006EA90000}"/>
    <cellStyle name="Output 9" xfId="43245" xr:uid="{00000000-0005-0000-0000-00006FA90000}"/>
    <cellStyle name="pct2" xfId="43246" xr:uid="{00000000-0005-0000-0000-000070A90000}"/>
    <cellStyle name="pct2 2" xfId="43247" xr:uid="{00000000-0005-0000-0000-000071A90000}"/>
    <cellStyle name="pct2 3" xfId="43248" xr:uid="{00000000-0005-0000-0000-000072A90000}"/>
    <cellStyle name="pct2 3 2" xfId="43249" xr:uid="{00000000-0005-0000-0000-000073A90000}"/>
    <cellStyle name="pct2 3 2 2" xfId="43250" xr:uid="{00000000-0005-0000-0000-000074A90000}"/>
    <cellStyle name="pct2 3 3" xfId="43251" xr:uid="{00000000-0005-0000-0000-000075A90000}"/>
    <cellStyle name="pct2 4" xfId="43252" xr:uid="{00000000-0005-0000-0000-000076A90000}"/>
    <cellStyle name="pct2 4 2" xfId="43253" xr:uid="{00000000-0005-0000-0000-000077A90000}"/>
    <cellStyle name="pct2 4 2 2" xfId="43254" xr:uid="{00000000-0005-0000-0000-000078A90000}"/>
    <cellStyle name="pct2 4 3" xfId="43255" xr:uid="{00000000-0005-0000-0000-000079A90000}"/>
    <cellStyle name="PctNoZero" xfId="43256" xr:uid="{00000000-0005-0000-0000-00007AA90000}"/>
    <cellStyle name="PctNoZero 2" xfId="43257" xr:uid="{00000000-0005-0000-0000-00007BA90000}"/>
    <cellStyle name="PctNoZero 3" xfId="43258" xr:uid="{00000000-0005-0000-0000-00007CA90000}"/>
    <cellStyle name="PctNoZero 3 2" xfId="43259" xr:uid="{00000000-0005-0000-0000-00007DA90000}"/>
    <cellStyle name="PctNoZero 3 2 2" xfId="43260" xr:uid="{00000000-0005-0000-0000-00007EA90000}"/>
    <cellStyle name="PctNoZero 3 3" xfId="43261" xr:uid="{00000000-0005-0000-0000-00007FA90000}"/>
    <cellStyle name="PctNoZero 4" xfId="43262" xr:uid="{00000000-0005-0000-0000-000080A90000}"/>
    <cellStyle name="PctNoZero 4 2" xfId="43263" xr:uid="{00000000-0005-0000-0000-000081A90000}"/>
    <cellStyle name="PctNoZero 4 2 2" xfId="43264" xr:uid="{00000000-0005-0000-0000-000082A90000}"/>
    <cellStyle name="PctNoZero 4 3" xfId="43265" xr:uid="{00000000-0005-0000-0000-000083A90000}"/>
    <cellStyle name="per.style" xfId="43266" xr:uid="{00000000-0005-0000-0000-000084A90000}"/>
    <cellStyle name="per.style 2" xfId="43267" xr:uid="{00000000-0005-0000-0000-000085A90000}"/>
    <cellStyle name="per.style 2 2" xfId="43268" xr:uid="{00000000-0005-0000-0000-000086A90000}"/>
    <cellStyle name="per.style 2 3" xfId="43269" xr:uid="{00000000-0005-0000-0000-000087A90000}"/>
    <cellStyle name="per.style 2 3 2" xfId="43270" xr:uid="{00000000-0005-0000-0000-000088A90000}"/>
    <cellStyle name="per.style 2 3 2 2" xfId="43271" xr:uid="{00000000-0005-0000-0000-000089A90000}"/>
    <cellStyle name="per.style 2 3 3" xfId="43272" xr:uid="{00000000-0005-0000-0000-00008AA90000}"/>
    <cellStyle name="per.style 2 4" xfId="43273" xr:uid="{00000000-0005-0000-0000-00008BA90000}"/>
    <cellStyle name="per.style 2 4 2" xfId="43274" xr:uid="{00000000-0005-0000-0000-00008CA90000}"/>
    <cellStyle name="per.style 2 4 2 2" xfId="43275" xr:uid="{00000000-0005-0000-0000-00008DA90000}"/>
    <cellStyle name="per.style 2 4 3" xfId="43276" xr:uid="{00000000-0005-0000-0000-00008EA90000}"/>
    <cellStyle name="per.style 3" xfId="43277" xr:uid="{00000000-0005-0000-0000-00008FA90000}"/>
    <cellStyle name="per.style 4" xfId="43278" xr:uid="{00000000-0005-0000-0000-000090A90000}"/>
    <cellStyle name="per.style 4 2" xfId="43279" xr:uid="{00000000-0005-0000-0000-000091A90000}"/>
    <cellStyle name="per.style 4 2 2" xfId="43280" xr:uid="{00000000-0005-0000-0000-000092A90000}"/>
    <cellStyle name="per.style 4 3" xfId="43281" xr:uid="{00000000-0005-0000-0000-000093A90000}"/>
    <cellStyle name="per.style 5" xfId="43282" xr:uid="{00000000-0005-0000-0000-000094A90000}"/>
    <cellStyle name="per.style 5 2" xfId="43283" xr:uid="{00000000-0005-0000-0000-000095A90000}"/>
    <cellStyle name="per.style 5 2 2" xfId="43284" xr:uid="{00000000-0005-0000-0000-000096A90000}"/>
    <cellStyle name="per.style 5 3" xfId="43285" xr:uid="{00000000-0005-0000-0000-000097A90000}"/>
    <cellStyle name="Percent" xfId="37" builtinId="5"/>
    <cellStyle name="Percent (0.0%)" xfId="43286" xr:uid="{00000000-0005-0000-0000-000099A90000}"/>
    <cellStyle name="Percent (0.0%) 2" xfId="43287" xr:uid="{00000000-0005-0000-0000-00009AA90000}"/>
    <cellStyle name="Percent (0.0%) 3" xfId="43288" xr:uid="{00000000-0005-0000-0000-00009BA90000}"/>
    <cellStyle name="Percent (0.0%) 3 2" xfId="43289" xr:uid="{00000000-0005-0000-0000-00009CA90000}"/>
    <cellStyle name="Percent (0.0%) 3 2 2" xfId="43290" xr:uid="{00000000-0005-0000-0000-00009DA90000}"/>
    <cellStyle name="Percent (0.0%) 3 3" xfId="43291" xr:uid="{00000000-0005-0000-0000-00009EA90000}"/>
    <cellStyle name="Percent (0.0%) 4" xfId="43292" xr:uid="{00000000-0005-0000-0000-00009FA90000}"/>
    <cellStyle name="Percent (0.0%) 4 2" xfId="43293" xr:uid="{00000000-0005-0000-0000-0000A0A90000}"/>
    <cellStyle name="Percent (0.0%) 4 2 2" xfId="43294" xr:uid="{00000000-0005-0000-0000-0000A1A90000}"/>
    <cellStyle name="Percent (0.0%) 4 3" xfId="43295" xr:uid="{00000000-0005-0000-0000-0000A2A90000}"/>
    <cellStyle name="Percent [2]" xfId="43296" xr:uid="{00000000-0005-0000-0000-0000A3A90000}"/>
    <cellStyle name="Percent [2] 2" xfId="43297" xr:uid="{00000000-0005-0000-0000-0000A4A90000}"/>
    <cellStyle name="Percent [2] 2 2" xfId="43298" xr:uid="{00000000-0005-0000-0000-0000A5A90000}"/>
    <cellStyle name="Percent [2] 2 3" xfId="43299" xr:uid="{00000000-0005-0000-0000-0000A6A90000}"/>
    <cellStyle name="Percent [2] 2 3 2" xfId="43300" xr:uid="{00000000-0005-0000-0000-0000A7A90000}"/>
    <cellStyle name="Percent [2] 2 3 2 2" xfId="43301" xr:uid="{00000000-0005-0000-0000-0000A8A90000}"/>
    <cellStyle name="Percent [2] 2 3 3" xfId="43302" xr:uid="{00000000-0005-0000-0000-0000A9A90000}"/>
    <cellStyle name="Percent [2] 2 4" xfId="43303" xr:uid="{00000000-0005-0000-0000-0000AAA90000}"/>
    <cellStyle name="Percent [2] 2 4 2" xfId="43304" xr:uid="{00000000-0005-0000-0000-0000ABA90000}"/>
    <cellStyle name="Percent [2] 2 4 2 2" xfId="43305" xr:uid="{00000000-0005-0000-0000-0000ACA90000}"/>
    <cellStyle name="Percent [2] 2 4 3" xfId="43306" xr:uid="{00000000-0005-0000-0000-0000ADA90000}"/>
    <cellStyle name="Percent [2] 3" xfId="43307" xr:uid="{00000000-0005-0000-0000-0000AEA90000}"/>
    <cellStyle name="Percent [2] 4" xfId="43308" xr:uid="{00000000-0005-0000-0000-0000AFA90000}"/>
    <cellStyle name="Percent [2] 4 2" xfId="43309" xr:uid="{00000000-0005-0000-0000-0000B0A90000}"/>
    <cellStyle name="Percent [2] 4 2 2" xfId="43310" xr:uid="{00000000-0005-0000-0000-0000B1A90000}"/>
    <cellStyle name="Percent [2] 4 3" xfId="43311" xr:uid="{00000000-0005-0000-0000-0000B2A90000}"/>
    <cellStyle name="Percent [2] 5" xfId="43312" xr:uid="{00000000-0005-0000-0000-0000B3A90000}"/>
    <cellStyle name="Percent [2] 5 2" xfId="43313" xr:uid="{00000000-0005-0000-0000-0000B4A90000}"/>
    <cellStyle name="Percent [2] 5 2 2" xfId="43314" xr:uid="{00000000-0005-0000-0000-0000B5A90000}"/>
    <cellStyle name="Percent [2] 5 3" xfId="43315" xr:uid="{00000000-0005-0000-0000-0000B6A90000}"/>
    <cellStyle name="Percent 10" xfId="43316" xr:uid="{00000000-0005-0000-0000-0000B7A90000}"/>
    <cellStyle name="Percent 10 2" xfId="43317" xr:uid="{00000000-0005-0000-0000-0000B8A90000}"/>
    <cellStyle name="Percent 10 3" xfId="43318" xr:uid="{00000000-0005-0000-0000-0000B9A90000}"/>
    <cellStyle name="Percent 10 3 2" xfId="43319" xr:uid="{00000000-0005-0000-0000-0000BAA90000}"/>
    <cellStyle name="Percent 10 3 2 2" xfId="43320" xr:uid="{00000000-0005-0000-0000-0000BBA90000}"/>
    <cellStyle name="Percent 10 3 3" xfId="43321" xr:uid="{00000000-0005-0000-0000-0000BCA90000}"/>
    <cellStyle name="Percent 10 4" xfId="43322" xr:uid="{00000000-0005-0000-0000-0000BDA90000}"/>
    <cellStyle name="Percent 10 4 2" xfId="43323" xr:uid="{00000000-0005-0000-0000-0000BEA90000}"/>
    <cellStyle name="Percent 10 4 2 2" xfId="43324" xr:uid="{00000000-0005-0000-0000-0000BFA90000}"/>
    <cellStyle name="Percent 10 4 3" xfId="43325" xr:uid="{00000000-0005-0000-0000-0000C0A90000}"/>
    <cellStyle name="Percent 100" xfId="43326" xr:uid="{00000000-0005-0000-0000-0000C1A90000}"/>
    <cellStyle name="Percent 100 2" xfId="43327" xr:uid="{00000000-0005-0000-0000-0000C2A90000}"/>
    <cellStyle name="Percent 100 3" xfId="43328" xr:uid="{00000000-0005-0000-0000-0000C3A90000}"/>
    <cellStyle name="Percent 100 3 2" xfId="43329" xr:uid="{00000000-0005-0000-0000-0000C4A90000}"/>
    <cellStyle name="Percent 100 3 2 2" xfId="43330" xr:uid="{00000000-0005-0000-0000-0000C5A90000}"/>
    <cellStyle name="Percent 100 3 3" xfId="43331" xr:uid="{00000000-0005-0000-0000-0000C6A90000}"/>
    <cellStyle name="Percent 100 4" xfId="43332" xr:uid="{00000000-0005-0000-0000-0000C7A90000}"/>
    <cellStyle name="Percent 100 4 2" xfId="43333" xr:uid="{00000000-0005-0000-0000-0000C8A90000}"/>
    <cellStyle name="Percent 100 4 2 2" xfId="43334" xr:uid="{00000000-0005-0000-0000-0000C9A90000}"/>
    <cellStyle name="Percent 100 4 3" xfId="43335" xr:uid="{00000000-0005-0000-0000-0000CAA90000}"/>
    <cellStyle name="Percent 101" xfId="43336" xr:uid="{00000000-0005-0000-0000-0000CBA90000}"/>
    <cellStyle name="Percent 101 2" xfId="43337" xr:uid="{00000000-0005-0000-0000-0000CCA90000}"/>
    <cellStyle name="Percent 101 3" xfId="43338" xr:uid="{00000000-0005-0000-0000-0000CDA90000}"/>
    <cellStyle name="Percent 101 3 2" xfId="43339" xr:uid="{00000000-0005-0000-0000-0000CEA90000}"/>
    <cellStyle name="Percent 101 3 2 2" xfId="43340" xr:uid="{00000000-0005-0000-0000-0000CFA90000}"/>
    <cellStyle name="Percent 101 3 3" xfId="43341" xr:uid="{00000000-0005-0000-0000-0000D0A90000}"/>
    <cellStyle name="Percent 101 4" xfId="43342" xr:uid="{00000000-0005-0000-0000-0000D1A90000}"/>
    <cellStyle name="Percent 101 4 2" xfId="43343" xr:uid="{00000000-0005-0000-0000-0000D2A90000}"/>
    <cellStyle name="Percent 101 4 2 2" xfId="43344" xr:uid="{00000000-0005-0000-0000-0000D3A90000}"/>
    <cellStyle name="Percent 101 4 3" xfId="43345" xr:uid="{00000000-0005-0000-0000-0000D4A90000}"/>
    <cellStyle name="Percent 102" xfId="43346" xr:uid="{00000000-0005-0000-0000-0000D5A90000}"/>
    <cellStyle name="Percent 102 2" xfId="43347" xr:uid="{00000000-0005-0000-0000-0000D6A90000}"/>
    <cellStyle name="Percent 102 3" xfId="43348" xr:uid="{00000000-0005-0000-0000-0000D7A90000}"/>
    <cellStyle name="Percent 102 3 2" xfId="43349" xr:uid="{00000000-0005-0000-0000-0000D8A90000}"/>
    <cellStyle name="Percent 102 3 2 2" xfId="43350" xr:uid="{00000000-0005-0000-0000-0000D9A90000}"/>
    <cellStyle name="Percent 102 3 3" xfId="43351" xr:uid="{00000000-0005-0000-0000-0000DAA90000}"/>
    <cellStyle name="Percent 102 4" xfId="43352" xr:uid="{00000000-0005-0000-0000-0000DBA90000}"/>
    <cellStyle name="Percent 102 4 2" xfId="43353" xr:uid="{00000000-0005-0000-0000-0000DCA90000}"/>
    <cellStyle name="Percent 102 4 2 2" xfId="43354" xr:uid="{00000000-0005-0000-0000-0000DDA90000}"/>
    <cellStyle name="Percent 102 4 3" xfId="43355" xr:uid="{00000000-0005-0000-0000-0000DEA90000}"/>
    <cellStyle name="Percent 103" xfId="43356" xr:uid="{00000000-0005-0000-0000-0000DFA90000}"/>
    <cellStyle name="Percent 103 2" xfId="43357" xr:uid="{00000000-0005-0000-0000-0000E0A90000}"/>
    <cellStyle name="Percent 103 3" xfId="43358" xr:uid="{00000000-0005-0000-0000-0000E1A90000}"/>
    <cellStyle name="Percent 103 3 2" xfId="43359" xr:uid="{00000000-0005-0000-0000-0000E2A90000}"/>
    <cellStyle name="Percent 103 3 2 2" xfId="43360" xr:uid="{00000000-0005-0000-0000-0000E3A90000}"/>
    <cellStyle name="Percent 103 3 3" xfId="43361" xr:uid="{00000000-0005-0000-0000-0000E4A90000}"/>
    <cellStyle name="Percent 103 4" xfId="43362" xr:uid="{00000000-0005-0000-0000-0000E5A90000}"/>
    <cellStyle name="Percent 103 4 2" xfId="43363" xr:uid="{00000000-0005-0000-0000-0000E6A90000}"/>
    <cellStyle name="Percent 103 4 2 2" xfId="43364" xr:uid="{00000000-0005-0000-0000-0000E7A90000}"/>
    <cellStyle name="Percent 103 4 3" xfId="43365" xr:uid="{00000000-0005-0000-0000-0000E8A90000}"/>
    <cellStyle name="Percent 104" xfId="43366" xr:uid="{00000000-0005-0000-0000-0000E9A90000}"/>
    <cellStyle name="Percent 104 2" xfId="43367" xr:uid="{00000000-0005-0000-0000-0000EAA90000}"/>
    <cellStyle name="Percent 104 3" xfId="43368" xr:uid="{00000000-0005-0000-0000-0000EBA90000}"/>
    <cellStyle name="Percent 104 3 2" xfId="43369" xr:uid="{00000000-0005-0000-0000-0000ECA90000}"/>
    <cellStyle name="Percent 104 3 2 2" xfId="43370" xr:uid="{00000000-0005-0000-0000-0000EDA90000}"/>
    <cellStyle name="Percent 104 3 3" xfId="43371" xr:uid="{00000000-0005-0000-0000-0000EEA90000}"/>
    <cellStyle name="Percent 104 4" xfId="43372" xr:uid="{00000000-0005-0000-0000-0000EFA90000}"/>
    <cellStyle name="Percent 104 4 2" xfId="43373" xr:uid="{00000000-0005-0000-0000-0000F0A90000}"/>
    <cellStyle name="Percent 104 4 2 2" xfId="43374" xr:uid="{00000000-0005-0000-0000-0000F1A90000}"/>
    <cellStyle name="Percent 104 4 3" xfId="43375" xr:uid="{00000000-0005-0000-0000-0000F2A90000}"/>
    <cellStyle name="Percent 105" xfId="43376" xr:uid="{00000000-0005-0000-0000-0000F3A90000}"/>
    <cellStyle name="Percent 105 2" xfId="43377" xr:uid="{00000000-0005-0000-0000-0000F4A90000}"/>
    <cellStyle name="Percent 105 3" xfId="43378" xr:uid="{00000000-0005-0000-0000-0000F5A90000}"/>
    <cellStyle name="Percent 105 3 2" xfId="43379" xr:uid="{00000000-0005-0000-0000-0000F6A90000}"/>
    <cellStyle name="Percent 105 3 2 2" xfId="43380" xr:uid="{00000000-0005-0000-0000-0000F7A90000}"/>
    <cellStyle name="Percent 105 3 3" xfId="43381" xr:uid="{00000000-0005-0000-0000-0000F8A90000}"/>
    <cellStyle name="Percent 105 4" xfId="43382" xr:uid="{00000000-0005-0000-0000-0000F9A90000}"/>
    <cellStyle name="Percent 105 4 2" xfId="43383" xr:uid="{00000000-0005-0000-0000-0000FAA90000}"/>
    <cellStyle name="Percent 105 4 2 2" xfId="43384" xr:uid="{00000000-0005-0000-0000-0000FBA90000}"/>
    <cellStyle name="Percent 105 4 3" xfId="43385" xr:uid="{00000000-0005-0000-0000-0000FCA90000}"/>
    <cellStyle name="Percent 106" xfId="43386" xr:uid="{00000000-0005-0000-0000-0000FDA90000}"/>
    <cellStyle name="Percent 106 2" xfId="43387" xr:uid="{00000000-0005-0000-0000-0000FEA90000}"/>
    <cellStyle name="Percent 106 3" xfId="43388" xr:uid="{00000000-0005-0000-0000-0000FFA90000}"/>
    <cellStyle name="Percent 106 3 2" xfId="43389" xr:uid="{00000000-0005-0000-0000-000000AA0000}"/>
    <cellStyle name="Percent 106 3 2 2" xfId="43390" xr:uid="{00000000-0005-0000-0000-000001AA0000}"/>
    <cellStyle name="Percent 106 3 3" xfId="43391" xr:uid="{00000000-0005-0000-0000-000002AA0000}"/>
    <cellStyle name="Percent 106 4" xfId="43392" xr:uid="{00000000-0005-0000-0000-000003AA0000}"/>
    <cellStyle name="Percent 106 4 2" xfId="43393" xr:uid="{00000000-0005-0000-0000-000004AA0000}"/>
    <cellStyle name="Percent 106 4 2 2" xfId="43394" xr:uid="{00000000-0005-0000-0000-000005AA0000}"/>
    <cellStyle name="Percent 106 4 3" xfId="43395" xr:uid="{00000000-0005-0000-0000-000006AA0000}"/>
    <cellStyle name="Percent 107" xfId="43396" xr:uid="{00000000-0005-0000-0000-000007AA0000}"/>
    <cellStyle name="Percent 107 2" xfId="43397" xr:uid="{00000000-0005-0000-0000-000008AA0000}"/>
    <cellStyle name="Percent 107 3" xfId="43398" xr:uid="{00000000-0005-0000-0000-000009AA0000}"/>
    <cellStyle name="Percent 107 3 2" xfId="43399" xr:uid="{00000000-0005-0000-0000-00000AAA0000}"/>
    <cellStyle name="Percent 107 3 2 2" xfId="43400" xr:uid="{00000000-0005-0000-0000-00000BAA0000}"/>
    <cellStyle name="Percent 107 3 3" xfId="43401" xr:uid="{00000000-0005-0000-0000-00000CAA0000}"/>
    <cellStyle name="Percent 108" xfId="43402" xr:uid="{00000000-0005-0000-0000-00000DAA0000}"/>
    <cellStyle name="Percent 108 2" xfId="43403" xr:uid="{00000000-0005-0000-0000-00000EAA0000}"/>
    <cellStyle name="Percent 108 3" xfId="43404" xr:uid="{00000000-0005-0000-0000-00000FAA0000}"/>
    <cellStyle name="Percent 108 3 2" xfId="43405" xr:uid="{00000000-0005-0000-0000-000010AA0000}"/>
    <cellStyle name="Percent 108 3 2 2" xfId="43406" xr:uid="{00000000-0005-0000-0000-000011AA0000}"/>
    <cellStyle name="Percent 108 3 3" xfId="43407" xr:uid="{00000000-0005-0000-0000-000012AA0000}"/>
    <cellStyle name="Percent 109" xfId="43408" xr:uid="{00000000-0005-0000-0000-000013AA0000}"/>
    <cellStyle name="Percent 109 2" xfId="43409" xr:uid="{00000000-0005-0000-0000-000014AA0000}"/>
    <cellStyle name="Percent 109 3" xfId="43410" xr:uid="{00000000-0005-0000-0000-000015AA0000}"/>
    <cellStyle name="Percent 109 3 2" xfId="43411" xr:uid="{00000000-0005-0000-0000-000016AA0000}"/>
    <cellStyle name="Percent 109 3 2 2" xfId="43412" xr:uid="{00000000-0005-0000-0000-000017AA0000}"/>
    <cellStyle name="Percent 109 3 3" xfId="43413" xr:uid="{00000000-0005-0000-0000-000018AA0000}"/>
    <cellStyle name="Percent 11" xfId="43414" xr:uid="{00000000-0005-0000-0000-000019AA0000}"/>
    <cellStyle name="Percent 11 2" xfId="43415" xr:uid="{00000000-0005-0000-0000-00001AAA0000}"/>
    <cellStyle name="Percent 11 3" xfId="43416" xr:uid="{00000000-0005-0000-0000-00001BAA0000}"/>
    <cellStyle name="Percent 11 3 2" xfId="43417" xr:uid="{00000000-0005-0000-0000-00001CAA0000}"/>
    <cellStyle name="Percent 11 3 2 2" xfId="43418" xr:uid="{00000000-0005-0000-0000-00001DAA0000}"/>
    <cellStyle name="Percent 11 3 3" xfId="43419" xr:uid="{00000000-0005-0000-0000-00001EAA0000}"/>
    <cellStyle name="Percent 11 4" xfId="43420" xr:uid="{00000000-0005-0000-0000-00001FAA0000}"/>
    <cellStyle name="Percent 11 4 2" xfId="43421" xr:uid="{00000000-0005-0000-0000-000020AA0000}"/>
    <cellStyle name="Percent 11 4 2 2" xfId="43422" xr:uid="{00000000-0005-0000-0000-000021AA0000}"/>
    <cellStyle name="Percent 11 4 3" xfId="43423" xr:uid="{00000000-0005-0000-0000-000022AA0000}"/>
    <cellStyle name="Percent 110" xfId="43424" xr:uid="{00000000-0005-0000-0000-000023AA0000}"/>
    <cellStyle name="Percent 111" xfId="43425" xr:uid="{00000000-0005-0000-0000-000024AA0000}"/>
    <cellStyle name="Percent 112" xfId="43426" xr:uid="{00000000-0005-0000-0000-000025AA0000}"/>
    <cellStyle name="Percent 113" xfId="43427" xr:uid="{00000000-0005-0000-0000-000026AA0000}"/>
    <cellStyle name="Percent 114" xfId="43428" xr:uid="{00000000-0005-0000-0000-000027AA0000}"/>
    <cellStyle name="Percent 115" xfId="43429" xr:uid="{00000000-0005-0000-0000-000028AA0000}"/>
    <cellStyle name="Percent 116" xfId="43430" xr:uid="{00000000-0005-0000-0000-000029AA0000}"/>
    <cellStyle name="Percent 117" xfId="43431" xr:uid="{00000000-0005-0000-0000-00002AAA0000}"/>
    <cellStyle name="Percent 118" xfId="43432" xr:uid="{00000000-0005-0000-0000-00002BAA0000}"/>
    <cellStyle name="Percent 119" xfId="43433" xr:uid="{00000000-0005-0000-0000-00002CAA0000}"/>
    <cellStyle name="Percent 12" xfId="43434" xr:uid="{00000000-0005-0000-0000-00002DAA0000}"/>
    <cellStyle name="Percent 12 2" xfId="43435" xr:uid="{00000000-0005-0000-0000-00002EAA0000}"/>
    <cellStyle name="Percent 12 3" xfId="43436" xr:uid="{00000000-0005-0000-0000-00002FAA0000}"/>
    <cellStyle name="Percent 12 3 2" xfId="43437" xr:uid="{00000000-0005-0000-0000-000030AA0000}"/>
    <cellStyle name="Percent 12 3 2 2" xfId="43438" xr:uid="{00000000-0005-0000-0000-000031AA0000}"/>
    <cellStyle name="Percent 12 3 3" xfId="43439" xr:uid="{00000000-0005-0000-0000-000032AA0000}"/>
    <cellStyle name="Percent 12 4" xfId="43440" xr:uid="{00000000-0005-0000-0000-000033AA0000}"/>
    <cellStyle name="Percent 12 4 2" xfId="43441" xr:uid="{00000000-0005-0000-0000-000034AA0000}"/>
    <cellStyle name="Percent 12 4 2 2" xfId="43442" xr:uid="{00000000-0005-0000-0000-000035AA0000}"/>
    <cellStyle name="Percent 12 4 3" xfId="43443" xr:uid="{00000000-0005-0000-0000-000036AA0000}"/>
    <cellStyle name="Percent 120" xfId="43444" xr:uid="{00000000-0005-0000-0000-000037AA0000}"/>
    <cellStyle name="Percent 121" xfId="43445" xr:uid="{00000000-0005-0000-0000-000038AA0000}"/>
    <cellStyle name="Percent 122" xfId="43446" xr:uid="{00000000-0005-0000-0000-000039AA0000}"/>
    <cellStyle name="Percent 123" xfId="43447" xr:uid="{00000000-0005-0000-0000-00003AAA0000}"/>
    <cellStyle name="Percent 124" xfId="43448" xr:uid="{00000000-0005-0000-0000-00003BAA0000}"/>
    <cellStyle name="Percent 125" xfId="43449" xr:uid="{00000000-0005-0000-0000-00003CAA0000}"/>
    <cellStyle name="Percent 126" xfId="43450" xr:uid="{00000000-0005-0000-0000-00003DAA0000}"/>
    <cellStyle name="Percent 127" xfId="43451" xr:uid="{00000000-0005-0000-0000-00003EAA0000}"/>
    <cellStyle name="Percent 128" xfId="43452" xr:uid="{00000000-0005-0000-0000-00003FAA0000}"/>
    <cellStyle name="Percent 129" xfId="43453" xr:uid="{00000000-0005-0000-0000-000040AA0000}"/>
    <cellStyle name="Percent 13" xfId="43454" xr:uid="{00000000-0005-0000-0000-000041AA0000}"/>
    <cellStyle name="Percent 13 2" xfId="43455" xr:uid="{00000000-0005-0000-0000-000042AA0000}"/>
    <cellStyle name="Percent 13 3" xfId="43456" xr:uid="{00000000-0005-0000-0000-000043AA0000}"/>
    <cellStyle name="Percent 13 3 2" xfId="43457" xr:uid="{00000000-0005-0000-0000-000044AA0000}"/>
    <cellStyle name="Percent 13 3 2 2" xfId="43458" xr:uid="{00000000-0005-0000-0000-000045AA0000}"/>
    <cellStyle name="Percent 13 3 3" xfId="43459" xr:uid="{00000000-0005-0000-0000-000046AA0000}"/>
    <cellStyle name="Percent 13 4" xfId="43460" xr:uid="{00000000-0005-0000-0000-000047AA0000}"/>
    <cellStyle name="Percent 13 4 2" xfId="43461" xr:uid="{00000000-0005-0000-0000-000048AA0000}"/>
    <cellStyle name="Percent 13 4 2 2" xfId="43462" xr:uid="{00000000-0005-0000-0000-000049AA0000}"/>
    <cellStyle name="Percent 13 4 3" xfId="43463" xr:uid="{00000000-0005-0000-0000-00004AAA0000}"/>
    <cellStyle name="Percent 130" xfId="43464" xr:uid="{00000000-0005-0000-0000-00004BAA0000}"/>
    <cellStyle name="Percent 131" xfId="43465" xr:uid="{00000000-0005-0000-0000-00004CAA0000}"/>
    <cellStyle name="Percent 132" xfId="43466" xr:uid="{00000000-0005-0000-0000-00004DAA0000}"/>
    <cellStyle name="Percent 133" xfId="43467" xr:uid="{00000000-0005-0000-0000-00004EAA0000}"/>
    <cellStyle name="Percent 134" xfId="43468" xr:uid="{00000000-0005-0000-0000-00004FAA0000}"/>
    <cellStyle name="Percent 135" xfId="43469" xr:uid="{00000000-0005-0000-0000-000050AA0000}"/>
    <cellStyle name="Percent 136" xfId="43470" xr:uid="{00000000-0005-0000-0000-000051AA0000}"/>
    <cellStyle name="Percent 137" xfId="43471" xr:uid="{00000000-0005-0000-0000-000052AA0000}"/>
    <cellStyle name="Percent 138" xfId="43472" xr:uid="{00000000-0005-0000-0000-000053AA0000}"/>
    <cellStyle name="Percent 139" xfId="43473" xr:uid="{00000000-0005-0000-0000-000054AA0000}"/>
    <cellStyle name="Percent 14" xfId="43474" xr:uid="{00000000-0005-0000-0000-000055AA0000}"/>
    <cellStyle name="Percent 14 2" xfId="43475" xr:uid="{00000000-0005-0000-0000-000056AA0000}"/>
    <cellStyle name="Percent 14 3" xfId="43476" xr:uid="{00000000-0005-0000-0000-000057AA0000}"/>
    <cellStyle name="Percent 14 3 2" xfId="43477" xr:uid="{00000000-0005-0000-0000-000058AA0000}"/>
    <cellStyle name="Percent 14 3 2 2" xfId="43478" xr:uid="{00000000-0005-0000-0000-000059AA0000}"/>
    <cellStyle name="Percent 14 3 3" xfId="43479" xr:uid="{00000000-0005-0000-0000-00005AAA0000}"/>
    <cellStyle name="Percent 14 4" xfId="43480" xr:uid="{00000000-0005-0000-0000-00005BAA0000}"/>
    <cellStyle name="Percent 14 4 2" xfId="43481" xr:uid="{00000000-0005-0000-0000-00005CAA0000}"/>
    <cellStyle name="Percent 14 4 2 2" xfId="43482" xr:uid="{00000000-0005-0000-0000-00005DAA0000}"/>
    <cellStyle name="Percent 14 4 3" xfId="43483" xr:uid="{00000000-0005-0000-0000-00005EAA0000}"/>
    <cellStyle name="Percent 140" xfId="43484" xr:uid="{00000000-0005-0000-0000-00005FAA0000}"/>
    <cellStyle name="Percent 141" xfId="43485" xr:uid="{00000000-0005-0000-0000-000060AA0000}"/>
    <cellStyle name="Percent 142" xfId="43486" xr:uid="{00000000-0005-0000-0000-000061AA0000}"/>
    <cellStyle name="Percent 143" xfId="43487" xr:uid="{00000000-0005-0000-0000-000062AA0000}"/>
    <cellStyle name="Percent 144" xfId="43488" xr:uid="{00000000-0005-0000-0000-000063AA0000}"/>
    <cellStyle name="Percent 145" xfId="43489" xr:uid="{00000000-0005-0000-0000-000064AA0000}"/>
    <cellStyle name="Percent 146" xfId="43490" xr:uid="{00000000-0005-0000-0000-000065AA0000}"/>
    <cellStyle name="Percent 147" xfId="43491" xr:uid="{00000000-0005-0000-0000-000066AA0000}"/>
    <cellStyle name="Percent 148" xfId="43492" xr:uid="{00000000-0005-0000-0000-000067AA0000}"/>
    <cellStyle name="Percent 149" xfId="43493" xr:uid="{00000000-0005-0000-0000-000068AA0000}"/>
    <cellStyle name="Percent 15" xfId="43494" xr:uid="{00000000-0005-0000-0000-000069AA0000}"/>
    <cellStyle name="Percent 15 2" xfId="43495" xr:uid="{00000000-0005-0000-0000-00006AAA0000}"/>
    <cellStyle name="Percent 15 3" xfId="43496" xr:uid="{00000000-0005-0000-0000-00006BAA0000}"/>
    <cellStyle name="Percent 15 3 2" xfId="43497" xr:uid="{00000000-0005-0000-0000-00006CAA0000}"/>
    <cellStyle name="Percent 15 3 2 2" xfId="43498" xr:uid="{00000000-0005-0000-0000-00006DAA0000}"/>
    <cellStyle name="Percent 15 3 3" xfId="43499" xr:uid="{00000000-0005-0000-0000-00006EAA0000}"/>
    <cellStyle name="Percent 15 4" xfId="43500" xr:uid="{00000000-0005-0000-0000-00006FAA0000}"/>
    <cellStyle name="Percent 15 4 2" xfId="43501" xr:uid="{00000000-0005-0000-0000-000070AA0000}"/>
    <cellStyle name="Percent 15 4 2 2" xfId="43502" xr:uid="{00000000-0005-0000-0000-000071AA0000}"/>
    <cellStyle name="Percent 15 4 3" xfId="43503" xr:uid="{00000000-0005-0000-0000-000072AA0000}"/>
    <cellStyle name="Percent 150" xfId="669" xr:uid="{00000000-0005-0000-0000-000073AA0000}"/>
    <cellStyle name="Percent 151" xfId="53872" xr:uid="{00000000-0005-0000-0000-000074AA0000}"/>
    <cellStyle name="Percent 152" xfId="53876" xr:uid="{00000000-0005-0000-0000-000075AA0000}"/>
    <cellStyle name="Percent 153" xfId="53879" xr:uid="{00000000-0005-0000-0000-000076AA0000}"/>
    <cellStyle name="Percent 154" xfId="53882" xr:uid="{00000000-0005-0000-0000-000077AA0000}"/>
    <cellStyle name="Percent 155" xfId="53885" xr:uid="{00000000-0005-0000-0000-000078AA0000}"/>
    <cellStyle name="Percent 156" xfId="53894" xr:uid="{845C1E15-D317-47DA-AD09-29C0F635C834}"/>
    <cellStyle name="Percent 16" xfId="43504" xr:uid="{00000000-0005-0000-0000-000079AA0000}"/>
    <cellStyle name="Percent 16 2" xfId="43505" xr:uid="{00000000-0005-0000-0000-00007AAA0000}"/>
    <cellStyle name="Percent 16 3" xfId="43506" xr:uid="{00000000-0005-0000-0000-00007BAA0000}"/>
    <cellStyle name="Percent 16 3 2" xfId="43507" xr:uid="{00000000-0005-0000-0000-00007CAA0000}"/>
    <cellStyle name="Percent 16 3 2 2" xfId="43508" xr:uid="{00000000-0005-0000-0000-00007DAA0000}"/>
    <cellStyle name="Percent 16 3 3" xfId="43509" xr:uid="{00000000-0005-0000-0000-00007EAA0000}"/>
    <cellStyle name="Percent 16 4" xfId="43510" xr:uid="{00000000-0005-0000-0000-00007FAA0000}"/>
    <cellStyle name="Percent 16 4 2" xfId="43511" xr:uid="{00000000-0005-0000-0000-000080AA0000}"/>
    <cellStyle name="Percent 16 4 2 2" xfId="43512" xr:uid="{00000000-0005-0000-0000-000081AA0000}"/>
    <cellStyle name="Percent 16 4 3" xfId="43513" xr:uid="{00000000-0005-0000-0000-000082AA0000}"/>
    <cellStyle name="Percent 17" xfId="43514" xr:uid="{00000000-0005-0000-0000-000083AA0000}"/>
    <cellStyle name="Percent 17 2" xfId="43515" xr:uid="{00000000-0005-0000-0000-000084AA0000}"/>
    <cellStyle name="Percent 17 3" xfId="43516" xr:uid="{00000000-0005-0000-0000-000085AA0000}"/>
    <cellStyle name="Percent 17 3 2" xfId="43517" xr:uid="{00000000-0005-0000-0000-000086AA0000}"/>
    <cellStyle name="Percent 17 3 2 2" xfId="43518" xr:uid="{00000000-0005-0000-0000-000087AA0000}"/>
    <cellStyle name="Percent 17 3 3" xfId="43519" xr:uid="{00000000-0005-0000-0000-000088AA0000}"/>
    <cellStyle name="Percent 17 4" xfId="43520" xr:uid="{00000000-0005-0000-0000-000089AA0000}"/>
    <cellStyle name="Percent 17 4 2" xfId="43521" xr:uid="{00000000-0005-0000-0000-00008AAA0000}"/>
    <cellStyle name="Percent 17 4 2 2" xfId="43522" xr:uid="{00000000-0005-0000-0000-00008BAA0000}"/>
    <cellStyle name="Percent 17 4 3" xfId="43523" xr:uid="{00000000-0005-0000-0000-00008CAA0000}"/>
    <cellStyle name="Percent 18" xfId="43524" xr:uid="{00000000-0005-0000-0000-00008DAA0000}"/>
    <cellStyle name="Percent 18 2" xfId="43525" xr:uid="{00000000-0005-0000-0000-00008EAA0000}"/>
    <cellStyle name="Percent 18 3" xfId="43526" xr:uid="{00000000-0005-0000-0000-00008FAA0000}"/>
    <cellStyle name="Percent 18 3 2" xfId="43527" xr:uid="{00000000-0005-0000-0000-000090AA0000}"/>
    <cellStyle name="Percent 18 3 2 2" xfId="43528" xr:uid="{00000000-0005-0000-0000-000091AA0000}"/>
    <cellStyle name="Percent 18 3 3" xfId="43529" xr:uid="{00000000-0005-0000-0000-000092AA0000}"/>
    <cellStyle name="Percent 18 4" xfId="43530" xr:uid="{00000000-0005-0000-0000-000093AA0000}"/>
    <cellStyle name="Percent 18 4 2" xfId="43531" xr:uid="{00000000-0005-0000-0000-000094AA0000}"/>
    <cellStyle name="Percent 18 4 2 2" xfId="43532" xr:uid="{00000000-0005-0000-0000-000095AA0000}"/>
    <cellStyle name="Percent 18 4 3" xfId="43533" xr:uid="{00000000-0005-0000-0000-000096AA0000}"/>
    <cellStyle name="Percent 19" xfId="43534" xr:uid="{00000000-0005-0000-0000-000097AA0000}"/>
    <cellStyle name="Percent 19 2" xfId="43535" xr:uid="{00000000-0005-0000-0000-000098AA0000}"/>
    <cellStyle name="Percent 19 3" xfId="43536" xr:uid="{00000000-0005-0000-0000-000099AA0000}"/>
    <cellStyle name="Percent 19 3 2" xfId="43537" xr:uid="{00000000-0005-0000-0000-00009AAA0000}"/>
    <cellStyle name="Percent 19 3 2 2" xfId="43538" xr:uid="{00000000-0005-0000-0000-00009BAA0000}"/>
    <cellStyle name="Percent 19 3 3" xfId="43539" xr:uid="{00000000-0005-0000-0000-00009CAA0000}"/>
    <cellStyle name="Percent 19 4" xfId="43540" xr:uid="{00000000-0005-0000-0000-00009DAA0000}"/>
    <cellStyle name="Percent 19 4 2" xfId="43541" xr:uid="{00000000-0005-0000-0000-00009EAA0000}"/>
    <cellStyle name="Percent 19 4 2 2" xfId="43542" xr:uid="{00000000-0005-0000-0000-00009FAA0000}"/>
    <cellStyle name="Percent 19 4 3" xfId="43543" xr:uid="{00000000-0005-0000-0000-0000A0AA0000}"/>
    <cellStyle name="Percent 2" xfId="38" xr:uid="{00000000-0005-0000-0000-0000A1AA0000}"/>
    <cellStyle name="Percent 2 2" xfId="43545" xr:uid="{00000000-0005-0000-0000-0000A2AA0000}"/>
    <cellStyle name="Percent 2 2 2" xfId="43546" xr:uid="{00000000-0005-0000-0000-0000A3AA0000}"/>
    <cellStyle name="Percent 2 2 3" xfId="43547" xr:uid="{00000000-0005-0000-0000-0000A4AA0000}"/>
    <cellStyle name="Percent 2 2 3 2" xfId="43548" xr:uid="{00000000-0005-0000-0000-0000A5AA0000}"/>
    <cellStyle name="Percent 2 2 3 2 2" xfId="43549" xr:uid="{00000000-0005-0000-0000-0000A6AA0000}"/>
    <cellStyle name="Percent 2 2 3 3" xfId="43550" xr:uid="{00000000-0005-0000-0000-0000A7AA0000}"/>
    <cellStyle name="Percent 2 2 4" xfId="43551" xr:uid="{00000000-0005-0000-0000-0000A8AA0000}"/>
    <cellStyle name="Percent 2 2 4 2" xfId="43552" xr:uid="{00000000-0005-0000-0000-0000A9AA0000}"/>
    <cellStyle name="Percent 2 2 4 2 2" xfId="43553" xr:uid="{00000000-0005-0000-0000-0000AAAA0000}"/>
    <cellStyle name="Percent 2 2 4 3" xfId="43554" xr:uid="{00000000-0005-0000-0000-0000ABAA0000}"/>
    <cellStyle name="Percent 2 3" xfId="43555" xr:uid="{00000000-0005-0000-0000-0000ACAA0000}"/>
    <cellStyle name="Percent 2 4" xfId="43556" xr:uid="{00000000-0005-0000-0000-0000ADAA0000}"/>
    <cellStyle name="Percent 2 4 2" xfId="43557" xr:uid="{00000000-0005-0000-0000-0000AEAA0000}"/>
    <cellStyle name="Percent 2 4 2 2" xfId="43558" xr:uid="{00000000-0005-0000-0000-0000AFAA0000}"/>
    <cellStyle name="Percent 2 4 3" xfId="43559" xr:uid="{00000000-0005-0000-0000-0000B0AA0000}"/>
    <cellStyle name="Percent 2 5" xfId="43560" xr:uid="{00000000-0005-0000-0000-0000B1AA0000}"/>
    <cellStyle name="Percent 2 5 2" xfId="43561" xr:uid="{00000000-0005-0000-0000-0000B2AA0000}"/>
    <cellStyle name="Percent 2 5 2 2" xfId="43562" xr:uid="{00000000-0005-0000-0000-0000B3AA0000}"/>
    <cellStyle name="Percent 2 5 3" xfId="43563" xr:uid="{00000000-0005-0000-0000-0000B4AA0000}"/>
    <cellStyle name="Percent 2 6" xfId="43544" xr:uid="{00000000-0005-0000-0000-0000B5AA0000}"/>
    <cellStyle name="Percent 20" xfId="43564" xr:uid="{00000000-0005-0000-0000-0000B6AA0000}"/>
    <cellStyle name="Percent 20 2" xfId="43565" xr:uid="{00000000-0005-0000-0000-0000B7AA0000}"/>
    <cellStyle name="Percent 20 3" xfId="43566" xr:uid="{00000000-0005-0000-0000-0000B8AA0000}"/>
    <cellStyle name="Percent 20 3 2" xfId="43567" xr:uid="{00000000-0005-0000-0000-0000B9AA0000}"/>
    <cellStyle name="Percent 20 3 2 2" xfId="43568" xr:uid="{00000000-0005-0000-0000-0000BAAA0000}"/>
    <cellStyle name="Percent 20 3 3" xfId="43569" xr:uid="{00000000-0005-0000-0000-0000BBAA0000}"/>
    <cellStyle name="Percent 20 4" xfId="43570" xr:uid="{00000000-0005-0000-0000-0000BCAA0000}"/>
    <cellStyle name="Percent 20 4 2" xfId="43571" xr:uid="{00000000-0005-0000-0000-0000BDAA0000}"/>
    <cellStyle name="Percent 20 4 2 2" xfId="43572" xr:uid="{00000000-0005-0000-0000-0000BEAA0000}"/>
    <cellStyle name="Percent 20 4 3" xfId="43573" xr:uid="{00000000-0005-0000-0000-0000BFAA0000}"/>
    <cellStyle name="Percent 21" xfId="43574" xr:uid="{00000000-0005-0000-0000-0000C0AA0000}"/>
    <cellStyle name="Percent 21 2" xfId="43575" xr:uid="{00000000-0005-0000-0000-0000C1AA0000}"/>
    <cellStyle name="Percent 21 3" xfId="43576" xr:uid="{00000000-0005-0000-0000-0000C2AA0000}"/>
    <cellStyle name="Percent 21 3 2" xfId="43577" xr:uid="{00000000-0005-0000-0000-0000C3AA0000}"/>
    <cellStyle name="Percent 21 3 2 2" xfId="43578" xr:uid="{00000000-0005-0000-0000-0000C4AA0000}"/>
    <cellStyle name="Percent 21 3 3" xfId="43579" xr:uid="{00000000-0005-0000-0000-0000C5AA0000}"/>
    <cellStyle name="Percent 21 4" xfId="43580" xr:uid="{00000000-0005-0000-0000-0000C6AA0000}"/>
    <cellStyle name="Percent 21 4 2" xfId="43581" xr:uid="{00000000-0005-0000-0000-0000C7AA0000}"/>
    <cellStyle name="Percent 21 4 2 2" xfId="43582" xr:uid="{00000000-0005-0000-0000-0000C8AA0000}"/>
    <cellStyle name="Percent 21 4 3" xfId="43583" xr:uid="{00000000-0005-0000-0000-0000C9AA0000}"/>
    <cellStyle name="Percent 22" xfId="43584" xr:uid="{00000000-0005-0000-0000-0000CAAA0000}"/>
    <cellStyle name="Percent 22 2" xfId="43585" xr:uid="{00000000-0005-0000-0000-0000CBAA0000}"/>
    <cellStyle name="Percent 22 3" xfId="43586" xr:uid="{00000000-0005-0000-0000-0000CCAA0000}"/>
    <cellStyle name="Percent 22 3 2" xfId="43587" xr:uid="{00000000-0005-0000-0000-0000CDAA0000}"/>
    <cellStyle name="Percent 22 3 2 2" xfId="43588" xr:uid="{00000000-0005-0000-0000-0000CEAA0000}"/>
    <cellStyle name="Percent 22 3 3" xfId="43589" xr:uid="{00000000-0005-0000-0000-0000CFAA0000}"/>
    <cellStyle name="Percent 22 4" xfId="43590" xr:uid="{00000000-0005-0000-0000-0000D0AA0000}"/>
    <cellStyle name="Percent 22 4 2" xfId="43591" xr:uid="{00000000-0005-0000-0000-0000D1AA0000}"/>
    <cellStyle name="Percent 22 4 2 2" xfId="43592" xr:uid="{00000000-0005-0000-0000-0000D2AA0000}"/>
    <cellStyle name="Percent 22 4 3" xfId="43593" xr:uid="{00000000-0005-0000-0000-0000D3AA0000}"/>
    <cellStyle name="Percent 23" xfId="43594" xr:uid="{00000000-0005-0000-0000-0000D4AA0000}"/>
    <cellStyle name="Percent 23 2" xfId="43595" xr:uid="{00000000-0005-0000-0000-0000D5AA0000}"/>
    <cellStyle name="Percent 23 3" xfId="43596" xr:uid="{00000000-0005-0000-0000-0000D6AA0000}"/>
    <cellStyle name="Percent 23 3 2" xfId="43597" xr:uid="{00000000-0005-0000-0000-0000D7AA0000}"/>
    <cellStyle name="Percent 23 3 2 2" xfId="43598" xr:uid="{00000000-0005-0000-0000-0000D8AA0000}"/>
    <cellStyle name="Percent 23 3 3" xfId="43599" xr:uid="{00000000-0005-0000-0000-0000D9AA0000}"/>
    <cellStyle name="Percent 23 4" xfId="43600" xr:uid="{00000000-0005-0000-0000-0000DAAA0000}"/>
    <cellStyle name="Percent 23 4 2" xfId="43601" xr:uid="{00000000-0005-0000-0000-0000DBAA0000}"/>
    <cellStyle name="Percent 23 4 2 2" xfId="43602" xr:uid="{00000000-0005-0000-0000-0000DCAA0000}"/>
    <cellStyle name="Percent 23 4 3" xfId="43603" xr:uid="{00000000-0005-0000-0000-0000DDAA0000}"/>
    <cellStyle name="Percent 24" xfId="43604" xr:uid="{00000000-0005-0000-0000-0000DEAA0000}"/>
    <cellStyle name="Percent 24 2" xfId="43605" xr:uid="{00000000-0005-0000-0000-0000DFAA0000}"/>
    <cellStyle name="Percent 24 3" xfId="43606" xr:uid="{00000000-0005-0000-0000-0000E0AA0000}"/>
    <cellStyle name="Percent 24 3 2" xfId="43607" xr:uid="{00000000-0005-0000-0000-0000E1AA0000}"/>
    <cellStyle name="Percent 24 3 2 2" xfId="43608" xr:uid="{00000000-0005-0000-0000-0000E2AA0000}"/>
    <cellStyle name="Percent 24 3 3" xfId="43609" xr:uid="{00000000-0005-0000-0000-0000E3AA0000}"/>
    <cellStyle name="Percent 24 4" xfId="43610" xr:uid="{00000000-0005-0000-0000-0000E4AA0000}"/>
    <cellStyle name="Percent 24 4 2" xfId="43611" xr:uid="{00000000-0005-0000-0000-0000E5AA0000}"/>
    <cellStyle name="Percent 24 4 2 2" xfId="43612" xr:uid="{00000000-0005-0000-0000-0000E6AA0000}"/>
    <cellStyle name="Percent 24 4 3" xfId="43613" xr:uid="{00000000-0005-0000-0000-0000E7AA0000}"/>
    <cellStyle name="Percent 25" xfId="43614" xr:uid="{00000000-0005-0000-0000-0000E8AA0000}"/>
    <cellStyle name="Percent 25 2" xfId="43615" xr:uid="{00000000-0005-0000-0000-0000E9AA0000}"/>
    <cellStyle name="Percent 25 3" xfId="43616" xr:uid="{00000000-0005-0000-0000-0000EAAA0000}"/>
    <cellStyle name="Percent 25 3 2" xfId="43617" xr:uid="{00000000-0005-0000-0000-0000EBAA0000}"/>
    <cellStyle name="Percent 25 3 2 2" xfId="43618" xr:uid="{00000000-0005-0000-0000-0000ECAA0000}"/>
    <cellStyle name="Percent 25 3 3" xfId="43619" xr:uid="{00000000-0005-0000-0000-0000EDAA0000}"/>
    <cellStyle name="Percent 25 4" xfId="43620" xr:uid="{00000000-0005-0000-0000-0000EEAA0000}"/>
    <cellStyle name="Percent 25 4 2" xfId="43621" xr:uid="{00000000-0005-0000-0000-0000EFAA0000}"/>
    <cellStyle name="Percent 25 4 2 2" xfId="43622" xr:uid="{00000000-0005-0000-0000-0000F0AA0000}"/>
    <cellStyle name="Percent 25 4 3" xfId="43623" xr:uid="{00000000-0005-0000-0000-0000F1AA0000}"/>
    <cellStyle name="Percent 26" xfId="43624" xr:uid="{00000000-0005-0000-0000-0000F2AA0000}"/>
    <cellStyle name="Percent 26 2" xfId="43625" xr:uid="{00000000-0005-0000-0000-0000F3AA0000}"/>
    <cellStyle name="Percent 26 3" xfId="43626" xr:uid="{00000000-0005-0000-0000-0000F4AA0000}"/>
    <cellStyle name="Percent 26 3 2" xfId="43627" xr:uid="{00000000-0005-0000-0000-0000F5AA0000}"/>
    <cellStyle name="Percent 26 3 2 2" xfId="43628" xr:uid="{00000000-0005-0000-0000-0000F6AA0000}"/>
    <cellStyle name="Percent 26 3 3" xfId="43629" xr:uid="{00000000-0005-0000-0000-0000F7AA0000}"/>
    <cellStyle name="Percent 26 4" xfId="43630" xr:uid="{00000000-0005-0000-0000-0000F8AA0000}"/>
    <cellStyle name="Percent 26 4 2" xfId="43631" xr:uid="{00000000-0005-0000-0000-0000F9AA0000}"/>
    <cellStyle name="Percent 26 4 2 2" xfId="43632" xr:uid="{00000000-0005-0000-0000-0000FAAA0000}"/>
    <cellStyle name="Percent 26 4 3" xfId="43633" xr:uid="{00000000-0005-0000-0000-0000FBAA0000}"/>
    <cellStyle name="Percent 27" xfId="43634" xr:uid="{00000000-0005-0000-0000-0000FCAA0000}"/>
    <cellStyle name="Percent 27 2" xfId="43635" xr:uid="{00000000-0005-0000-0000-0000FDAA0000}"/>
    <cellStyle name="Percent 27 3" xfId="43636" xr:uid="{00000000-0005-0000-0000-0000FEAA0000}"/>
    <cellStyle name="Percent 27 3 2" xfId="43637" xr:uid="{00000000-0005-0000-0000-0000FFAA0000}"/>
    <cellStyle name="Percent 27 3 2 2" xfId="43638" xr:uid="{00000000-0005-0000-0000-000000AB0000}"/>
    <cellStyle name="Percent 27 3 3" xfId="43639" xr:uid="{00000000-0005-0000-0000-000001AB0000}"/>
    <cellStyle name="Percent 27 4" xfId="43640" xr:uid="{00000000-0005-0000-0000-000002AB0000}"/>
    <cellStyle name="Percent 27 4 2" xfId="43641" xr:uid="{00000000-0005-0000-0000-000003AB0000}"/>
    <cellStyle name="Percent 27 4 2 2" xfId="43642" xr:uid="{00000000-0005-0000-0000-000004AB0000}"/>
    <cellStyle name="Percent 27 4 3" xfId="43643" xr:uid="{00000000-0005-0000-0000-000005AB0000}"/>
    <cellStyle name="Percent 28" xfId="43644" xr:uid="{00000000-0005-0000-0000-000006AB0000}"/>
    <cellStyle name="Percent 28 2" xfId="43645" xr:uid="{00000000-0005-0000-0000-000007AB0000}"/>
    <cellStyle name="Percent 28 3" xfId="43646" xr:uid="{00000000-0005-0000-0000-000008AB0000}"/>
    <cellStyle name="Percent 28 3 2" xfId="43647" xr:uid="{00000000-0005-0000-0000-000009AB0000}"/>
    <cellStyle name="Percent 28 3 2 2" xfId="43648" xr:uid="{00000000-0005-0000-0000-00000AAB0000}"/>
    <cellStyle name="Percent 28 3 3" xfId="43649" xr:uid="{00000000-0005-0000-0000-00000BAB0000}"/>
    <cellStyle name="Percent 28 4" xfId="43650" xr:uid="{00000000-0005-0000-0000-00000CAB0000}"/>
    <cellStyle name="Percent 28 4 2" xfId="43651" xr:uid="{00000000-0005-0000-0000-00000DAB0000}"/>
    <cellStyle name="Percent 28 4 2 2" xfId="43652" xr:uid="{00000000-0005-0000-0000-00000EAB0000}"/>
    <cellStyle name="Percent 28 4 3" xfId="43653" xr:uid="{00000000-0005-0000-0000-00000FAB0000}"/>
    <cellStyle name="Percent 29" xfId="43654" xr:uid="{00000000-0005-0000-0000-000010AB0000}"/>
    <cellStyle name="Percent 29 2" xfId="43655" xr:uid="{00000000-0005-0000-0000-000011AB0000}"/>
    <cellStyle name="Percent 29 3" xfId="43656" xr:uid="{00000000-0005-0000-0000-000012AB0000}"/>
    <cellStyle name="Percent 29 3 2" xfId="43657" xr:uid="{00000000-0005-0000-0000-000013AB0000}"/>
    <cellStyle name="Percent 29 3 2 2" xfId="43658" xr:uid="{00000000-0005-0000-0000-000014AB0000}"/>
    <cellStyle name="Percent 29 3 3" xfId="43659" xr:uid="{00000000-0005-0000-0000-000015AB0000}"/>
    <cellStyle name="Percent 29 4" xfId="43660" xr:uid="{00000000-0005-0000-0000-000016AB0000}"/>
    <cellStyle name="Percent 29 4 2" xfId="43661" xr:uid="{00000000-0005-0000-0000-000017AB0000}"/>
    <cellStyle name="Percent 29 4 2 2" xfId="43662" xr:uid="{00000000-0005-0000-0000-000018AB0000}"/>
    <cellStyle name="Percent 29 4 3" xfId="43663" xr:uid="{00000000-0005-0000-0000-000019AB0000}"/>
    <cellStyle name="Percent 3" xfId="39" xr:uid="{00000000-0005-0000-0000-00001AAB0000}"/>
    <cellStyle name="Percent 3 2" xfId="106" xr:uid="{00000000-0005-0000-0000-00001BAB0000}"/>
    <cellStyle name="Percent 3 2 2" xfId="43665" xr:uid="{00000000-0005-0000-0000-00001CAB0000}"/>
    <cellStyle name="Percent 3 2 3" xfId="43666" xr:uid="{00000000-0005-0000-0000-00001DAB0000}"/>
    <cellStyle name="Percent 3 2 3 2" xfId="43667" xr:uid="{00000000-0005-0000-0000-00001EAB0000}"/>
    <cellStyle name="Percent 3 2 3 2 2" xfId="43668" xr:uid="{00000000-0005-0000-0000-00001FAB0000}"/>
    <cellStyle name="Percent 3 2 3 3" xfId="43669" xr:uid="{00000000-0005-0000-0000-000020AB0000}"/>
    <cellStyle name="Percent 3 2 4" xfId="43670" xr:uid="{00000000-0005-0000-0000-000021AB0000}"/>
    <cellStyle name="Percent 3 2 4 2" xfId="43671" xr:uid="{00000000-0005-0000-0000-000022AB0000}"/>
    <cellStyle name="Percent 3 2 4 2 2" xfId="43672" xr:uid="{00000000-0005-0000-0000-000023AB0000}"/>
    <cellStyle name="Percent 3 2 4 3" xfId="43673" xr:uid="{00000000-0005-0000-0000-000024AB0000}"/>
    <cellStyle name="Percent 3 3" xfId="134" xr:uid="{00000000-0005-0000-0000-000025AB0000}"/>
    <cellStyle name="Percent 3 3 2" xfId="43675" xr:uid="{00000000-0005-0000-0000-000026AB0000}"/>
    <cellStyle name="Percent 3 3 2 2" xfId="43676" xr:uid="{00000000-0005-0000-0000-000027AB0000}"/>
    <cellStyle name="Percent 3 3 3" xfId="43677" xr:uid="{00000000-0005-0000-0000-000028AB0000}"/>
    <cellStyle name="Percent 3 3 3 2" xfId="43678" xr:uid="{00000000-0005-0000-0000-000029AB0000}"/>
    <cellStyle name="Percent 3 3 3 2 2" xfId="43679" xr:uid="{00000000-0005-0000-0000-00002AAB0000}"/>
    <cellStyle name="Percent 3 3 3 3" xfId="43680" xr:uid="{00000000-0005-0000-0000-00002BAB0000}"/>
    <cellStyle name="Percent 3 3 4" xfId="43681" xr:uid="{00000000-0005-0000-0000-00002CAB0000}"/>
    <cellStyle name="Percent 3 3 4 2" xfId="43682" xr:uid="{00000000-0005-0000-0000-00002DAB0000}"/>
    <cellStyle name="Percent 3 3 4 2 2" xfId="43683" xr:uid="{00000000-0005-0000-0000-00002EAB0000}"/>
    <cellStyle name="Percent 3 3 4 3" xfId="43684" xr:uid="{00000000-0005-0000-0000-00002FAB0000}"/>
    <cellStyle name="Percent 3 3 5" xfId="43685" xr:uid="{00000000-0005-0000-0000-000030AB0000}"/>
    <cellStyle name="Percent 3 3 6" xfId="43674" xr:uid="{00000000-0005-0000-0000-000031AB0000}"/>
    <cellStyle name="Percent 3 4" xfId="43686" xr:uid="{00000000-0005-0000-0000-000032AB0000}"/>
    <cellStyle name="Percent 3 5" xfId="43687" xr:uid="{00000000-0005-0000-0000-000033AB0000}"/>
    <cellStyle name="Percent 3 5 2" xfId="43688" xr:uid="{00000000-0005-0000-0000-000034AB0000}"/>
    <cellStyle name="Percent 3 5 2 2" xfId="43689" xr:uid="{00000000-0005-0000-0000-000035AB0000}"/>
    <cellStyle name="Percent 3 5 3" xfId="43690" xr:uid="{00000000-0005-0000-0000-000036AB0000}"/>
    <cellStyle name="Percent 3 6" xfId="43691" xr:uid="{00000000-0005-0000-0000-000037AB0000}"/>
    <cellStyle name="Percent 3 6 2" xfId="43692" xr:uid="{00000000-0005-0000-0000-000038AB0000}"/>
    <cellStyle name="Percent 3 6 2 2" xfId="43693" xr:uid="{00000000-0005-0000-0000-000039AB0000}"/>
    <cellStyle name="Percent 3 6 3" xfId="43694" xr:uid="{00000000-0005-0000-0000-00003AAB0000}"/>
    <cellStyle name="Percent 3 7" xfId="43664" xr:uid="{00000000-0005-0000-0000-00003BAB0000}"/>
    <cellStyle name="Percent 30" xfId="43695" xr:uid="{00000000-0005-0000-0000-00003CAB0000}"/>
    <cellStyle name="Percent 30 2" xfId="43696" xr:uid="{00000000-0005-0000-0000-00003DAB0000}"/>
    <cellStyle name="Percent 30 3" xfId="43697" xr:uid="{00000000-0005-0000-0000-00003EAB0000}"/>
    <cellStyle name="Percent 30 3 2" xfId="43698" xr:uid="{00000000-0005-0000-0000-00003FAB0000}"/>
    <cellStyle name="Percent 30 3 2 2" xfId="43699" xr:uid="{00000000-0005-0000-0000-000040AB0000}"/>
    <cellStyle name="Percent 30 3 3" xfId="43700" xr:uid="{00000000-0005-0000-0000-000041AB0000}"/>
    <cellStyle name="Percent 30 4" xfId="43701" xr:uid="{00000000-0005-0000-0000-000042AB0000}"/>
    <cellStyle name="Percent 30 4 2" xfId="43702" xr:uid="{00000000-0005-0000-0000-000043AB0000}"/>
    <cellStyle name="Percent 30 4 2 2" xfId="43703" xr:uid="{00000000-0005-0000-0000-000044AB0000}"/>
    <cellStyle name="Percent 30 4 3" xfId="43704" xr:uid="{00000000-0005-0000-0000-000045AB0000}"/>
    <cellStyle name="Percent 31" xfId="43705" xr:uid="{00000000-0005-0000-0000-000046AB0000}"/>
    <cellStyle name="Percent 31 2" xfId="43706" xr:uid="{00000000-0005-0000-0000-000047AB0000}"/>
    <cellStyle name="Percent 31 3" xfId="43707" xr:uid="{00000000-0005-0000-0000-000048AB0000}"/>
    <cellStyle name="Percent 31 3 2" xfId="43708" xr:uid="{00000000-0005-0000-0000-000049AB0000}"/>
    <cellStyle name="Percent 31 3 2 2" xfId="43709" xr:uid="{00000000-0005-0000-0000-00004AAB0000}"/>
    <cellStyle name="Percent 31 3 3" xfId="43710" xr:uid="{00000000-0005-0000-0000-00004BAB0000}"/>
    <cellStyle name="Percent 31 4" xfId="43711" xr:uid="{00000000-0005-0000-0000-00004CAB0000}"/>
    <cellStyle name="Percent 31 4 2" xfId="43712" xr:uid="{00000000-0005-0000-0000-00004DAB0000}"/>
    <cellStyle name="Percent 31 4 2 2" xfId="43713" xr:uid="{00000000-0005-0000-0000-00004EAB0000}"/>
    <cellStyle name="Percent 31 4 3" xfId="43714" xr:uid="{00000000-0005-0000-0000-00004FAB0000}"/>
    <cellStyle name="Percent 32" xfId="43715" xr:uid="{00000000-0005-0000-0000-000050AB0000}"/>
    <cellStyle name="Percent 32 2" xfId="43716" xr:uid="{00000000-0005-0000-0000-000051AB0000}"/>
    <cellStyle name="Percent 32 3" xfId="43717" xr:uid="{00000000-0005-0000-0000-000052AB0000}"/>
    <cellStyle name="Percent 32 3 2" xfId="43718" xr:uid="{00000000-0005-0000-0000-000053AB0000}"/>
    <cellStyle name="Percent 32 3 2 2" xfId="43719" xr:uid="{00000000-0005-0000-0000-000054AB0000}"/>
    <cellStyle name="Percent 32 3 3" xfId="43720" xr:uid="{00000000-0005-0000-0000-000055AB0000}"/>
    <cellStyle name="Percent 32 4" xfId="43721" xr:uid="{00000000-0005-0000-0000-000056AB0000}"/>
    <cellStyle name="Percent 32 4 2" xfId="43722" xr:uid="{00000000-0005-0000-0000-000057AB0000}"/>
    <cellStyle name="Percent 32 4 2 2" xfId="43723" xr:uid="{00000000-0005-0000-0000-000058AB0000}"/>
    <cellStyle name="Percent 32 4 3" xfId="43724" xr:uid="{00000000-0005-0000-0000-000059AB0000}"/>
    <cellStyle name="Percent 33" xfId="43725" xr:uid="{00000000-0005-0000-0000-00005AAB0000}"/>
    <cellStyle name="Percent 33 2" xfId="43726" xr:uid="{00000000-0005-0000-0000-00005BAB0000}"/>
    <cellStyle name="Percent 33 3" xfId="43727" xr:uid="{00000000-0005-0000-0000-00005CAB0000}"/>
    <cellStyle name="Percent 33 3 2" xfId="43728" xr:uid="{00000000-0005-0000-0000-00005DAB0000}"/>
    <cellStyle name="Percent 33 3 2 2" xfId="43729" xr:uid="{00000000-0005-0000-0000-00005EAB0000}"/>
    <cellStyle name="Percent 33 3 3" xfId="43730" xr:uid="{00000000-0005-0000-0000-00005FAB0000}"/>
    <cellStyle name="Percent 33 4" xfId="43731" xr:uid="{00000000-0005-0000-0000-000060AB0000}"/>
    <cellStyle name="Percent 33 4 2" xfId="43732" xr:uid="{00000000-0005-0000-0000-000061AB0000}"/>
    <cellStyle name="Percent 33 4 2 2" xfId="43733" xr:uid="{00000000-0005-0000-0000-000062AB0000}"/>
    <cellStyle name="Percent 33 4 3" xfId="43734" xr:uid="{00000000-0005-0000-0000-000063AB0000}"/>
    <cellStyle name="Percent 34" xfId="43735" xr:uid="{00000000-0005-0000-0000-000064AB0000}"/>
    <cellStyle name="Percent 34 2" xfId="43736" xr:uid="{00000000-0005-0000-0000-000065AB0000}"/>
    <cellStyle name="Percent 34 3" xfId="43737" xr:uid="{00000000-0005-0000-0000-000066AB0000}"/>
    <cellStyle name="Percent 34 3 2" xfId="43738" xr:uid="{00000000-0005-0000-0000-000067AB0000}"/>
    <cellStyle name="Percent 34 3 2 2" xfId="43739" xr:uid="{00000000-0005-0000-0000-000068AB0000}"/>
    <cellStyle name="Percent 34 3 3" xfId="43740" xr:uid="{00000000-0005-0000-0000-000069AB0000}"/>
    <cellStyle name="Percent 34 4" xfId="43741" xr:uid="{00000000-0005-0000-0000-00006AAB0000}"/>
    <cellStyle name="Percent 34 4 2" xfId="43742" xr:uid="{00000000-0005-0000-0000-00006BAB0000}"/>
    <cellStyle name="Percent 34 4 2 2" xfId="43743" xr:uid="{00000000-0005-0000-0000-00006CAB0000}"/>
    <cellStyle name="Percent 34 4 3" xfId="43744" xr:uid="{00000000-0005-0000-0000-00006DAB0000}"/>
    <cellStyle name="Percent 35" xfId="43745" xr:uid="{00000000-0005-0000-0000-00006EAB0000}"/>
    <cellStyle name="Percent 35 2" xfId="43746" xr:uid="{00000000-0005-0000-0000-00006FAB0000}"/>
    <cellStyle name="Percent 35 3" xfId="43747" xr:uid="{00000000-0005-0000-0000-000070AB0000}"/>
    <cellStyle name="Percent 35 3 2" xfId="43748" xr:uid="{00000000-0005-0000-0000-000071AB0000}"/>
    <cellStyle name="Percent 35 3 2 2" xfId="43749" xr:uid="{00000000-0005-0000-0000-000072AB0000}"/>
    <cellStyle name="Percent 35 3 3" xfId="43750" xr:uid="{00000000-0005-0000-0000-000073AB0000}"/>
    <cellStyle name="Percent 35 4" xfId="43751" xr:uid="{00000000-0005-0000-0000-000074AB0000}"/>
    <cellStyle name="Percent 35 4 2" xfId="43752" xr:uid="{00000000-0005-0000-0000-000075AB0000}"/>
    <cellStyle name="Percent 35 4 2 2" xfId="43753" xr:uid="{00000000-0005-0000-0000-000076AB0000}"/>
    <cellStyle name="Percent 35 4 3" xfId="43754" xr:uid="{00000000-0005-0000-0000-000077AB0000}"/>
    <cellStyle name="Percent 36" xfId="43755" xr:uid="{00000000-0005-0000-0000-000078AB0000}"/>
    <cellStyle name="Percent 36 2" xfId="43756" xr:uid="{00000000-0005-0000-0000-000079AB0000}"/>
    <cellStyle name="Percent 36 3" xfId="43757" xr:uid="{00000000-0005-0000-0000-00007AAB0000}"/>
    <cellStyle name="Percent 36 3 2" xfId="43758" xr:uid="{00000000-0005-0000-0000-00007BAB0000}"/>
    <cellStyle name="Percent 36 3 2 2" xfId="43759" xr:uid="{00000000-0005-0000-0000-00007CAB0000}"/>
    <cellStyle name="Percent 36 3 3" xfId="43760" xr:uid="{00000000-0005-0000-0000-00007DAB0000}"/>
    <cellStyle name="Percent 36 4" xfId="43761" xr:uid="{00000000-0005-0000-0000-00007EAB0000}"/>
    <cellStyle name="Percent 36 4 2" xfId="43762" xr:uid="{00000000-0005-0000-0000-00007FAB0000}"/>
    <cellStyle name="Percent 36 4 2 2" xfId="43763" xr:uid="{00000000-0005-0000-0000-000080AB0000}"/>
    <cellStyle name="Percent 36 4 3" xfId="43764" xr:uid="{00000000-0005-0000-0000-000081AB0000}"/>
    <cellStyle name="Percent 37" xfId="43765" xr:uid="{00000000-0005-0000-0000-000082AB0000}"/>
    <cellStyle name="Percent 37 2" xfId="43766" xr:uid="{00000000-0005-0000-0000-000083AB0000}"/>
    <cellStyle name="Percent 37 3" xfId="43767" xr:uid="{00000000-0005-0000-0000-000084AB0000}"/>
    <cellStyle name="Percent 37 3 2" xfId="43768" xr:uid="{00000000-0005-0000-0000-000085AB0000}"/>
    <cellStyle name="Percent 37 3 2 2" xfId="43769" xr:uid="{00000000-0005-0000-0000-000086AB0000}"/>
    <cellStyle name="Percent 37 3 3" xfId="43770" xr:uid="{00000000-0005-0000-0000-000087AB0000}"/>
    <cellStyle name="Percent 37 4" xfId="43771" xr:uid="{00000000-0005-0000-0000-000088AB0000}"/>
    <cellStyle name="Percent 37 4 2" xfId="43772" xr:uid="{00000000-0005-0000-0000-000089AB0000}"/>
    <cellStyle name="Percent 37 4 2 2" xfId="43773" xr:uid="{00000000-0005-0000-0000-00008AAB0000}"/>
    <cellStyle name="Percent 37 4 3" xfId="43774" xr:uid="{00000000-0005-0000-0000-00008BAB0000}"/>
    <cellStyle name="Percent 38" xfId="43775" xr:uid="{00000000-0005-0000-0000-00008CAB0000}"/>
    <cellStyle name="Percent 38 2" xfId="43776" xr:uid="{00000000-0005-0000-0000-00008DAB0000}"/>
    <cellStyle name="Percent 38 3" xfId="43777" xr:uid="{00000000-0005-0000-0000-00008EAB0000}"/>
    <cellStyle name="Percent 38 3 2" xfId="43778" xr:uid="{00000000-0005-0000-0000-00008FAB0000}"/>
    <cellStyle name="Percent 38 3 2 2" xfId="43779" xr:uid="{00000000-0005-0000-0000-000090AB0000}"/>
    <cellStyle name="Percent 38 3 3" xfId="43780" xr:uid="{00000000-0005-0000-0000-000091AB0000}"/>
    <cellStyle name="Percent 38 4" xfId="43781" xr:uid="{00000000-0005-0000-0000-000092AB0000}"/>
    <cellStyle name="Percent 38 4 2" xfId="43782" xr:uid="{00000000-0005-0000-0000-000093AB0000}"/>
    <cellStyle name="Percent 38 4 2 2" xfId="43783" xr:uid="{00000000-0005-0000-0000-000094AB0000}"/>
    <cellStyle name="Percent 38 4 3" xfId="43784" xr:uid="{00000000-0005-0000-0000-000095AB0000}"/>
    <cellStyle name="Percent 39" xfId="43785" xr:uid="{00000000-0005-0000-0000-000096AB0000}"/>
    <cellStyle name="Percent 39 2" xfId="43786" xr:uid="{00000000-0005-0000-0000-000097AB0000}"/>
    <cellStyle name="Percent 39 3" xfId="43787" xr:uid="{00000000-0005-0000-0000-000098AB0000}"/>
    <cellStyle name="Percent 39 3 2" xfId="43788" xr:uid="{00000000-0005-0000-0000-000099AB0000}"/>
    <cellStyle name="Percent 39 3 2 2" xfId="43789" xr:uid="{00000000-0005-0000-0000-00009AAB0000}"/>
    <cellStyle name="Percent 39 3 3" xfId="43790" xr:uid="{00000000-0005-0000-0000-00009BAB0000}"/>
    <cellStyle name="Percent 39 4" xfId="43791" xr:uid="{00000000-0005-0000-0000-00009CAB0000}"/>
    <cellStyle name="Percent 39 4 2" xfId="43792" xr:uid="{00000000-0005-0000-0000-00009DAB0000}"/>
    <cellStyle name="Percent 39 4 2 2" xfId="43793" xr:uid="{00000000-0005-0000-0000-00009EAB0000}"/>
    <cellStyle name="Percent 39 4 3" xfId="43794" xr:uid="{00000000-0005-0000-0000-00009FAB0000}"/>
    <cellStyle name="Percent 4" xfId="105" xr:uid="{00000000-0005-0000-0000-0000A0AB0000}"/>
    <cellStyle name="Percent 4 2" xfId="43796" xr:uid="{00000000-0005-0000-0000-0000A1AB0000}"/>
    <cellStyle name="Percent 4 2 2" xfId="43797" xr:uid="{00000000-0005-0000-0000-0000A2AB0000}"/>
    <cellStyle name="Percent 4 2 3" xfId="43798" xr:uid="{00000000-0005-0000-0000-0000A3AB0000}"/>
    <cellStyle name="Percent 4 2 3 2" xfId="43799" xr:uid="{00000000-0005-0000-0000-0000A4AB0000}"/>
    <cellStyle name="Percent 4 2 3 2 2" xfId="43800" xr:uid="{00000000-0005-0000-0000-0000A5AB0000}"/>
    <cellStyle name="Percent 4 2 3 3" xfId="43801" xr:uid="{00000000-0005-0000-0000-0000A6AB0000}"/>
    <cellStyle name="Percent 4 2 4" xfId="43802" xr:uid="{00000000-0005-0000-0000-0000A7AB0000}"/>
    <cellStyle name="Percent 4 2 4 2" xfId="43803" xr:uid="{00000000-0005-0000-0000-0000A8AB0000}"/>
    <cellStyle name="Percent 4 2 4 2 2" xfId="43804" xr:uid="{00000000-0005-0000-0000-0000A9AB0000}"/>
    <cellStyle name="Percent 4 2 4 3" xfId="43805" xr:uid="{00000000-0005-0000-0000-0000AAAB0000}"/>
    <cellStyle name="Percent 4 3" xfId="43806" xr:uid="{00000000-0005-0000-0000-0000ABAB0000}"/>
    <cellStyle name="Percent 4 3 2" xfId="43807" xr:uid="{00000000-0005-0000-0000-0000ACAB0000}"/>
    <cellStyle name="Percent 4 3 3" xfId="43808" xr:uid="{00000000-0005-0000-0000-0000ADAB0000}"/>
    <cellStyle name="Percent 4 3 3 2" xfId="43809" xr:uid="{00000000-0005-0000-0000-0000AEAB0000}"/>
    <cellStyle name="Percent 4 3 3 2 2" xfId="43810" xr:uid="{00000000-0005-0000-0000-0000AFAB0000}"/>
    <cellStyle name="Percent 4 3 3 3" xfId="43811" xr:uid="{00000000-0005-0000-0000-0000B0AB0000}"/>
    <cellStyle name="Percent 4 3 4" xfId="43812" xr:uid="{00000000-0005-0000-0000-0000B1AB0000}"/>
    <cellStyle name="Percent 4 3 4 2" xfId="43813" xr:uid="{00000000-0005-0000-0000-0000B2AB0000}"/>
    <cellStyle name="Percent 4 3 4 2 2" xfId="43814" xr:uid="{00000000-0005-0000-0000-0000B3AB0000}"/>
    <cellStyle name="Percent 4 3 4 3" xfId="43815" xr:uid="{00000000-0005-0000-0000-0000B4AB0000}"/>
    <cellStyle name="Percent 4 4" xfId="43816" xr:uid="{00000000-0005-0000-0000-0000B5AB0000}"/>
    <cellStyle name="Percent 4 5" xfId="43817" xr:uid="{00000000-0005-0000-0000-0000B6AB0000}"/>
    <cellStyle name="Percent 4 5 2" xfId="43818" xr:uid="{00000000-0005-0000-0000-0000B7AB0000}"/>
    <cellStyle name="Percent 4 5 2 2" xfId="43819" xr:uid="{00000000-0005-0000-0000-0000B8AB0000}"/>
    <cellStyle name="Percent 4 5 3" xfId="43820" xr:uid="{00000000-0005-0000-0000-0000B9AB0000}"/>
    <cellStyle name="Percent 4 6" xfId="43821" xr:uid="{00000000-0005-0000-0000-0000BAAB0000}"/>
    <cellStyle name="Percent 4 6 2" xfId="43822" xr:uid="{00000000-0005-0000-0000-0000BBAB0000}"/>
    <cellStyle name="Percent 4 6 2 2" xfId="43823" xr:uid="{00000000-0005-0000-0000-0000BCAB0000}"/>
    <cellStyle name="Percent 4 6 3" xfId="43824" xr:uid="{00000000-0005-0000-0000-0000BDAB0000}"/>
    <cellStyle name="Percent 4 7" xfId="43795" xr:uid="{00000000-0005-0000-0000-0000BEAB0000}"/>
    <cellStyle name="Percent 40" xfId="43825" xr:uid="{00000000-0005-0000-0000-0000BFAB0000}"/>
    <cellStyle name="Percent 40 2" xfId="43826" xr:uid="{00000000-0005-0000-0000-0000C0AB0000}"/>
    <cellStyle name="Percent 40 3" xfId="43827" xr:uid="{00000000-0005-0000-0000-0000C1AB0000}"/>
    <cellStyle name="Percent 40 3 2" xfId="43828" xr:uid="{00000000-0005-0000-0000-0000C2AB0000}"/>
    <cellStyle name="Percent 40 3 2 2" xfId="43829" xr:uid="{00000000-0005-0000-0000-0000C3AB0000}"/>
    <cellStyle name="Percent 40 3 3" xfId="43830" xr:uid="{00000000-0005-0000-0000-0000C4AB0000}"/>
    <cellStyle name="Percent 40 4" xfId="43831" xr:uid="{00000000-0005-0000-0000-0000C5AB0000}"/>
    <cellStyle name="Percent 40 4 2" xfId="43832" xr:uid="{00000000-0005-0000-0000-0000C6AB0000}"/>
    <cellStyle name="Percent 40 4 2 2" xfId="43833" xr:uid="{00000000-0005-0000-0000-0000C7AB0000}"/>
    <cellStyle name="Percent 40 4 3" xfId="43834" xr:uid="{00000000-0005-0000-0000-0000C8AB0000}"/>
    <cellStyle name="Percent 41" xfId="43835" xr:uid="{00000000-0005-0000-0000-0000C9AB0000}"/>
    <cellStyle name="Percent 41 2" xfId="43836" xr:uid="{00000000-0005-0000-0000-0000CAAB0000}"/>
    <cellStyle name="Percent 41 3" xfId="43837" xr:uid="{00000000-0005-0000-0000-0000CBAB0000}"/>
    <cellStyle name="Percent 41 3 2" xfId="43838" xr:uid="{00000000-0005-0000-0000-0000CCAB0000}"/>
    <cellStyle name="Percent 41 3 2 2" xfId="43839" xr:uid="{00000000-0005-0000-0000-0000CDAB0000}"/>
    <cellStyle name="Percent 41 3 3" xfId="43840" xr:uid="{00000000-0005-0000-0000-0000CEAB0000}"/>
    <cellStyle name="Percent 41 4" xfId="43841" xr:uid="{00000000-0005-0000-0000-0000CFAB0000}"/>
    <cellStyle name="Percent 41 4 2" xfId="43842" xr:uid="{00000000-0005-0000-0000-0000D0AB0000}"/>
    <cellStyle name="Percent 41 4 2 2" xfId="43843" xr:uid="{00000000-0005-0000-0000-0000D1AB0000}"/>
    <cellStyle name="Percent 41 4 3" xfId="43844" xr:uid="{00000000-0005-0000-0000-0000D2AB0000}"/>
    <cellStyle name="Percent 42" xfId="43845" xr:uid="{00000000-0005-0000-0000-0000D3AB0000}"/>
    <cellStyle name="Percent 42 2" xfId="43846" xr:uid="{00000000-0005-0000-0000-0000D4AB0000}"/>
    <cellStyle name="Percent 42 3" xfId="43847" xr:uid="{00000000-0005-0000-0000-0000D5AB0000}"/>
    <cellStyle name="Percent 42 3 2" xfId="43848" xr:uid="{00000000-0005-0000-0000-0000D6AB0000}"/>
    <cellStyle name="Percent 42 3 2 2" xfId="43849" xr:uid="{00000000-0005-0000-0000-0000D7AB0000}"/>
    <cellStyle name="Percent 42 3 3" xfId="43850" xr:uid="{00000000-0005-0000-0000-0000D8AB0000}"/>
    <cellStyle name="Percent 42 4" xfId="43851" xr:uid="{00000000-0005-0000-0000-0000D9AB0000}"/>
    <cellStyle name="Percent 42 4 2" xfId="43852" xr:uid="{00000000-0005-0000-0000-0000DAAB0000}"/>
    <cellStyle name="Percent 42 4 2 2" xfId="43853" xr:uid="{00000000-0005-0000-0000-0000DBAB0000}"/>
    <cellStyle name="Percent 42 4 3" xfId="43854" xr:uid="{00000000-0005-0000-0000-0000DCAB0000}"/>
    <cellStyle name="Percent 43" xfId="43855" xr:uid="{00000000-0005-0000-0000-0000DDAB0000}"/>
    <cellStyle name="Percent 43 2" xfId="43856" xr:uid="{00000000-0005-0000-0000-0000DEAB0000}"/>
    <cellStyle name="Percent 43 3" xfId="43857" xr:uid="{00000000-0005-0000-0000-0000DFAB0000}"/>
    <cellStyle name="Percent 43 3 2" xfId="43858" xr:uid="{00000000-0005-0000-0000-0000E0AB0000}"/>
    <cellStyle name="Percent 43 3 2 2" xfId="43859" xr:uid="{00000000-0005-0000-0000-0000E1AB0000}"/>
    <cellStyle name="Percent 43 3 3" xfId="43860" xr:uid="{00000000-0005-0000-0000-0000E2AB0000}"/>
    <cellStyle name="Percent 43 4" xfId="43861" xr:uid="{00000000-0005-0000-0000-0000E3AB0000}"/>
    <cellStyle name="Percent 43 4 2" xfId="43862" xr:uid="{00000000-0005-0000-0000-0000E4AB0000}"/>
    <cellStyle name="Percent 43 4 2 2" xfId="43863" xr:uid="{00000000-0005-0000-0000-0000E5AB0000}"/>
    <cellStyle name="Percent 43 4 3" xfId="43864" xr:uid="{00000000-0005-0000-0000-0000E6AB0000}"/>
    <cellStyle name="Percent 44" xfId="43865" xr:uid="{00000000-0005-0000-0000-0000E7AB0000}"/>
    <cellStyle name="Percent 44 2" xfId="43866" xr:uid="{00000000-0005-0000-0000-0000E8AB0000}"/>
    <cellStyle name="Percent 44 3" xfId="43867" xr:uid="{00000000-0005-0000-0000-0000E9AB0000}"/>
    <cellStyle name="Percent 44 3 2" xfId="43868" xr:uid="{00000000-0005-0000-0000-0000EAAB0000}"/>
    <cellStyle name="Percent 44 3 2 2" xfId="43869" xr:uid="{00000000-0005-0000-0000-0000EBAB0000}"/>
    <cellStyle name="Percent 44 3 3" xfId="43870" xr:uid="{00000000-0005-0000-0000-0000ECAB0000}"/>
    <cellStyle name="Percent 44 4" xfId="43871" xr:uid="{00000000-0005-0000-0000-0000EDAB0000}"/>
    <cellStyle name="Percent 44 4 2" xfId="43872" xr:uid="{00000000-0005-0000-0000-0000EEAB0000}"/>
    <cellStyle name="Percent 44 4 2 2" xfId="43873" xr:uid="{00000000-0005-0000-0000-0000EFAB0000}"/>
    <cellStyle name="Percent 44 4 3" xfId="43874" xr:uid="{00000000-0005-0000-0000-0000F0AB0000}"/>
    <cellStyle name="Percent 45" xfId="43875" xr:uid="{00000000-0005-0000-0000-0000F1AB0000}"/>
    <cellStyle name="Percent 45 2" xfId="43876" xr:uid="{00000000-0005-0000-0000-0000F2AB0000}"/>
    <cellStyle name="Percent 45 3" xfId="43877" xr:uid="{00000000-0005-0000-0000-0000F3AB0000}"/>
    <cellStyle name="Percent 45 3 2" xfId="43878" xr:uid="{00000000-0005-0000-0000-0000F4AB0000}"/>
    <cellStyle name="Percent 45 3 2 2" xfId="43879" xr:uid="{00000000-0005-0000-0000-0000F5AB0000}"/>
    <cellStyle name="Percent 45 3 3" xfId="43880" xr:uid="{00000000-0005-0000-0000-0000F6AB0000}"/>
    <cellStyle name="Percent 45 4" xfId="43881" xr:uid="{00000000-0005-0000-0000-0000F7AB0000}"/>
    <cellStyle name="Percent 45 4 2" xfId="43882" xr:uid="{00000000-0005-0000-0000-0000F8AB0000}"/>
    <cellStyle name="Percent 45 4 2 2" xfId="43883" xr:uid="{00000000-0005-0000-0000-0000F9AB0000}"/>
    <cellStyle name="Percent 45 4 3" xfId="43884" xr:uid="{00000000-0005-0000-0000-0000FAAB0000}"/>
    <cellStyle name="Percent 46" xfId="43885" xr:uid="{00000000-0005-0000-0000-0000FBAB0000}"/>
    <cellStyle name="Percent 46 2" xfId="43886" xr:uid="{00000000-0005-0000-0000-0000FCAB0000}"/>
    <cellStyle name="Percent 46 3" xfId="43887" xr:uid="{00000000-0005-0000-0000-0000FDAB0000}"/>
    <cellStyle name="Percent 46 3 2" xfId="43888" xr:uid="{00000000-0005-0000-0000-0000FEAB0000}"/>
    <cellStyle name="Percent 46 3 2 2" xfId="43889" xr:uid="{00000000-0005-0000-0000-0000FFAB0000}"/>
    <cellStyle name="Percent 46 3 3" xfId="43890" xr:uid="{00000000-0005-0000-0000-000000AC0000}"/>
    <cellStyle name="Percent 46 4" xfId="43891" xr:uid="{00000000-0005-0000-0000-000001AC0000}"/>
    <cellStyle name="Percent 46 4 2" xfId="43892" xr:uid="{00000000-0005-0000-0000-000002AC0000}"/>
    <cellStyle name="Percent 46 4 2 2" xfId="43893" xr:uid="{00000000-0005-0000-0000-000003AC0000}"/>
    <cellStyle name="Percent 46 4 3" xfId="43894" xr:uid="{00000000-0005-0000-0000-000004AC0000}"/>
    <cellStyle name="Percent 47" xfId="43895" xr:uid="{00000000-0005-0000-0000-000005AC0000}"/>
    <cellStyle name="Percent 47 2" xfId="43896" xr:uid="{00000000-0005-0000-0000-000006AC0000}"/>
    <cellStyle name="Percent 47 3" xfId="43897" xr:uid="{00000000-0005-0000-0000-000007AC0000}"/>
    <cellStyle name="Percent 47 3 2" xfId="43898" xr:uid="{00000000-0005-0000-0000-000008AC0000}"/>
    <cellStyle name="Percent 47 3 2 2" xfId="43899" xr:uid="{00000000-0005-0000-0000-000009AC0000}"/>
    <cellStyle name="Percent 47 3 3" xfId="43900" xr:uid="{00000000-0005-0000-0000-00000AAC0000}"/>
    <cellStyle name="Percent 47 4" xfId="43901" xr:uid="{00000000-0005-0000-0000-00000BAC0000}"/>
    <cellStyle name="Percent 47 4 2" xfId="43902" xr:uid="{00000000-0005-0000-0000-00000CAC0000}"/>
    <cellStyle name="Percent 47 4 2 2" xfId="43903" xr:uid="{00000000-0005-0000-0000-00000DAC0000}"/>
    <cellStyle name="Percent 47 4 3" xfId="43904" xr:uid="{00000000-0005-0000-0000-00000EAC0000}"/>
    <cellStyle name="Percent 48" xfId="43905" xr:uid="{00000000-0005-0000-0000-00000FAC0000}"/>
    <cellStyle name="Percent 48 2" xfId="43906" xr:uid="{00000000-0005-0000-0000-000010AC0000}"/>
    <cellStyle name="Percent 48 3" xfId="43907" xr:uid="{00000000-0005-0000-0000-000011AC0000}"/>
    <cellStyle name="Percent 48 3 2" xfId="43908" xr:uid="{00000000-0005-0000-0000-000012AC0000}"/>
    <cellStyle name="Percent 48 3 2 2" xfId="43909" xr:uid="{00000000-0005-0000-0000-000013AC0000}"/>
    <cellStyle name="Percent 48 3 3" xfId="43910" xr:uid="{00000000-0005-0000-0000-000014AC0000}"/>
    <cellStyle name="Percent 48 4" xfId="43911" xr:uid="{00000000-0005-0000-0000-000015AC0000}"/>
    <cellStyle name="Percent 48 4 2" xfId="43912" xr:uid="{00000000-0005-0000-0000-000016AC0000}"/>
    <cellStyle name="Percent 48 4 2 2" xfId="43913" xr:uid="{00000000-0005-0000-0000-000017AC0000}"/>
    <cellStyle name="Percent 48 4 3" xfId="43914" xr:uid="{00000000-0005-0000-0000-000018AC0000}"/>
    <cellStyle name="Percent 49" xfId="43915" xr:uid="{00000000-0005-0000-0000-000019AC0000}"/>
    <cellStyle name="Percent 49 2" xfId="43916" xr:uid="{00000000-0005-0000-0000-00001AAC0000}"/>
    <cellStyle name="Percent 49 3" xfId="43917" xr:uid="{00000000-0005-0000-0000-00001BAC0000}"/>
    <cellStyle name="Percent 49 3 2" xfId="43918" xr:uid="{00000000-0005-0000-0000-00001CAC0000}"/>
    <cellStyle name="Percent 49 3 2 2" xfId="43919" xr:uid="{00000000-0005-0000-0000-00001DAC0000}"/>
    <cellStyle name="Percent 49 3 3" xfId="43920" xr:uid="{00000000-0005-0000-0000-00001EAC0000}"/>
    <cellStyle name="Percent 49 4" xfId="43921" xr:uid="{00000000-0005-0000-0000-00001FAC0000}"/>
    <cellStyle name="Percent 49 4 2" xfId="43922" xr:uid="{00000000-0005-0000-0000-000020AC0000}"/>
    <cellStyle name="Percent 49 4 2 2" xfId="43923" xr:uid="{00000000-0005-0000-0000-000021AC0000}"/>
    <cellStyle name="Percent 49 4 3" xfId="43924" xr:uid="{00000000-0005-0000-0000-000022AC0000}"/>
    <cellStyle name="Percent 5" xfId="141" xr:uid="{00000000-0005-0000-0000-000023AC0000}"/>
    <cellStyle name="Percent 5 2" xfId="43926" xr:uid="{00000000-0005-0000-0000-000024AC0000}"/>
    <cellStyle name="Percent 5 3" xfId="43927" xr:uid="{00000000-0005-0000-0000-000025AC0000}"/>
    <cellStyle name="Percent 5 3 2" xfId="43928" xr:uid="{00000000-0005-0000-0000-000026AC0000}"/>
    <cellStyle name="Percent 5 3 2 2" xfId="43929" xr:uid="{00000000-0005-0000-0000-000027AC0000}"/>
    <cellStyle name="Percent 5 3 3" xfId="43930" xr:uid="{00000000-0005-0000-0000-000028AC0000}"/>
    <cellStyle name="Percent 5 4" xfId="43931" xr:uid="{00000000-0005-0000-0000-000029AC0000}"/>
    <cellStyle name="Percent 5 4 2" xfId="43932" xr:uid="{00000000-0005-0000-0000-00002AAC0000}"/>
    <cellStyle name="Percent 5 4 2 2" xfId="43933" xr:uid="{00000000-0005-0000-0000-00002BAC0000}"/>
    <cellStyle name="Percent 5 4 3" xfId="43934" xr:uid="{00000000-0005-0000-0000-00002CAC0000}"/>
    <cellStyle name="Percent 5 5" xfId="43925" xr:uid="{00000000-0005-0000-0000-00002DAC0000}"/>
    <cellStyle name="Percent 50" xfId="43935" xr:uid="{00000000-0005-0000-0000-00002EAC0000}"/>
    <cellStyle name="Percent 50 2" xfId="43936" xr:uid="{00000000-0005-0000-0000-00002FAC0000}"/>
    <cellStyle name="Percent 50 3" xfId="43937" xr:uid="{00000000-0005-0000-0000-000030AC0000}"/>
    <cellStyle name="Percent 50 3 2" xfId="43938" xr:uid="{00000000-0005-0000-0000-000031AC0000}"/>
    <cellStyle name="Percent 50 3 2 2" xfId="43939" xr:uid="{00000000-0005-0000-0000-000032AC0000}"/>
    <cellStyle name="Percent 50 3 3" xfId="43940" xr:uid="{00000000-0005-0000-0000-000033AC0000}"/>
    <cellStyle name="Percent 50 4" xfId="43941" xr:uid="{00000000-0005-0000-0000-000034AC0000}"/>
    <cellStyle name="Percent 50 4 2" xfId="43942" xr:uid="{00000000-0005-0000-0000-000035AC0000}"/>
    <cellStyle name="Percent 50 4 2 2" xfId="43943" xr:uid="{00000000-0005-0000-0000-000036AC0000}"/>
    <cellStyle name="Percent 50 4 3" xfId="43944" xr:uid="{00000000-0005-0000-0000-000037AC0000}"/>
    <cellStyle name="Percent 51" xfId="43945" xr:uid="{00000000-0005-0000-0000-000038AC0000}"/>
    <cellStyle name="Percent 51 2" xfId="43946" xr:uid="{00000000-0005-0000-0000-000039AC0000}"/>
    <cellStyle name="Percent 51 3" xfId="43947" xr:uid="{00000000-0005-0000-0000-00003AAC0000}"/>
    <cellStyle name="Percent 51 3 2" xfId="43948" xr:uid="{00000000-0005-0000-0000-00003BAC0000}"/>
    <cellStyle name="Percent 51 3 2 2" xfId="43949" xr:uid="{00000000-0005-0000-0000-00003CAC0000}"/>
    <cellStyle name="Percent 51 3 3" xfId="43950" xr:uid="{00000000-0005-0000-0000-00003DAC0000}"/>
    <cellStyle name="Percent 51 4" xfId="43951" xr:uid="{00000000-0005-0000-0000-00003EAC0000}"/>
    <cellStyle name="Percent 51 4 2" xfId="43952" xr:uid="{00000000-0005-0000-0000-00003FAC0000}"/>
    <cellStyle name="Percent 51 4 2 2" xfId="43953" xr:uid="{00000000-0005-0000-0000-000040AC0000}"/>
    <cellStyle name="Percent 51 4 3" xfId="43954" xr:uid="{00000000-0005-0000-0000-000041AC0000}"/>
    <cellStyle name="Percent 52" xfId="43955" xr:uid="{00000000-0005-0000-0000-000042AC0000}"/>
    <cellStyle name="Percent 52 2" xfId="43956" xr:uid="{00000000-0005-0000-0000-000043AC0000}"/>
    <cellStyle name="Percent 52 3" xfId="43957" xr:uid="{00000000-0005-0000-0000-000044AC0000}"/>
    <cellStyle name="Percent 52 3 2" xfId="43958" xr:uid="{00000000-0005-0000-0000-000045AC0000}"/>
    <cellStyle name="Percent 52 3 2 2" xfId="43959" xr:uid="{00000000-0005-0000-0000-000046AC0000}"/>
    <cellStyle name="Percent 52 3 3" xfId="43960" xr:uid="{00000000-0005-0000-0000-000047AC0000}"/>
    <cellStyle name="Percent 52 4" xfId="43961" xr:uid="{00000000-0005-0000-0000-000048AC0000}"/>
    <cellStyle name="Percent 52 4 2" xfId="43962" xr:uid="{00000000-0005-0000-0000-000049AC0000}"/>
    <cellStyle name="Percent 52 4 2 2" xfId="43963" xr:uid="{00000000-0005-0000-0000-00004AAC0000}"/>
    <cellStyle name="Percent 52 4 3" xfId="43964" xr:uid="{00000000-0005-0000-0000-00004BAC0000}"/>
    <cellStyle name="Percent 53" xfId="43965" xr:uid="{00000000-0005-0000-0000-00004CAC0000}"/>
    <cellStyle name="Percent 53 2" xfId="43966" xr:uid="{00000000-0005-0000-0000-00004DAC0000}"/>
    <cellStyle name="Percent 53 3" xfId="43967" xr:uid="{00000000-0005-0000-0000-00004EAC0000}"/>
    <cellStyle name="Percent 53 3 2" xfId="43968" xr:uid="{00000000-0005-0000-0000-00004FAC0000}"/>
    <cellStyle name="Percent 53 3 2 2" xfId="43969" xr:uid="{00000000-0005-0000-0000-000050AC0000}"/>
    <cellStyle name="Percent 53 3 3" xfId="43970" xr:uid="{00000000-0005-0000-0000-000051AC0000}"/>
    <cellStyle name="Percent 53 4" xfId="43971" xr:uid="{00000000-0005-0000-0000-000052AC0000}"/>
    <cellStyle name="Percent 53 4 2" xfId="43972" xr:uid="{00000000-0005-0000-0000-000053AC0000}"/>
    <cellStyle name="Percent 53 4 2 2" xfId="43973" xr:uid="{00000000-0005-0000-0000-000054AC0000}"/>
    <cellStyle name="Percent 53 4 3" xfId="43974" xr:uid="{00000000-0005-0000-0000-000055AC0000}"/>
    <cellStyle name="Percent 54" xfId="43975" xr:uid="{00000000-0005-0000-0000-000056AC0000}"/>
    <cellStyle name="Percent 54 2" xfId="43976" xr:uid="{00000000-0005-0000-0000-000057AC0000}"/>
    <cellStyle name="Percent 54 3" xfId="43977" xr:uid="{00000000-0005-0000-0000-000058AC0000}"/>
    <cellStyle name="Percent 54 3 2" xfId="43978" xr:uid="{00000000-0005-0000-0000-000059AC0000}"/>
    <cellStyle name="Percent 54 3 2 2" xfId="43979" xr:uid="{00000000-0005-0000-0000-00005AAC0000}"/>
    <cellStyle name="Percent 54 3 3" xfId="43980" xr:uid="{00000000-0005-0000-0000-00005BAC0000}"/>
    <cellStyle name="Percent 54 4" xfId="43981" xr:uid="{00000000-0005-0000-0000-00005CAC0000}"/>
    <cellStyle name="Percent 54 4 2" xfId="43982" xr:uid="{00000000-0005-0000-0000-00005DAC0000}"/>
    <cellStyle name="Percent 54 4 2 2" xfId="43983" xr:uid="{00000000-0005-0000-0000-00005EAC0000}"/>
    <cellStyle name="Percent 54 4 3" xfId="43984" xr:uid="{00000000-0005-0000-0000-00005FAC0000}"/>
    <cellStyle name="Percent 55" xfId="43985" xr:uid="{00000000-0005-0000-0000-000060AC0000}"/>
    <cellStyle name="Percent 55 2" xfId="43986" xr:uid="{00000000-0005-0000-0000-000061AC0000}"/>
    <cellStyle name="Percent 55 3" xfId="43987" xr:uid="{00000000-0005-0000-0000-000062AC0000}"/>
    <cellStyle name="Percent 55 3 2" xfId="43988" xr:uid="{00000000-0005-0000-0000-000063AC0000}"/>
    <cellStyle name="Percent 55 3 2 2" xfId="43989" xr:uid="{00000000-0005-0000-0000-000064AC0000}"/>
    <cellStyle name="Percent 55 3 3" xfId="43990" xr:uid="{00000000-0005-0000-0000-000065AC0000}"/>
    <cellStyle name="Percent 55 4" xfId="43991" xr:uid="{00000000-0005-0000-0000-000066AC0000}"/>
    <cellStyle name="Percent 55 4 2" xfId="43992" xr:uid="{00000000-0005-0000-0000-000067AC0000}"/>
    <cellStyle name="Percent 55 4 2 2" xfId="43993" xr:uid="{00000000-0005-0000-0000-000068AC0000}"/>
    <cellStyle name="Percent 55 4 3" xfId="43994" xr:uid="{00000000-0005-0000-0000-000069AC0000}"/>
    <cellStyle name="Percent 56" xfId="43995" xr:uid="{00000000-0005-0000-0000-00006AAC0000}"/>
    <cellStyle name="Percent 56 2" xfId="43996" xr:uid="{00000000-0005-0000-0000-00006BAC0000}"/>
    <cellStyle name="Percent 56 3" xfId="43997" xr:uid="{00000000-0005-0000-0000-00006CAC0000}"/>
    <cellStyle name="Percent 56 3 2" xfId="43998" xr:uid="{00000000-0005-0000-0000-00006DAC0000}"/>
    <cellStyle name="Percent 56 3 2 2" xfId="43999" xr:uid="{00000000-0005-0000-0000-00006EAC0000}"/>
    <cellStyle name="Percent 56 3 3" xfId="44000" xr:uid="{00000000-0005-0000-0000-00006FAC0000}"/>
    <cellStyle name="Percent 56 4" xfId="44001" xr:uid="{00000000-0005-0000-0000-000070AC0000}"/>
    <cellStyle name="Percent 56 4 2" xfId="44002" xr:uid="{00000000-0005-0000-0000-000071AC0000}"/>
    <cellStyle name="Percent 56 4 2 2" xfId="44003" xr:uid="{00000000-0005-0000-0000-000072AC0000}"/>
    <cellStyle name="Percent 56 4 3" xfId="44004" xr:uid="{00000000-0005-0000-0000-000073AC0000}"/>
    <cellStyle name="Percent 57" xfId="44005" xr:uid="{00000000-0005-0000-0000-000074AC0000}"/>
    <cellStyle name="Percent 57 2" xfId="44006" xr:uid="{00000000-0005-0000-0000-000075AC0000}"/>
    <cellStyle name="Percent 57 3" xfId="44007" xr:uid="{00000000-0005-0000-0000-000076AC0000}"/>
    <cellStyle name="Percent 57 3 2" xfId="44008" xr:uid="{00000000-0005-0000-0000-000077AC0000}"/>
    <cellStyle name="Percent 57 3 2 2" xfId="44009" xr:uid="{00000000-0005-0000-0000-000078AC0000}"/>
    <cellStyle name="Percent 57 3 3" xfId="44010" xr:uid="{00000000-0005-0000-0000-000079AC0000}"/>
    <cellStyle name="Percent 57 4" xfId="44011" xr:uid="{00000000-0005-0000-0000-00007AAC0000}"/>
    <cellStyle name="Percent 57 4 2" xfId="44012" xr:uid="{00000000-0005-0000-0000-00007BAC0000}"/>
    <cellStyle name="Percent 57 4 2 2" xfId="44013" xr:uid="{00000000-0005-0000-0000-00007CAC0000}"/>
    <cellStyle name="Percent 57 4 3" xfId="44014" xr:uid="{00000000-0005-0000-0000-00007DAC0000}"/>
    <cellStyle name="Percent 58" xfId="44015" xr:uid="{00000000-0005-0000-0000-00007EAC0000}"/>
    <cellStyle name="Percent 58 2" xfId="44016" xr:uid="{00000000-0005-0000-0000-00007FAC0000}"/>
    <cellStyle name="Percent 58 3" xfId="44017" xr:uid="{00000000-0005-0000-0000-000080AC0000}"/>
    <cellStyle name="Percent 58 3 2" xfId="44018" xr:uid="{00000000-0005-0000-0000-000081AC0000}"/>
    <cellStyle name="Percent 58 3 2 2" xfId="44019" xr:uid="{00000000-0005-0000-0000-000082AC0000}"/>
    <cellStyle name="Percent 58 3 3" xfId="44020" xr:uid="{00000000-0005-0000-0000-000083AC0000}"/>
    <cellStyle name="Percent 58 4" xfId="44021" xr:uid="{00000000-0005-0000-0000-000084AC0000}"/>
    <cellStyle name="Percent 58 4 2" xfId="44022" xr:uid="{00000000-0005-0000-0000-000085AC0000}"/>
    <cellStyle name="Percent 58 4 2 2" xfId="44023" xr:uid="{00000000-0005-0000-0000-000086AC0000}"/>
    <cellStyle name="Percent 58 4 3" xfId="44024" xr:uid="{00000000-0005-0000-0000-000087AC0000}"/>
    <cellStyle name="Percent 59" xfId="44025" xr:uid="{00000000-0005-0000-0000-000088AC0000}"/>
    <cellStyle name="Percent 59 2" xfId="44026" xr:uid="{00000000-0005-0000-0000-000089AC0000}"/>
    <cellStyle name="Percent 59 3" xfId="44027" xr:uid="{00000000-0005-0000-0000-00008AAC0000}"/>
    <cellStyle name="Percent 59 3 2" xfId="44028" xr:uid="{00000000-0005-0000-0000-00008BAC0000}"/>
    <cellStyle name="Percent 59 3 2 2" xfId="44029" xr:uid="{00000000-0005-0000-0000-00008CAC0000}"/>
    <cellStyle name="Percent 59 3 3" xfId="44030" xr:uid="{00000000-0005-0000-0000-00008DAC0000}"/>
    <cellStyle name="Percent 59 4" xfId="44031" xr:uid="{00000000-0005-0000-0000-00008EAC0000}"/>
    <cellStyle name="Percent 59 4 2" xfId="44032" xr:uid="{00000000-0005-0000-0000-00008FAC0000}"/>
    <cellStyle name="Percent 59 4 2 2" xfId="44033" xr:uid="{00000000-0005-0000-0000-000090AC0000}"/>
    <cellStyle name="Percent 59 4 3" xfId="44034" xr:uid="{00000000-0005-0000-0000-000091AC0000}"/>
    <cellStyle name="Percent 6" xfId="246" xr:uid="{00000000-0005-0000-0000-000092AC0000}"/>
    <cellStyle name="Percent 6 2" xfId="256" xr:uid="{00000000-0005-0000-0000-000093AC0000}"/>
    <cellStyle name="Percent 6 3" xfId="44036" xr:uid="{00000000-0005-0000-0000-000094AC0000}"/>
    <cellStyle name="Percent 6 3 2" xfId="44037" xr:uid="{00000000-0005-0000-0000-000095AC0000}"/>
    <cellStyle name="Percent 6 3 2 2" xfId="44038" xr:uid="{00000000-0005-0000-0000-000096AC0000}"/>
    <cellStyle name="Percent 6 3 3" xfId="44039" xr:uid="{00000000-0005-0000-0000-000097AC0000}"/>
    <cellStyle name="Percent 6 4" xfId="44040" xr:uid="{00000000-0005-0000-0000-000098AC0000}"/>
    <cellStyle name="Percent 6 4 2" xfId="44041" xr:uid="{00000000-0005-0000-0000-000099AC0000}"/>
    <cellStyle name="Percent 6 4 2 2" xfId="44042" xr:uid="{00000000-0005-0000-0000-00009AAC0000}"/>
    <cellStyle name="Percent 6 4 3" xfId="44043" xr:uid="{00000000-0005-0000-0000-00009BAC0000}"/>
    <cellStyle name="Percent 6 5" xfId="44035" xr:uid="{00000000-0005-0000-0000-00009CAC0000}"/>
    <cellStyle name="Percent 60" xfId="44044" xr:uid="{00000000-0005-0000-0000-00009DAC0000}"/>
    <cellStyle name="Percent 60 2" xfId="44045" xr:uid="{00000000-0005-0000-0000-00009EAC0000}"/>
    <cellStyle name="Percent 60 3" xfId="44046" xr:uid="{00000000-0005-0000-0000-00009FAC0000}"/>
    <cellStyle name="Percent 60 3 2" xfId="44047" xr:uid="{00000000-0005-0000-0000-0000A0AC0000}"/>
    <cellStyle name="Percent 60 3 2 2" xfId="44048" xr:uid="{00000000-0005-0000-0000-0000A1AC0000}"/>
    <cellStyle name="Percent 60 3 3" xfId="44049" xr:uid="{00000000-0005-0000-0000-0000A2AC0000}"/>
    <cellStyle name="Percent 60 4" xfId="44050" xr:uid="{00000000-0005-0000-0000-0000A3AC0000}"/>
    <cellStyle name="Percent 60 4 2" xfId="44051" xr:uid="{00000000-0005-0000-0000-0000A4AC0000}"/>
    <cellStyle name="Percent 60 4 2 2" xfId="44052" xr:uid="{00000000-0005-0000-0000-0000A5AC0000}"/>
    <cellStyle name="Percent 60 4 3" xfId="44053" xr:uid="{00000000-0005-0000-0000-0000A6AC0000}"/>
    <cellStyle name="Percent 61" xfId="44054" xr:uid="{00000000-0005-0000-0000-0000A7AC0000}"/>
    <cellStyle name="Percent 61 2" xfId="44055" xr:uid="{00000000-0005-0000-0000-0000A8AC0000}"/>
    <cellStyle name="Percent 61 3" xfId="44056" xr:uid="{00000000-0005-0000-0000-0000A9AC0000}"/>
    <cellStyle name="Percent 61 3 2" xfId="44057" xr:uid="{00000000-0005-0000-0000-0000AAAC0000}"/>
    <cellStyle name="Percent 61 3 2 2" xfId="44058" xr:uid="{00000000-0005-0000-0000-0000ABAC0000}"/>
    <cellStyle name="Percent 61 3 3" xfId="44059" xr:uid="{00000000-0005-0000-0000-0000ACAC0000}"/>
    <cellStyle name="Percent 61 4" xfId="44060" xr:uid="{00000000-0005-0000-0000-0000ADAC0000}"/>
    <cellStyle name="Percent 61 4 2" xfId="44061" xr:uid="{00000000-0005-0000-0000-0000AEAC0000}"/>
    <cellStyle name="Percent 61 4 2 2" xfId="44062" xr:uid="{00000000-0005-0000-0000-0000AFAC0000}"/>
    <cellStyle name="Percent 61 4 3" xfId="44063" xr:uid="{00000000-0005-0000-0000-0000B0AC0000}"/>
    <cellStyle name="Percent 62" xfId="44064" xr:uid="{00000000-0005-0000-0000-0000B1AC0000}"/>
    <cellStyle name="Percent 62 2" xfId="44065" xr:uid="{00000000-0005-0000-0000-0000B2AC0000}"/>
    <cellStyle name="Percent 62 3" xfId="44066" xr:uid="{00000000-0005-0000-0000-0000B3AC0000}"/>
    <cellStyle name="Percent 62 3 2" xfId="44067" xr:uid="{00000000-0005-0000-0000-0000B4AC0000}"/>
    <cellStyle name="Percent 62 3 2 2" xfId="44068" xr:uid="{00000000-0005-0000-0000-0000B5AC0000}"/>
    <cellStyle name="Percent 62 3 3" xfId="44069" xr:uid="{00000000-0005-0000-0000-0000B6AC0000}"/>
    <cellStyle name="Percent 62 4" xfId="44070" xr:uid="{00000000-0005-0000-0000-0000B7AC0000}"/>
    <cellStyle name="Percent 62 4 2" xfId="44071" xr:uid="{00000000-0005-0000-0000-0000B8AC0000}"/>
    <cellStyle name="Percent 62 4 2 2" xfId="44072" xr:uid="{00000000-0005-0000-0000-0000B9AC0000}"/>
    <cellStyle name="Percent 62 4 3" xfId="44073" xr:uid="{00000000-0005-0000-0000-0000BAAC0000}"/>
    <cellStyle name="Percent 63" xfId="44074" xr:uid="{00000000-0005-0000-0000-0000BBAC0000}"/>
    <cellStyle name="Percent 63 2" xfId="44075" xr:uid="{00000000-0005-0000-0000-0000BCAC0000}"/>
    <cellStyle name="Percent 63 3" xfId="44076" xr:uid="{00000000-0005-0000-0000-0000BDAC0000}"/>
    <cellStyle name="Percent 63 3 2" xfId="44077" xr:uid="{00000000-0005-0000-0000-0000BEAC0000}"/>
    <cellStyle name="Percent 63 3 2 2" xfId="44078" xr:uid="{00000000-0005-0000-0000-0000BFAC0000}"/>
    <cellStyle name="Percent 63 3 3" xfId="44079" xr:uid="{00000000-0005-0000-0000-0000C0AC0000}"/>
    <cellStyle name="Percent 63 4" xfId="44080" xr:uid="{00000000-0005-0000-0000-0000C1AC0000}"/>
    <cellStyle name="Percent 63 4 2" xfId="44081" xr:uid="{00000000-0005-0000-0000-0000C2AC0000}"/>
    <cellStyle name="Percent 63 4 2 2" xfId="44082" xr:uid="{00000000-0005-0000-0000-0000C3AC0000}"/>
    <cellStyle name="Percent 63 4 3" xfId="44083" xr:uid="{00000000-0005-0000-0000-0000C4AC0000}"/>
    <cellStyle name="Percent 64" xfId="44084" xr:uid="{00000000-0005-0000-0000-0000C5AC0000}"/>
    <cellStyle name="Percent 64 2" xfId="44085" xr:uid="{00000000-0005-0000-0000-0000C6AC0000}"/>
    <cellStyle name="Percent 64 3" xfId="44086" xr:uid="{00000000-0005-0000-0000-0000C7AC0000}"/>
    <cellStyle name="Percent 64 3 2" xfId="44087" xr:uid="{00000000-0005-0000-0000-0000C8AC0000}"/>
    <cellStyle name="Percent 64 3 2 2" xfId="44088" xr:uid="{00000000-0005-0000-0000-0000C9AC0000}"/>
    <cellStyle name="Percent 64 3 3" xfId="44089" xr:uid="{00000000-0005-0000-0000-0000CAAC0000}"/>
    <cellStyle name="Percent 64 4" xfId="44090" xr:uid="{00000000-0005-0000-0000-0000CBAC0000}"/>
    <cellStyle name="Percent 64 4 2" xfId="44091" xr:uid="{00000000-0005-0000-0000-0000CCAC0000}"/>
    <cellStyle name="Percent 64 4 2 2" xfId="44092" xr:uid="{00000000-0005-0000-0000-0000CDAC0000}"/>
    <cellStyle name="Percent 64 4 3" xfId="44093" xr:uid="{00000000-0005-0000-0000-0000CEAC0000}"/>
    <cellStyle name="Percent 65" xfId="44094" xr:uid="{00000000-0005-0000-0000-0000CFAC0000}"/>
    <cellStyle name="Percent 65 2" xfId="44095" xr:uid="{00000000-0005-0000-0000-0000D0AC0000}"/>
    <cellStyle name="Percent 65 3" xfId="44096" xr:uid="{00000000-0005-0000-0000-0000D1AC0000}"/>
    <cellStyle name="Percent 65 3 2" xfId="44097" xr:uid="{00000000-0005-0000-0000-0000D2AC0000}"/>
    <cellStyle name="Percent 65 3 2 2" xfId="44098" xr:uid="{00000000-0005-0000-0000-0000D3AC0000}"/>
    <cellStyle name="Percent 65 3 3" xfId="44099" xr:uid="{00000000-0005-0000-0000-0000D4AC0000}"/>
    <cellStyle name="Percent 65 4" xfId="44100" xr:uid="{00000000-0005-0000-0000-0000D5AC0000}"/>
    <cellStyle name="Percent 65 4 2" xfId="44101" xr:uid="{00000000-0005-0000-0000-0000D6AC0000}"/>
    <cellStyle name="Percent 65 4 2 2" xfId="44102" xr:uid="{00000000-0005-0000-0000-0000D7AC0000}"/>
    <cellStyle name="Percent 65 4 3" xfId="44103" xr:uid="{00000000-0005-0000-0000-0000D8AC0000}"/>
    <cellStyle name="Percent 66" xfId="44104" xr:uid="{00000000-0005-0000-0000-0000D9AC0000}"/>
    <cellStyle name="Percent 66 2" xfId="44105" xr:uid="{00000000-0005-0000-0000-0000DAAC0000}"/>
    <cellStyle name="Percent 66 3" xfId="44106" xr:uid="{00000000-0005-0000-0000-0000DBAC0000}"/>
    <cellStyle name="Percent 66 3 2" xfId="44107" xr:uid="{00000000-0005-0000-0000-0000DCAC0000}"/>
    <cellStyle name="Percent 66 3 2 2" xfId="44108" xr:uid="{00000000-0005-0000-0000-0000DDAC0000}"/>
    <cellStyle name="Percent 66 3 3" xfId="44109" xr:uid="{00000000-0005-0000-0000-0000DEAC0000}"/>
    <cellStyle name="Percent 66 4" xfId="44110" xr:uid="{00000000-0005-0000-0000-0000DFAC0000}"/>
    <cellStyle name="Percent 66 4 2" xfId="44111" xr:uid="{00000000-0005-0000-0000-0000E0AC0000}"/>
    <cellStyle name="Percent 66 4 2 2" xfId="44112" xr:uid="{00000000-0005-0000-0000-0000E1AC0000}"/>
    <cellStyle name="Percent 66 4 3" xfId="44113" xr:uid="{00000000-0005-0000-0000-0000E2AC0000}"/>
    <cellStyle name="Percent 67" xfId="44114" xr:uid="{00000000-0005-0000-0000-0000E3AC0000}"/>
    <cellStyle name="Percent 67 2" xfId="44115" xr:uid="{00000000-0005-0000-0000-0000E4AC0000}"/>
    <cellStyle name="Percent 67 3" xfId="44116" xr:uid="{00000000-0005-0000-0000-0000E5AC0000}"/>
    <cellStyle name="Percent 67 3 2" xfId="44117" xr:uid="{00000000-0005-0000-0000-0000E6AC0000}"/>
    <cellStyle name="Percent 67 3 2 2" xfId="44118" xr:uid="{00000000-0005-0000-0000-0000E7AC0000}"/>
    <cellStyle name="Percent 67 3 3" xfId="44119" xr:uid="{00000000-0005-0000-0000-0000E8AC0000}"/>
    <cellStyle name="Percent 67 4" xfId="44120" xr:uid="{00000000-0005-0000-0000-0000E9AC0000}"/>
    <cellStyle name="Percent 67 4 2" xfId="44121" xr:uid="{00000000-0005-0000-0000-0000EAAC0000}"/>
    <cellStyle name="Percent 67 4 2 2" xfId="44122" xr:uid="{00000000-0005-0000-0000-0000EBAC0000}"/>
    <cellStyle name="Percent 67 4 3" xfId="44123" xr:uid="{00000000-0005-0000-0000-0000ECAC0000}"/>
    <cellStyle name="Percent 68" xfId="44124" xr:uid="{00000000-0005-0000-0000-0000EDAC0000}"/>
    <cellStyle name="Percent 68 2" xfId="44125" xr:uid="{00000000-0005-0000-0000-0000EEAC0000}"/>
    <cellStyle name="Percent 68 3" xfId="44126" xr:uid="{00000000-0005-0000-0000-0000EFAC0000}"/>
    <cellStyle name="Percent 68 3 2" xfId="44127" xr:uid="{00000000-0005-0000-0000-0000F0AC0000}"/>
    <cellStyle name="Percent 68 3 2 2" xfId="44128" xr:uid="{00000000-0005-0000-0000-0000F1AC0000}"/>
    <cellStyle name="Percent 68 3 3" xfId="44129" xr:uid="{00000000-0005-0000-0000-0000F2AC0000}"/>
    <cellStyle name="Percent 68 4" xfId="44130" xr:uid="{00000000-0005-0000-0000-0000F3AC0000}"/>
    <cellStyle name="Percent 68 4 2" xfId="44131" xr:uid="{00000000-0005-0000-0000-0000F4AC0000}"/>
    <cellStyle name="Percent 68 4 2 2" xfId="44132" xr:uid="{00000000-0005-0000-0000-0000F5AC0000}"/>
    <cellStyle name="Percent 68 4 3" xfId="44133" xr:uid="{00000000-0005-0000-0000-0000F6AC0000}"/>
    <cellStyle name="Percent 69" xfId="44134" xr:uid="{00000000-0005-0000-0000-0000F7AC0000}"/>
    <cellStyle name="Percent 69 2" xfId="44135" xr:uid="{00000000-0005-0000-0000-0000F8AC0000}"/>
    <cellStyle name="Percent 69 3" xfId="44136" xr:uid="{00000000-0005-0000-0000-0000F9AC0000}"/>
    <cellStyle name="Percent 69 3 2" xfId="44137" xr:uid="{00000000-0005-0000-0000-0000FAAC0000}"/>
    <cellStyle name="Percent 69 3 2 2" xfId="44138" xr:uid="{00000000-0005-0000-0000-0000FBAC0000}"/>
    <cellStyle name="Percent 69 3 3" xfId="44139" xr:uid="{00000000-0005-0000-0000-0000FCAC0000}"/>
    <cellStyle name="Percent 69 4" xfId="44140" xr:uid="{00000000-0005-0000-0000-0000FDAC0000}"/>
    <cellStyle name="Percent 69 4 2" xfId="44141" xr:uid="{00000000-0005-0000-0000-0000FEAC0000}"/>
    <cellStyle name="Percent 69 4 2 2" xfId="44142" xr:uid="{00000000-0005-0000-0000-0000FFAC0000}"/>
    <cellStyle name="Percent 69 4 3" xfId="44143" xr:uid="{00000000-0005-0000-0000-000000AD0000}"/>
    <cellStyle name="Percent 7" xfId="44144" xr:uid="{00000000-0005-0000-0000-000001AD0000}"/>
    <cellStyle name="Percent 7 2" xfId="44145" xr:uid="{00000000-0005-0000-0000-000002AD0000}"/>
    <cellStyle name="Percent 7 2 2" xfId="44146" xr:uid="{00000000-0005-0000-0000-000003AD0000}"/>
    <cellStyle name="Percent 7 2 2 2" xfId="44147" xr:uid="{00000000-0005-0000-0000-000004AD0000}"/>
    <cellStyle name="Percent 7 2 3" xfId="44148" xr:uid="{00000000-0005-0000-0000-000005AD0000}"/>
    <cellStyle name="Percent 7 2 3 2" xfId="44149" xr:uid="{00000000-0005-0000-0000-000006AD0000}"/>
    <cellStyle name="Percent 7 2 3 2 2" xfId="44150" xr:uid="{00000000-0005-0000-0000-000007AD0000}"/>
    <cellStyle name="Percent 7 2 3 3" xfId="44151" xr:uid="{00000000-0005-0000-0000-000008AD0000}"/>
    <cellStyle name="Percent 7 2 4" xfId="44152" xr:uid="{00000000-0005-0000-0000-000009AD0000}"/>
    <cellStyle name="Percent 7 3" xfId="44153" xr:uid="{00000000-0005-0000-0000-00000AAD0000}"/>
    <cellStyle name="Percent 7 4" xfId="44154" xr:uid="{00000000-0005-0000-0000-00000BAD0000}"/>
    <cellStyle name="Percent 7 4 2" xfId="44155" xr:uid="{00000000-0005-0000-0000-00000CAD0000}"/>
    <cellStyle name="Percent 7 4 2 2" xfId="44156" xr:uid="{00000000-0005-0000-0000-00000DAD0000}"/>
    <cellStyle name="Percent 7 4 3" xfId="44157" xr:uid="{00000000-0005-0000-0000-00000EAD0000}"/>
    <cellStyle name="Percent 7 5" xfId="44158" xr:uid="{00000000-0005-0000-0000-00000FAD0000}"/>
    <cellStyle name="Percent 7 5 2" xfId="44159" xr:uid="{00000000-0005-0000-0000-000010AD0000}"/>
    <cellStyle name="Percent 7 5 2 2" xfId="44160" xr:uid="{00000000-0005-0000-0000-000011AD0000}"/>
    <cellStyle name="Percent 7 5 3" xfId="44161" xr:uid="{00000000-0005-0000-0000-000012AD0000}"/>
    <cellStyle name="Percent 70" xfId="44162" xr:uid="{00000000-0005-0000-0000-000013AD0000}"/>
    <cellStyle name="Percent 70 2" xfId="44163" xr:uid="{00000000-0005-0000-0000-000014AD0000}"/>
    <cellStyle name="Percent 70 3" xfId="44164" xr:uid="{00000000-0005-0000-0000-000015AD0000}"/>
    <cellStyle name="Percent 70 3 2" xfId="44165" xr:uid="{00000000-0005-0000-0000-000016AD0000}"/>
    <cellStyle name="Percent 70 3 2 2" xfId="44166" xr:uid="{00000000-0005-0000-0000-000017AD0000}"/>
    <cellStyle name="Percent 70 3 3" xfId="44167" xr:uid="{00000000-0005-0000-0000-000018AD0000}"/>
    <cellStyle name="Percent 70 4" xfId="44168" xr:uid="{00000000-0005-0000-0000-000019AD0000}"/>
    <cellStyle name="Percent 70 4 2" xfId="44169" xr:uid="{00000000-0005-0000-0000-00001AAD0000}"/>
    <cellStyle name="Percent 70 4 2 2" xfId="44170" xr:uid="{00000000-0005-0000-0000-00001BAD0000}"/>
    <cellStyle name="Percent 70 4 3" xfId="44171" xr:uid="{00000000-0005-0000-0000-00001CAD0000}"/>
    <cellStyle name="Percent 71" xfId="44172" xr:uid="{00000000-0005-0000-0000-00001DAD0000}"/>
    <cellStyle name="Percent 71 2" xfId="44173" xr:uid="{00000000-0005-0000-0000-00001EAD0000}"/>
    <cellStyle name="Percent 71 3" xfId="44174" xr:uid="{00000000-0005-0000-0000-00001FAD0000}"/>
    <cellStyle name="Percent 71 3 2" xfId="44175" xr:uid="{00000000-0005-0000-0000-000020AD0000}"/>
    <cellStyle name="Percent 71 3 2 2" xfId="44176" xr:uid="{00000000-0005-0000-0000-000021AD0000}"/>
    <cellStyle name="Percent 71 3 3" xfId="44177" xr:uid="{00000000-0005-0000-0000-000022AD0000}"/>
    <cellStyle name="Percent 71 4" xfId="44178" xr:uid="{00000000-0005-0000-0000-000023AD0000}"/>
    <cellStyle name="Percent 71 4 2" xfId="44179" xr:uid="{00000000-0005-0000-0000-000024AD0000}"/>
    <cellStyle name="Percent 71 4 2 2" xfId="44180" xr:uid="{00000000-0005-0000-0000-000025AD0000}"/>
    <cellStyle name="Percent 71 4 3" xfId="44181" xr:uid="{00000000-0005-0000-0000-000026AD0000}"/>
    <cellStyle name="Percent 72" xfId="44182" xr:uid="{00000000-0005-0000-0000-000027AD0000}"/>
    <cellStyle name="Percent 72 2" xfId="44183" xr:uid="{00000000-0005-0000-0000-000028AD0000}"/>
    <cellStyle name="Percent 72 3" xfId="44184" xr:uid="{00000000-0005-0000-0000-000029AD0000}"/>
    <cellStyle name="Percent 72 3 2" xfId="44185" xr:uid="{00000000-0005-0000-0000-00002AAD0000}"/>
    <cellStyle name="Percent 72 3 2 2" xfId="44186" xr:uid="{00000000-0005-0000-0000-00002BAD0000}"/>
    <cellStyle name="Percent 72 3 3" xfId="44187" xr:uid="{00000000-0005-0000-0000-00002CAD0000}"/>
    <cellStyle name="Percent 72 4" xfId="44188" xr:uid="{00000000-0005-0000-0000-00002DAD0000}"/>
    <cellStyle name="Percent 72 4 2" xfId="44189" xr:uid="{00000000-0005-0000-0000-00002EAD0000}"/>
    <cellStyle name="Percent 72 4 2 2" xfId="44190" xr:uid="{00000000-0005-0000-0000-00002FAD0000}"/>
    <cellStyle name="Percent 72 4 3" xfId="44191" xr:uid="{00000000-0005-0000-0000-000030AD0000}"/>
    <cellStyle name="Percent 73" xfId="44192" xr:uid="{00000000-0005-0000-0000-000031AD0000}"/>
    <cellStyle name="Percent 73 2" xfId="44193" xr:uid="{00000000-0005-0000-0000-000032AD0000}"/>
    <cellStyle name="Percent 73 3" xfId="44194" xr:uid="{00000000-0005-0000-0000-000033AD0000}"/>
    <cellStyle name="Percent 73 3 2" xfId="44195" xr:uid="{00000000-0005-0000-0000-000034AD0000}"/>
    <cellStyle name="Percent 73 3 2 2" xfId="44196" xr:uid="{00000000-0005-0000-0000-000035AD0000}"/>
    <cellStyle name="Percent 73 3 3" xfId="44197" xr:uid="{00000000-0005-0000-0000-000036AD0000}"/>
    <cellStyle name="Percent 73 4" xfId="44198" xr:uid="{00000000-0005-0000-0000-000037AD0000}"/>
    <cellStyle name="Percent 73 4 2" xfId="44199" xr:uid="{00000000-0005-0000-0000-000038AD0000}"/>
    <cellStyle name="Percent 73 4 2 2" xfId="44200" xr:uid="{00000000-0005-0000-0000-000039AD0000}"/>
    <cellStyle name="Percent 73 4 3" xfId="44201" xr:uid="{00000000-0005-0000-0000-00003AAD0000}"/>
    <cellStyle name="Percent 74" xfId="44202" xr:uid="{00000000-0005-0000-0000-00003BAD0000}"/>
    <cellStyle name="Percent 74 2" xfId="44203" xr:uid="{00000000-0005-0000-0000-00003CAD0000}"/>
    <cellStyle name="Percent 74 3" xfId="44204" xr:uid="{00000000-0005-0000-0000-00003DAD0000}"/>
    <cellStyle name="Percent 74 3 2" xfId="44205" xr:uid="{00000000-0005-0000-0000-00003EAD0000}"/>
    <cellStyle name="Percent 74 3 2 2" xfId="44206" xr:uid="{00000000-0005-0000-0000-00003FAD0000}"/>
    <cellStyle name="Percent 74 3 3" xfId="44207" xr:uid="{00000000-0005-0000-0000-000040AD0000}"/>
    <cellStyle name="Percent 74 4" xfId="44208" xr:uid="{00000000-0005-0000-0000-000041AD0000}"/>
    <cellStyle name="Percent 74 4 2" xfId="44209" xr:uid="{00000000-0005-0000-0000-000042AD0000}"/>
    <cellStyle name="Percent 74 4 2 2" xfId="44210" xr:uid="{00000000-0005-0000-0000-000043AD0000}"/>
    <cellStyle name="Percent 74 4 3" xfId="44211" xr:uid="{00000000-0005-0000-0000-000044AD0000}"/>
    <cellStyle name="Percent 75" xfId="44212" xr:uid="{00000000-0005-0000-0000-000045AD0000}"/>
    <cellStyle name="Percent 75 2" xfId="44213" xr:uid="{00000000-0005-0000-0000-000046AD0000}"/>
    <cellStyle name="Percent 75 3" xfId="44214" xr:uid="{00000000-0005-0000-0000-000047AD0000}"/>
    <cellStyle name="Percent 75 3 2" xfId="44215" xr:uid="{00000000-0005-0000-0000-000048AD0000}"/>
    <cellStyle name="Percent 75 3 2 2" xfId="44216" xr:uid="{00000000-0005-0000-0000-000049AD0000}"/>
    <cellStyle name="Percent 75 3 3" xfId="44217" xr:uid="{00000000-0005-0000-0000-00004AAD0000}"/>
    <cellStyle name="Percent 75 4" xfId="44218" xr:uid="{00000000-0005-0000-0000-00004BAD0000}"/>
    <cellStyle name="Percent 75 4 2" xfId="44219" xr:uid="{00000000-0005-0000-0000-00004CAD0000}"/>
    <cellStyle name="Percent 75 4 2 2" xfId="44220" xr:uid="{00000000-0005-0000-0000-00004DAD0000}"/>
    <cellStyle name="Percent 75 4 3" xfId="44221" xr:uid="{00000000-0005-0000-0000-00004EAD0000}"/>
    <cellStyle name="Percent 76" xfId="44222" xr:uid="{00000000-0005-0000-0000-00004FAD0000}"/>
    <cellStyle name="Percent 76 2" xfId="44223" xr:uid="{00000000-0005-0000-0000-000050AD0000}"/>
    <cellStyle name="Percent 76 3" xfId="44224" xr:uid="{00000000-0005-0000-0000-000051AD0000}"/>
    <cellStyle name="Percent 76 3 2" xfId="44225" xr:uid="{00000000-0005-0000-0000-000052AD0000}"/>
    <cellStyle name="Percent 76 3 2 2" xfId="44226" xr:uid="{00000000-0005-0000-0000-000053AD0000}"/>
    <cellStyle name="Percent 76 3 3" xfId="44227" xr:uid="{00000000-0005-0000-0000-000054AD0000}"/>
    <cellStyle name="Percent 76 4" xfId="44228" xr:uid="{00000000-0005-0000-0000-000055AD0000}"/>
    <cellStyle name="Percent 76 4 2" xfId="44229" xr:uid="{00000000-0005-0000-0000-000056AD0000}"/>
    <cellStyle name="Percent 76 4 2 2" xfId="44230" xr:uid="{00000000-0005-0000-0000-000057AD0000}"/>
    <cellStyle name="Percent 76 4 3" xfId="44231" xr:uid="{00000000-0005-0000-0000-000058AD0000}"/>
    <cellStyle name="Percent 77" xfId="44232" xr:uid="{00000000-0005-0000-0000-000059AD0000}"/>
    <cellStyle name="Percent 77 2" xfId="44233" xr:uid="{00000000-0005-0000-0000-00005AAD0000}"/>
    <cellStyle name="Percent 77 3" xfId="44234" xr:uid="{00000000-0005-0000-0000-00005BAD0000}"/>
    <cellStyle name="Percent 77 3 2" xfId="44235" xr:uid="{00000000-0005-0000-0000-00005CAD0000}"/>
    <cellStyle name="Percent 77 3 2 2" xfId="44236" xr:uid="{00000000-0005-0000-0000-00005DAD0000}"/>
    <cellStyle name="Percent 77 3 3" xfId="44237" xr:uid="{00000000-0005-0000-0000-00005EAD0000}"/>
    <cellStyle name="Percent 77 4" xfId="44238" xr:uid="{00000000-0005-0000-0000-00005FAD0000}"/>
    <cellStyle name="Percent 77 4 2" xfId="44239" xr:uid="{00000000-0005-0000-0000-000060AD0000}"/>
    <cellStyle name="Percent 77 4 2 2" xfId="44240" xr:uid="{00000000-0005-0000-0000-000061AD0000}"/>
    <cellStyle name="Percent 77 4 3" xfId="44241" xr:uid="{00000000-0005-0000-0000-000062AD0000}"/>
    <cellStyle name="Percent 78" xfId="44242" xr:uid="{00000000-0005-0000-0000-000063AD0000}"/>
    <cellStyle name="Percent 78 2" xfId="44243" xr:uid="{00000000-0005-0000-0000-000064AD0000}"/>
    <cellStyle name="Percent 78 3" xfId="44244" xr:uid="{00000000-0005-0000-0000-000065AD0000}"/>
    <cellStyle name="Percent 78 3 2" xfId="44245" xr:uid="{00000000-0005-0000-0000-000066AD0000}"/>
    <cellStyle name="Percent 78 3 2 2" xfId="44246" xr:uid="{00000000-0005-0000-0000-000067AD0000}"/>
    <cellStyle name="Percent 78 3 3" xfId="44247" xr:uid="{00000000-0005-0000-0000-000068AD0000}"/>
    <cellStyle name="Percent 78 4" xfId="44248" xr:uid="{00000000-0005-0000-0000-000069AD0000}"/>
    <cellStyle name="Percent 78 4 2" xfId="44249" xr:uid="{00000000-0005-0000-0000-00006AAD0000}"/>
    <cellStyle name="Percent 78 4 2 2" xfId="44250" xr:uid="{00000000-0005-0000-0000-00006BAD0000}"/>
    <cellStyle name="Percent 78 4 3" xfId="44251" xr:uid="{00000000-0005-0000-0000-00006CAD0000}"/>
    <cellStyle name="Percent 79" xfId="44252" xr:uid="{00000000-0005-0000-0000-00006DAD0000}"/>
    <cellStyle name="Percent 79 2" xfId="44253" xr:uid="{00000000-0005-0000-0000-00006EAD0000}"/>
    <cellStyle name="Percent 79 3" xfId="44254" xr:uid="{00000000-0005-0000-0000-00006FAD0000}"/>
    <cellStyle name="Percent 79 3 2" xfId="44255" xr:uid="{00000000-0005-0000-0000-000070AD0000}"/>
    <cellStyle name="Percent 79 3 2 2" xfId="44256" xr:uid="{00000000-0005-0000-0000-000071AD0000}"/>
    <cellStyle name="Percent 79 3 3" xfId="44257" xr:uid="{00000000-0005-0000-0000-000072AD0000}"/>
    <cellStyle name="Percent 79 4" xfId="44258" xr:uid="{00000000-0005-0000-0000-000073AD0000}"/>
    <cellStyle name="Percent 79 4 2" xfId="44259" xr:uid="{00000000-0005-0000-0000-000074AD0000}"/>
    <cellStyle name="Percent 79 4 2 2" xfId="44260" xr:uid="{00000000-0005-0000-0000-000075AD0000}"/>
    <cellStyle name="Percent 79 4 3" xfId="44261" xr:uid="{00000000-0005-0000-0000-000076AD0000}"/>
    <cellStyle name="Percent 8" xfId="44262" xr:uid="{00000000-0005-0000-0000-000077AD0000}"/>
    <cellStyle name="Percent 8 2" xfId="44263" xr:uid="{00000000-0005-0000-0000-000078AD0000}"/>
    <cellStyle name="Percent 8 2 2" xfId="44264" xr:uid="{00000000-0005-0000-0000-000079AD0000}"/>
    <cellStyle name="Percent 8 2 2 2" xfId="44265" xr:uid="{00000000-0005-0000-0000-00007AAD0000}"/>
    <cellStyle name="Percent 8 2 3" xfId="44266" xr:uid="{00000000-0005-0000-0000-00007BAD0000}"/>
    <cellStyle name="Percent 8 2 3 2" xfId="44267" xr:uid="{00000000-0005-0000-0000-00007CAD0000}"/>
    <cellStyle name="Percent 8 2 3 2 2" xfId="44268" xr:uid="{00000000-0005-0000-0000-00007DAD0000}"/>
    <cellStyle name="Percent 8 2 3 3" xfId="44269" xr:uid="{00000000-0005-0000-0000-00007EAD0000}"/>
    <cellStyle name="Percent 8 2 4" xfId="44270" xr:uid="{00000000-0005-0000-0000-00007FAD0000}"/>
    <cellStyle name="Percent 8 2 4 2" xfId="44271" xr:uid="{00000000-0005-0000-0000-000080AD0000}"/>
    <cellStyle name="Percent 8 2 4 2 2" xfId="44272" xr:uid="{00000000-0005-0000-0000-000081AD0000}"/>
    <cellStyle name="Percent 8 2 4 3" xfId="44273" xr:uid="{00000000-0005-0000-0000-000082AD0000}"/>
    <cellStyle name="Percent 8 2 5" xfId="44274" xr:uid="{00000000-0005-0000-0000-000083AD0000}"/>
    <cellStyle name="Percent 8 3" xfId="44275" xr:uid="{00000000-0005-0000-0000-000084AD0000}"/>
    <cellStyle name="Percent 8 3 2" xfId="44276" xr:uid="{00000000-0005-0000-0000-000085AD0000}"/>
    <cellStyle name="Percent 8 3 2 2" xfId="44277" xr:uid="{00000000-0005-0000-0000-000086AD0000}"/>
    <cellStyle name="Percent 8 3 3" xfId="44278" xr:uid="{00000000-0005-0000-0000-000087AD0000}"/>
    <cellStyle name="Percent 8 3 3 2" xfId="44279" xr:uid="{00000000-0005-0000-0000-000088AD0000}"/>
    <cellStyle name="Percent 8 3 3 2 2" xfId="44280" xr:uid="{00000000-0005-0000-0000-000089AD0000}"/>
    <cellStyle name="Percent 8 3 3 3" xfId="44281" xr:uid="{00000000-0005-0000-0000-00008AAD0000}"/>
    <cellStyle name="Percent 8 3 4" xfId="44282" xr:uid="{00000000-0005-0000-0000-00008BAD0000}"/>
    <cellStyle name="Percent 8 4" xfId="44283" xr:uid="{00000000-0005-0000-0000-00008CAD0000}"/>
    <cellStyle name="Percent 8 5" xfId="44284" xr:uid="{00000000-0005-0000-0000-00008DAD0000}"/>
    <cellStyle name="Percent 8 5 2" xfId="44285" xr:uid="{00000000-0005-0000-0000-00008EAD0000}"/>
    <cellStyle name="Percent 8 5 2 2" xfId="44286" xr:uid="{00000000-0005-0000-0000-00008FAD0000}"/>
    <cellStyle name="Percent 8 5 3" xfId="44287" xr:uid="{00000000-0005-0000-0000-000090AD0000}"/>
    <cellStyle name="Percent 8 6" xfId="44288" xr:uid="{00000000-0005-0000-0000-000091AD0000}"/>
    <cellStyle name="Percent 8 6 2" xfId="44289" xr:uid="{00000000-0005-0000-0000-000092AD0000}"/>
    <cellStyle name="Percent 8 6 2 2" xfId="44290" xr:uid="{00000000-0005-0000-0000-000093AD0000}"/>
    <cellStyle name="Percent 8 6 3" xfId="44291" xr:uid="{00000000-0005-0000-0000-000094AD0000}"/>
    <cellStyle name="Percent 80" xfId="44292" xr:uid="{00000000-0005-0000-0000-000095AD0000}"/>
    <cellStyle name="Percent 80 2" xfId="44293" xr:uid="{00000000-0005-0000-0000-000096AD0000}"/>
    <cellStyle name="Percent 80 3" xfId="44294" xr:uid="{00000000-0005-0000-0000-000097AD0000}"/>
    <cellStyle name="Percent 80 3 2" xfId="44295" xr:uid="{00000000-0005-0000-0000-000098AD0000}"/>
    <cellStyle name="Percent 80 3 2 2" xfId="44296" xr:uid="{00000000-0005-0000-0000-000099AD0000}"/>
    <cellStyle name="Percent 80 3 3" xfId="44297" xr:uid="{00000000-0005-0000-0000-00009AAD0000}"/>
    <cellStyle name="Percent 80 4" xfId="44298" xr:uid="{00000000-0005-0000-0000-00009BAD0000}"/>
    <cellStyle name="Percent 80 4 2" xfId="44299" xr:uid="{00000000-0005-0000-0000-00009CAD0000}"/>
    <cellStyle name="Percent 80 4 2 2" xfId="44300" xr:uid="{00000000-0005-0000-0000-00009DAD0000}"/>
    <cellStyle name="Percent 80 4 3" xfId="44301" xr:uid="{00000000-0005-0000-0000-00009EAD0000}"/>
    <cellStyle name="Percent 81" xfId="44302" xr:uid="{00000000-0005-0000-0000-00009FAD0000}"/>
    <cellStyle name="Percent 81 2" xfId="44303" xr:uid="{00000000-0005-0000-0000-0000A0AD0000}"/>
    <cellStyle name="Percent 81 3" xfId="44304" xr:uid="{00000000-0005-0000-0000-0000A1AD0000}"/>
    <cellStyle name="Percent 81 3 2" xfId="44305" xr:uid="{00000000-0005-0000-0000-0000A2AD0000}"/>
    <cellStyle name="Percent 81 3 2 2" xfId="44306" xr:uid="{00000000-0005-0000-0000-0000A3AD0000}"/>
    <cellStyle name="Percent 81 3 3" xfId="44307" xr:uid="{00000000-0005-0000-0000-0000A4AD0000}"/>
    <cellStyle name="Percent 81 4" xfId="44308" xr:uid="{00000000-0005-0000-0000-0000A5AD0000}"/>
    <cellStyle name="Percent 81 4 2" xfId="44309" xr:uid="{00000000-0005-0000-0000-0000A6AD0000}"/>
    <cellStyle name="Percent 81 4 2 2" xfId="44310" xr:uid="{00000000-0005-0000-0000-0000A7AD0000}"/>
    <cellStyle name="Percent 81 4 3" xfId="44311" xr:uid="{00000000-0005-0000-0000-0000A8AD0000}"/>
    <cellStyle name="Percent 82" xfId="44312" xr:uid="{00000000-0005-0000-0000-0000A9AD0000}"/>
    <cellStyle name="Percent 82 2" xfId="44313" xr:uid="{00000000-0005-0000-0000-0000AAAD0000}"/>
    <cellStyle name="Percent 82 3" xfId="44314" xr:uid="{00000000-0005-0000-0000-0000ABAD0000}"/>
    <cellStyle name="Percent 82 3 2" xfId="44315" xr:uid="{00000000-0005-0000-0000-0000ACAD0000}"/>
    <cellStyle name="Percent 82 3 2 2" xfId="44316" xr:uid="{00000000-0005-0000-0000-0000ADAD0000}"/>
    <cellStyle name="Percent 82 3 3" xfId="44317" xr:uid="{00000000-0005-0000-0000-0000AEAD0000}"/>
    <cellStyle name="Percent 82 4" xfId="44318" xr:uid="{00000000-0005-0000-0000-0000AFAD0000}"/>
    <cellStyle name="Percent 82 4 2" xfId="44319" xr:uid="{00000000-0005-0000-0000-0000B0AD0000}"/>
    <cellStyle name="Percent 82 4 2 2" xfId="44320" xr:uid="{00000000-0005-0000-0000-0000B1AD0000}"/>
    <cellStyle name="Percent 82 4 3" xfId="44321" xr:uid="{00000000-0005-0000-0000-0000B2AD0000}"/>
    <cellStyle name="Percent 83" xfId="44322" xr:uid="{00000000-0005-0000-0000-0000B3AD0000}"/>
    <cellStyle name="Percent 83 2" xfId="44323" xr:uid="{00000000-0005-0000-0000-0000B4AD0000}"/>
    <cellStyle name="Percent 83 3" xfId="44324" xr:uid="{00000000-0005-0000-0000-0000B5AD0000}"/>
    <cellStyle name="Percent 83 3 2" xfId="44325" xr:uid="{00000000-0005-0000-0000-0000B6AD0000}"/>
    <cellStyle name="Percent 83 3 2 2" xfId="44326" xr:uid="{00000000-0005-0000-0000-0000B7AD0000}"/>
    <cellStyle name="Percent 83 3 3" xfId="44327" xr:uid="{00000000-0005-0000-0000-0000B8AD0000}"/>
    <cellStyle name="Percent 83 4" xfId="44328" xr:uid="{00000000-0005-0000-0000-0000B9AD0000}"/>
    <cellStyle name="Percent 83 4 2" xfId="44329" xr:uid="{00000000-0005-0000-0000-0000BAAD0000}"/>
    <cellStyle name="Percent 83 4 2 2" xfId="44330" xr:uid="{00000000-0005-0000-0000-0000BBAD0000}"/>
    <cellStyle name="Percent 83 4 3" xfId="44331" xr:uid="{00000000-0005-0000-0000-0000BCAD0000}"/>
    <cellStyle name="Percent 84" xfId="44332" xr:uid="{00000000-0005-0000-0000-0000BDAD0000}"/>
    <cellStyle name="Percent 84 2" xfId="44333" xr:uid="{00000000-0005-0000-0000-0000BEAD0000}"/>
    <cellStyle name="Percent 84 3" xfId="44334" xr:uid="{00000000-0005-0000-0000-0000BFAD0000}"/>
    <cellStyle name="Percent 84 3 2" xfId="44335" xr:uid="{00000000-0005-0000-0000-0000C0AD0000}"/>
    <cellStyle name="Percent 84 3 2 2" xfId="44336" xr:uid="{00000000-0005-0000-0000-0000C1AD0000}"/>
    <cellStyle name="Percent 84 3 3" xfId="44337" xr:uid="{00000000-0005-0000-0000-0000C2AD0000}"/>
    <cellStyle name="Percent 84 4" xfId="44338" xr:uid="{00000000-0005-0000-0000-0000C3AD0000}"/>
    <cellStyle name="Percent 84 4 2" xfId="44339" xr:uid="{00000000-0005-0000-0000-0000C4AD0000}"/>
    <cellStyle name="Percent 84 4 2 2" xfId="44340" xr:uid="{00000000-0005-0000-0000-0000C5AD0000}"/>
    <cellStyle name="Percent 84 4 3" xfId="44341" xr:uid="{00000000-0005-0000-0000-0000C6AD0000}"/>
    <cellStyle name="Percent 85" xfId="44342" xr:uid="{00000000-0005-0000-0000-0000C7AD0000}"/>
    <cellStyle name="Percent 85 2" xfId="44343" xr:uid="{00000000-0005-0000-0000-0000C8AD0000}"/>
    <cellStyle name="Percent 85 3" xfId="44344" xr:uid="{00000000-0005-0000-0000-0000C9AD0000}"/>
    <cellStyle name="Percent 85 3 2" xfId="44345" xr:uid="{00000000-0005-0000-0000-0000CAAD0000}"/>
    <cellStyle name="Percent 85 3 2 2" xfId="44346" xr:uid="{00000000-0005-0000-0000-0000CBAD0000}"/>
    <cellStyle name="Percent 85 3 3" xfId="44347" xr:uid="{00000000-0005-0000-0000-0000CCAD0000}"/>
    <cellStyle name="Percent 85 4" xfId="44348" xr:uid="{00000000-0005-0000-0000-0000CDAD0000}"/>
    <cellStyle name="Percent 85 4 2" xfId="44349" xr:uid="{00000000-0005-0000-0000-0000CEAD0000}"/>
    <cellStyle name="Percent 85 4 2 2" xfId="44350" xr:uid="{00000000-0005-0000-0000-0000CFAD0000}"/>
    <cellStyle name="Percent 85 4 3" xfId="44351" xr:uid="{00000000-0005-0000-0000-0000D0AD0000}"/>
    <cellStyle name="Percent 86" xfId="44352" xr:uid="{00000000-0005-0000-0000-0000D1AD0000}"/>
    <cellStyle name="Percent 86 2" xfId="44353" xr:uid="{00000000-0005-0000-0000-0000D2AD0000}"/>
    <cellStyle name="Percent 86 3" xfId="44354" xr:uid="{00000000-0005-0000-0000-0000D3AD0000}"/>
    <cellStyle name="Percent 86 3 2" xfId="44355" xr:uid="{00000000-0005-0000-0000-0000D4AD0000}"/>
    <cellStyle name="Percent 86 3 2 2" xfId="44356" xr:uid="{00000000-0005-0000-0000-0000D5AD0000}"/>
    <cellStyle name="Percent 86 3 3" xfId="44357" xr:uid="{00000000-0005-0000-0000-0000D6AD0000}"/>
    <cellStyle name="Percent 86 4" xfId="44358" xr:uid="{00000000-0005-0000-0000-0000D7AD0000}"/>
    <cellStyle name="Percent 86 4 2" xfId="44359" xr:uid="{00000000-0005-0000-0000-0000D8AD0000}"/>
    <cellStyle name="Percent 86 4 2 2" xfId="44360" xr:uid="{00000000-0005-0000-0000-0000D9AD0000}"/>
    <cellStyle name="Percent 86 4 3" xfId="44361" xr:uid="{00000000-0005-0000-0000-0000DAAD0000}"/>
    <cellStyle name="Percent 87" xfId="44362" xr:uid="{00000000-0005-0000-0000-0000DBAD0000}"/>
    <cellStyle name="Percent 87 2" xfId="44363" xr:uid="{00000000-0005-0000-0000-0000DCAD0000}"/>
    <cellStyle name="Percent 87 3" xfId="44364" xr:uid="{00000000-0005-0000-0000-0000DDAD0000}"/>
    <cellStyle name="Percent 87 3 2" xfId="44365" xr:uid="{00000000-0005-0000-0000-0000DEAD0000}"/>
    <cellStyle name="Percent 87 3 2 2" xfId="44366" xr:uid="{00000000-0005-0000-0000-0000DFAD0000}"/>
    <cellStyle name="Percent 87 3 3" xfId="44367" xr:uid="{00000000-0005-0000-0000-0000E0AD0000}"/>
    <cellStyle name="Percent 87 4" xfId="44368" xr:uid="{00000000-0005-0000-0000-0000E1AD0000}"/>
    <cellStyle name="Percent 87 4 2" xfId="44369" xr:uid="{00000000-0005-0000-0000-0000E2AD0000}"/>
    <cellStyle name="Percent 87 4 2 2" xfId="44370" xr:uid="{00000000-0005-0000-0000-0000E3AD0000}"/>
    <cellStyle name="Percent 87 4 3" xfId="44371" xr:uid="{00000000-0005-0000-0000-0000E4AD0000}"/>
    <cellStyle name="Percent 88" xfId="44372" xr:uid="{00000000-0005-0000-0000-0000E5AD0000}"/>
    <cellStyle name="Percent 88 2" xfId="44373" xr:uid="{00000000-0005-0000-0000-0000E6AD0000}"/>
    <cellStyle name="Percent 88 3" xfId="44374" xr:uid="{00000000-0005-0000-0000-0000E7AD0000}"/>
    <cellStyle name="Percent 88 3 2" xfId="44375" xr:uid="{00000000-0005-0000-0000-0000E8AD0000}"/>
    <cellStyle name="Percent 88 3 2 2" xfId="44376" xr:uid="{00000000-0005-0000-0000-0000E9AD0000}"/>
    <cellStyle name="Percent 88 3 3" xfId="44377" xr:uid="{00000000-0005-0000-0000-0000EAAD0000}"/>
    <cellStyle name="Percent 88 4" xfId="44378" xr:uid="{00000000-0005-0000-0000-0000EBAD0000}"/>
    <cellStyle name="Percent 88 4 2" xfId="44379" xr:uid="{00000000-0005-0000-0000-0000ECAD0000}"/>
    <cellStyle name="Percent 88 4 2 2" xfId="44380" xr:uid="{00000000-0005-0000-0000-0000EDAD0000}"/>
    <cellStyle name="Percent 88 4 3" xfId="44381" xr:uid="{00000000-0005-0000-0000-0000EEAD0000}"/>
    <cellStyle name="Percent 89" xfId="44382" xr:uid="{00000000-0005-0000-0000-0000EFAD0000}"/>
    <cellStyle name="Percent 89 2" xfId="44383" xr:uid="{00000000-0005-0000-0000-0000F0AD0000}"/>
    <cellStyle name="Percent 89 3" xfId="44384" xr:uid="{00000000-0005-0000-0000-0000F1AD0000}"/>
    <cellStyle name="Percent 89 3 2" xfId="44385" xr:uid="{00000000-0005-0000-0000-0000F2AD0000}"/>
    <cellStyle name="Percent 89 3 2 2" xfId="44386" xr:uid="{00000000-0005-0000-0000-0000F3AD0000}"/>
    <cellStyle name="Percent 89 3 3" xfId="44387" xr:uid="{00000000-0005-0000-0000-0000F4AD0000}"/>
    <cellStyle name="Percent 89 4" xfId="44388" xr:uid="{00000000-0005-0000-0000-0000F5AD0000}"/>
    <cellStyle name="Percent 89 4 2" xfId="44389" xr:uid="{00000000-0005-0000-0000-0000F6AD0000}"/>
    <cellStyle name="Percent 89 4 2 2" xfId="44390" xr:uid="{00000000-0005-0000-0000-0000F7AD0000}"/>
    <cellStyle name="Percent 89 4 3" xfId="44391" xr:uid="{00000000-0005-0000-0000-0000F8AD0000}"/>
    <cellStyle name="Percent 9" xfId="44392" xr:uid="{00000000-0005-0000-0000-0000F9AD0000}"/>
    <cellStyle name="Percent 9 2" xfId="44393" xr:uid="{00000000-0005-0000-0000-0000FAAD0000}"/>
    <cellStyle name="Percent 9 3" xfId="44394" xr:uid="{00000000-0005-0000-0000-0000FBAD0000}"/>
    <cellStyle name="Percent 9 3 2" xfId="44395" xr:uid="{00000000-0005-0000-0000-0000FCAD0000}"/>
    <cellStyle name="Percent 9 3 2 2" xfId="44396" xr:uid="{00000000-0005-0000-0000-0000FDAD0000}"/>
    <cellStyle name="Percent 9 3 3" xfId="44397" xr:uid="{00000000-0005-0000-0000-0000FEAD0000}"/>
    <cellStyle name="Percent 9 4" xfId="44398" xr:uid="{00000000-0005-0000-0000-0000FFAD0000}"/>
    <cellStyle name="Percent 9 4 2" xfId="44399" xr:uid="{00000000-0005-0000-0000-000000AE0000}"/>
    <cellStyle name="Percent 9 4 2 2" xfId="44400" xr:uid="{00000000-0005-0000-0000-000001AE0000}"/>
    <cellStyle name="Percent 9 4 3" xfId="44401" xr:uid="{00000000-0005-0000-0000-000002AE0000}"/>
    <cellStyle name="Percent 90" xfId="44402" xr:uid="{00000000-0005-0000-0000-000003AE0000}"/>
    <cellStyle name="Percent 90 2" xfId="44403" xr:uid="{00000000-0005-0000-0000-000004AE0000}"/>
    <cellStyle name="Percent 90 3" xfId="44404" xr:uid="{00000000-0005-0000-0000-000005AE0000}"/>
    <cellStyle name="Percent 90 3 2" xfId="44405" xr:uid="{00000000-0005-0000-0000-000006AE0000}"/>
    <cellStyle name="Percent 90 3 2 2" xfId="44406" xr:uid="{00000000-0005-0000-0000-000007AE0000}"/>
    <cellStyle name="Percent 90 3 3" xfId="44407" xr:uid="{00000000-0005-0000-0000-000008AE0000}"/>
    <cellStyle name="Percent 90 4" xfId="44408" xr:uid="{00000000-0005-0000-0000-000009AE0000}"/>
    <cellStyle name="Percent 90 4 2" xfId="44409" xr:uid="{00000000-0005-0000-0000-00000AAE0000}"/>
    <cellStyle name="Percent 90 4 2 2" xfId="44410" xr:uid="{00000000-0005-0000-0000-00000BAE0000}"/>
    <cellStyle name="Percent 90 4 3" xfId="44411" xr:uid="{00000000-0005-0000-0000-00000CAE0000}"/>
    <cellStyle name="Percent 91" xfId="44412" xr:uid="{00000000-0005-0000-0000-00000DAE0000}"/>
    <cellStyle name="Percent 91 2" xfId="44413" xr:uid="{00000000-0005-0000-0000-00000EAE0000}"/>
    <cellStyle name="Percent 91 3" xfId="44414" xr:uid="{00000000-0005-0000-0000-00000FAE0000}"/>
    <cellStyle name="Percent 91 3 2" xfId="44415" xr:uid="{00000000-0005-0000-0000-000010AE0000}"/>
    <cellStyle name="Percent 91 3 2 2" xfId="44416" xr:uid="{00000000-0005-0000-0000-000011AE0000}"/>
    <cellStyle name="Percent 91 3 3" xfId="44417" xr:uid="{00000000-0005-0000-0000-000012AE0000}"/>
    <cellStyle name="Percent 91 4" xfId="44418" xr:uid="{00000000-0005-0000-0000-000013AE0000}"/>
    <cellStyle name="Percent 91 4 2" xfId="44419" xr:uid="{00000000-0005-0000-0000-000014AE0000}"/>
    <cellStyle name="Percent 91 4 2 2" xfId="44420" xr:uid="{00000000-0005-0000-0000-000015AE0000}"/>
    <cellStyle name="Percent 91 4 3" xfId="44421" xr:uid="{00000000-0005-0000-0000-000016AE0000}"/>
    <cellStyle name="Percent 92" xfId="44422" xr:uid="{00000000-0005-0000-0000-000017AE0000}"/>
    <cellStyle name="Percent 92 2" xfId="44423" xr:uid="{00000000-0005-0000-0000-000018AE0000}"/>
    <cellStyle name="Percent 92 3" xfId="44424" xr:uid="{00000000-0005-0000-0000-000019AE0000}"/>
    <cellStyle name="Percent 92 3 2" xfId="44425" xr:uid="{00000000-0005-0000-0000-00001AAE0000}"/>
    <cellStyle name="Percent 92 3 2 2" xfId="44426" xr:uid="{00000000-0005-0000-0000-00001BAE0000}"/>
    <cellStyle name="Percent 92 3 3" xfId="44427" xr:uid="{00000000-0005-0000-0000-00001CAE0000}"/>
    <cellStyle name="Percent 92 4" xfId="44428" xr:uid="{00000000-0005-0000-0000-00001DAE0000}"/>
    <cellStyle name="Percent 92 4 2" xfId="44429" xr:uid="{00000000-0005-0000-0000-00001EAE0000}"/>
    <cellStyle name="Percent 92 4 2 2" xfId="44430" xr:uid="{00000000-0005-0000-0000-00001FAE0000}"/>
    <cellStyle name="Percent 92 4 3" xfId="44431" xr:uid="{00000000-0005-0000-0000-000020AE0000}"/>
    <cellStyle name="Percent 93" xfId="44432" xr:uid="{00000000-0005-0000-0000-000021AE0000}"/>
    <cellStyle name="Percent 93 2" xfId="44433" xr:uid="{00000000-0005-0000-0000-000022AE0000}"/>
    <cellStyle name="Percent 93 3" xfId="44434" xr:uid="{00000000-0005-0000-0000-000023AE0000}"/>
    <cellStyle name="Percent 93 3 2" xfId="44435" xr:uid="{00000000-0005-0000-0000-000024AE0000}"/>
    <cellStyle name="Percent 93 3 2 2" xfId="44436" xr:uid="{00000000-0005-0000-0000-000025AE0000}"/>
    <cellStyle name="Percent 93 3 3" xfId="44437" xr:uid="{00000000-0005-0000-0000-000026AE0000}"/>
    <cellStyle name="Percent 93 4" xfId="44438" xr:uid="{00000000-0005-0000-0000-000027AE0000}"/>
    <cellStyle name="Percent 93 4 2" xfId="44439" xr:uid="{00000000-0005-0000-0000-000028AE0000}"/>
    <cellStyle name="Percent 93 4 2 2" xfId="44440" xr:uid="{00000000-0005-0000-0000-000029AE0000}"/>
    <cellStyle name="Percent 93 4 3" xfId="44441" xr:uid="{00000000-0005-0000-0000-00002AAE0000}"/>
    <cellStyle name="Percent 94" xfId="44442" xr:uid="{00000000-0005-0000-0000-00002BAE0000}"/>
    <cellStyle name="Percent 94 2" xfId="44443" xr:uid="{00000000-0005-0000-0000-00002CAE0000}"/>
    <cellStyle name="Percent 94 3" xfId="44444" xr:uid="{00000000-0005-0000-0000-00002DAE0000}"/>
    <cellStyle name="Percent 94 3 2" xfId="44445" xr:uid="{00000000-0005-0000-0000-00002EAE0000}"/>
    <cellStyle name="Percent 94 3 2 2" xfId="44446" xr:uid="{00000000-0005-0000-0000-00002FAE0000}"/>
    <cellStyle name="Percent 94 3 3" xfId="44447" xr:uid="{00000000-0005-0000-0000-000030AE0000}"/>
    <cellStyle name="Percent 94 4" xfId="44448" xr:uid="{00000000-0005-0000-0000-000031AE0000}"/>
    <cellStyle name="Percent 94 4 2" xfId="44449" xr:uid="{00000000-0005-0000-0000-000032AE0000}"/>
    <cellStyle name="Percent 94 4 2 2" xfId="44450" xr:uid="{00000000-0005-0000-0000-000033AE0000}"/>
    <cellStyle name="Percent 94 4 3" xfId="44451" xr:uid="{00000000-0005-0000-0000-000034AE0000}"/>
    <cellStyle name="Percent 95" xfId="44452" xr:uid="{00000000-0005-0000-0000-000035AE0000}"/>
    <cellStyle name="Percent 95 2" xfId="44453" xr:uid="{00000000-0005-0000-0000-000036AE0000}"/>
    <cellStyle name="Percent 95 3" xfId="44454" xr:uid="{00000000-0005-0000-0000-000037AE0000}"/>
    <cellStyle name="Percent 95 3 2" xfId="44455" xr:uid="{00000000-0005-0000-0000-000038AE0000}"/>
    <cellStyle name="Percent 95 3 2 2" xfId="44456" xr:uid="{00000000-0005-0000-0000-000039AE0000}"/>
    <cellStyle name="Percent 95 3 3" xfId="44457" xr:uid="{00000000-0005-0000-0000-00003AAE0000}"/>
    <cellStyle name="Percent 95 4" xfId="44458" xr:uid="{00000000-0005-0000-0000-00003BAE0000}"/>
    <cellStyle name="Percent 95 4 2" xfId="44459" xr:uid="{00000000-0005-0000-0000-00003CAE0000}"/>
    <cellStyle name="Percent 95 4 2 2" xfId="44460" xr:uid="{00000000-0005-0000-0000-00003DAE0000}"/>
    <cellStyle name="Percent 95 4 3" xfId="44461" xr:uid="{00000000-0005-0000-0000-00003EAE0000}"/>
    <cellStyle name="Percent 96" xfId="44462" xr:uid="{00000000-0005-0000-0000-00003FAE0000}"/>
    <cellStyle name="Percent 96 2" xfId="44463" xr:uid="{00000000-0005-0000-0000-000040AE0000}"/>
    <cellStyle name="Percent 96 3" xfId="44464" xr:uid="{00000000-0005-0000-0000-000041AE0000}"/>
    <cellStyle name="Percent 96 3 2" xfId="44465" xr:uid="{00000000-0005-0000-0000-000042AE0000}"/>
    <cellStyle name="Percent 96 3 2 2" xfId="44466" xr:uid="{00000000-0005-0000-0000-000043AE0000}"/>
    <cellStyle name="Percent 96 3 3" xfId="44467" xr:uid="{00000000-0005-0000-0000-000044AE0000}"/>
    <cellStyle name="Percent 96 4" xfId="44468" xr:uid="{00000000-0005-0000-0000-000045AE0000}"/>
    <cellStyle name="Percent 96 4 2" xfId="44469" xr:uid="{00000000-0005-0000-0000-000046AE0000}"/>
    <cellStyle name="Percent 96 4 2 2" xfId="44470" xr:uid="{00000000-0005-0000-0000-000047AE0000}"/>
    <cellStyle name="Percent 96 4 3" xfId="44471" xr:uid="{00000000-0005-0000-0000-000048AE0000}"/>
    <cellStyle name="Percent 97" xfId="44472" xr:uid="{00000000-0005-0000-0000-000049AE0000}"/>
    <cellStyle name="Percent 97 2" xfId="44473" xr:uid="{00000000-0005-0000-0000-00004AAE0000}"/>
    <cellStyle name="Percent 97 3" xfId="44474" xr:uid="{00000000-0005-0000-0000-00004BAE0000}"/>
    <cellStyle name="Percent 97 3 2" xfId="44475" xr:uid="{00000000-0005-0000-0000-00004CAE0000}"/>
    <cellStyle name="Percent 97 3 2 2" xfId="44476" xr:uid="{00000000-0005-0000-0000-00004DAE0000}"/>
    <cellStyle name="Percent 97 3 3" xfId="44477" xr:uid="{00000000-0005-0000-0000-00004EAE0000}"/>
    <cellStyle name="Percent 97 4" xfId="44478" xr:uid="{00000000-0005-0000-0000-00004FAE0000}"/>
    <cellStyle name="Percent 97 4 2" xfId="44479" xr:uid="{00000000-0005-0000-0000-000050AE0000}"/>
    <cellStyle name="Percent 97 4 2 2" xfId="44480" xr:uid="{00000000-0005-0000-0000-000051AE0000}"/>
    <cellStyle name="Percent 97 4 3" xfId="44481" xr:uid="{00000000-0005-0000-0000-000052AE0000}"/>
    <cellStyle name="Percent 98" xfId="44482" xr:uid="{00000000-0005-0000-0000-000053AE0000}"/>
    <cellStyle name="Percent 98 2" xfId="44483" xr:uid="{00000000-0005-0000-0000-000054AE0000}"/>
    <cellStyle name="Percent 98 3" xfId="44484" xr:uid="{00000000-0005-0000-0000-000055AE0000}"/>
    <cellStyle name="Percent 98 3 2" xfId="44485" xr:uid="{00000000-0005-0000-0000-000056AE0000}"/>
    <cellStyle name="Percent 98 3 2 2" xfId="44486" xr:uid="{00000000-0005-0000-0000-000057AE0000}"/>
    <cellStyle name="Percent 98 3 3" xfId="44487" xr:uid="{00000000-0005-0000-0000-000058AE0000}"/>
    <cellStyle name="Percent 98 4" xfId="44488" xr:uid="{00000000-0005-0000-0000-000059AE0000}"/>
    <cellStyle name="Percent 98 4 2" xfId="44489" xr:uid="{00000000-0005-0000-0000-00005AAE0000}"/>
    <cellStyle name="Percent 98 4 2 2" xfId="44490" xr:uid="{00000000-0005-0000-0000-00005BAE0000}"/>
    <cellStyle name="Percent 98 4 3" xfId="44491" xr:uid="{00000000-0005-0000-0000-00005CAE0000}"/>
    <cellStyle name="Percent 99" xfId="44492" xr:uid="{00000000-0005-0000-0000-00005DAE0000}"/>
    <cellStyle name="Percent 99 2" xfId="44493" xr:uid="{00000000-0005-0000-0000-00005EAE0000}"/>
    <cellStyle name="Percent 99 3" xfId="44494" xr:uid="{00000000-0005-0000-0000-00005FAE0000}"/>
    <cellStyle name="Percent 99 3 2" xfId="44495" xr:uid="{00000000-0005-0000-0000-000060AE0000}"/>
    <cellStyle name="Percent 99 3 2 2" xfId="44496" xr:uid="{00000000-0005-0000-0000-000061AE0000}"/>
    <cellStyle name="Percent 99 3 3" xfId="44497" xr:uid="{00000000-0005-0000-0000-000062AE0000}"/>
    <cellStyle name="Percent 99 4" xfId="44498" xr:uid="{00000000-0005-0000-0000-000063AE0000}"/>
    <cellStyle name="Percent 99 4 2" xfId="44499" xr:uid="{00000000-0005-0000-0000-000064AE0000}"/>
    <cellStyle name="Percent 99 4 2 2" xfId="44500" xr:uid="{00000000-0005-0000-0000-000065AE0000}"/>
    <cellStyle name="Percent 99 4 3" xfId="44501" xr:uid="{00000000-0005-0000-0000-000066AE0000}"/>
    <cellStyle name="Percent[0]" xfId="44502" xr:uid="{00000000-0005-0000-0000-000067AE0000}"/>
    <cellStyle name="Percent[00]" xfId="44503" xr:uid="{00000000-0005-0000-0000-000068AE0000}"/>
    <cellStyle name="Percent[00] 2" xfId="44504" xr:uid="{00000000-0005-0000-0000-000069AE0000}"/>
    <cellStyle name="Percent[00] 3" xfId="44505" xr:uid="{00000000-0005-0000-0000-00006AAE0000}"/>
    <cellStyle name="Percent[00] 3 2" xfId="44506" xr:uid="{00000000-0005-0000-0000-00006BAE0000}"/>
    <cellStyle name="Percent[00] 3 2 2" xfId="44507" xr:uid="{00000000-0005-0000-0000-00006CAE0000}"/>
    <cellStyle name="Percent[00] 3 3" xfId="44508" xr:uid="{00000000-0005-0000-0000-00006DAE0000}"/>
    <cellStyle name="Percent[00] 4" xfId="44509" xr:uid="{00000000-0005-0000-0000-00006EAE0000}"/>
    <cellStyle name="Percent[00] 4 2" xfId="44510" xr:uid="{00000000-0005-0000-0000-00006FAE0000}"/>
    <cellStyle name="Percent[00] 4 2 2" xfId="44511" xr:uid="{00000000-0005-0000-0000-000070AE0000}"/>
    <cellStyle name="Percent[00] 4 3" xfId="44512" xr:uid="{00000000-0005-0000-0000-000071AE0000}"/>
    <cellStyle name="Percent1" xfId="44513" xr:uid="{00000000-0005-0000-0000-000072AE0000}"/>
    <cellStyle name="Percent1 2" xfId="44514" xr:uid="{00000000-0005-0000-0000-000073AE0000}"/>
    <cellStyle name="Percent1 3" xfId="44515" xr:uid="{00000000-0005-0000-0000-000074AE0000}"/>
    <cellStyle name="Percent1 3 2" xfId="44516" xr:uid="{00000000-0005-0000-0000-000075AE0000}"/>
    <cellStyle name="Percent1 3 2 2" xfId="44517" xr:uid="{00000000-0005-0000-0000-000076AE0000}"/>
    <cellStyle name="Percent1 3 3" xfId="44518" xr:uid="{00000000-0005-0000-0000-000077AE0000}"/>
    <cellStyle name="Percent1 4" xfId="44519" xr:uid="{00000000-0005-0000-0000-000078AE0000}"/>
    <cellStyle name="Percent1 4 2" xfId="44520" xr:uid="{00000000-0005-0000-0000-000079AE0000}"/>
    <cellStyle name="Percent1 4 2 2" xfId="44521" xr:uid="{00000000-0005-0000-0000-00007AAE0000}"/>
    <cellStyle name="Percent1 4 3" xfId="44522" xr:uid="{00000000-0005-0000-0000-00007BAE0000}"/>
    <cellStyle name="Placeholder" xfId="44523" xr:uid="{00000000-0005-0000-0000-00007CAE0000}"/>
    <cellStyle name="Placeholder 2" xfId="44524" xr:uid="{00000000-0005-0000-0000-00007DAE0000}"/>
    <cellStyle name="Placeholder 3" xfId="44525" xr:uid="{00000000-0005-0000-0000-00007EAE0000}"/>
    <cellStyle name="Placeholder 3 2" xfId="44526" xr:uid="{00000000-0005-0000-0000-00007FAE0000}"/>
    <cellStyle name="Placeholder 3 2 2" xfId="44527" xr:uid="{00000000-0005-0000-0000-000080AE0000}"/>
    <cellStyle name="Placeholder 3 3" xfId="44528" xr:uid="{00000000-0005-0000-0000-000081AE0000}"/>
    <cellStyle name="Placeholder 4" xfId="44529" xr:uid="{00000000-0005-0000-0000-000082AE0000}"/>
    <cellStyle name="Placeholder 4 2" xfId="44530" xr:uid="{00000000-0005-0000-0000-000083AE0000}"/>
    <cellStyle name="Placeholder 4 2 2" xfId="44531" xr:uid="{00000000-0005-0000-0000-000084AE0000}"/>
    <cellStyle name="Placeholder 4 3" xfId="44532" xr:uid="{00000000-0005-0000-0000-000085AE0000}"/>
    <cellStyle name="PSChar" xfId="44533" xr:uid="{00000000-0005-0000-0000-000086AE0000}"/>
    <cellStyle name="PSChar 10" xfId="44534" xr:uid="{00000000-0005-0000-0000-000087AE0000}"/>
    <cellStyle name="PSChar 2" xfId="44535" xr:uid="{00000000-0005-0000-0000-000088AE0000}"/>
    <cellStyle name="PSChar 2 2" xfId="44536" xr:uid="{00000000-0005-0000-0000-000089AE0000}"/>
    <cellStyle name="PSChar 2 2 2" xfId="44537" xr:uid="{00000000-0005-0000-0000-00008AAE0000}"/>
    <cellStyle name="PSChar 2 2 2 2" xfId="44538" xr:uid="{00000000-0005-0000-0000-00008BAE0000}"/>
    <cellStyle name="PSChar 2 2 3" xfId="44539" xr:uid="{00000000-0005-0000-0000-00008CAE0000}"/>
    <cellStyle name="PSChar 2 2 3 2" xfId="44540" xr:uid="{00000000-0005-0000-0000-00008DAE0000}"/>
    <cellStyle name="PSChar 2 2 3 2 2" xfId="44541" xr:uid="{00000000-0005-0000-0000-00008EAE0000}"/>
    <cellStyle name="PSChar 2 2 3 3" xfId="44542" xr:uid="{00000000-0005-0000-0000-00008FAE0000}"/>
    <cellStyle name="PSChar 2 2 4" xfId="44543" xr:uid="{00000000-0005-0000-0000-000090AE0000}"/>
    <cellStyle name="PSChar 2 2 4 2" xfId="44544" xr:uid="{00000000-0005-0000-0000-000091AE0000}"/>
    <cellStyle name="PSChar 2 2 4 2 2" xfId="44545" xr:uid="{00000000-0005-0000-0000-000092AE0000}"/>
    <cellStyle name="PSChar 2 2 4 3" xfId="44546" xr:uid="{00000000-0005-0000-0000-000093AE0000}"/>
    <cellStyle name="PSChar 2 2 5" xfId="44547" xr:uid="{00000000-0005-0000-0000-000094AE0000}"/>
    <cellStyle name="PSChar 2 3" xfId="44548" xr:uid="{00000000-0005-0000-0000-000095AE0000}"/>
    <cellStyle name="PSChar 2 3 2" xfId="44549" xr:uid="{00000000-0005-0000-0000-000096AE0000}"/>
    <cellStyle name="PSChar 2 3 2 2" xfId="44550" xr:uid="{00000000-0005-0000-0000-000097AE0000}"/>
    <cellStyle name="PSChar 2 3 2 2 2" xfId="44551" xr:uid="{00000000-0005-0000-0000-000098AE0000}"/>
    <cellStyle name="PSChar 2 3 2 3" xfId="44552" xr:uid="{00000000-0005-0000-0000-000099AE0000}"/>
    <cellStyle name="PSChar 2 3 2 3 2" xfId="44553" xr:uid="{00000000-0005-0000-0000-00009AAE0000}"/>
    <cellStyle name="PSChar 2 3 2 3 2 2" xfId="44554" xr:uid="{00000000-0005-0000-0000-00009BAE0000}"/>
    <cellStyle name="PSChar 2 3 2 3 3" xfId="44555" xr:uid="{00000000-0005-0000-0000-00009CAE0000}"/>
    <cellStyle name="PSChar 2 3 2 4" xfId="44556" xr:uid="{00000000-0005-0000-0000-00009DAE0000}"/>
    <cellStyle name="PSChar 2 3 3" xfId="44557" xr:uid="{00000000-0005-0000-0000-00009EAE0000}"/>
    <cellStyle name="PSChar 2 3 3 2" xfId="44558" xr:uid="{00000000-0005-0000-0000-00009FAE0000}"/>
    <cellStyle name="PSChar 2 3 3 2 2" xfId="44559" xr:uid="{00000000-0005-0000-0000-0000A0AE0000}"/>
    <cellStyle name="PSChar 2 3 3 3" xfId="44560" xr:uid="{00000000-0005-0000-0000-0000A1AE0000}"/>
    <cellStyle name="PSChar 2 3 4" xfId="44561" xr:uid="{00000000-0005-0000-0000-0000A2AE0000}"/>
    <cellStyle name="PSChar 2 3 4 2" xfId="44562" xr:uid="{00000000-0005-0000-0000-0000A3AE0000}"/>
    <cellStyle name="PSChar 2 3 4 2 2" xfId="44563" xr:uid="{00000000-0005-0000-0000-0000A4AE0000}"/>
    <cellStyle name="PSChar 2 3 4 3" xfId="44564" xr:uid="{00000000-0005-0000-0000-0000A5AE0000}"/>
    <cellStyle name="PSChar 2 3 5" xfId="44565" xr:uid="{00000000-0005-0000-0000-0000A6AE0000}"/>
    <cellStyle name="PSChar 2 3 5 2" xfId="44566" xr:uid="{00000000-0005-0000-0000-0000A7AE0000}"/>
    <cellStyle name="PSChar 2 3 5 2 2" xfId="44567" xr:uid="{00000000-0005-0000-0000-0000A8AE0000}"/>
    <cellStyle name="PSChar 2 3 5 3" xfId="44568" xr:uid="{00000000-0005-0000-0000-0000A9AE0000}"/>
    <cellStyle name="PSChar 2 3 6" xfId="44569" xr:uid="{00000000-0005-0000-0000-0000AAAE0000}"/>
    <cellStyle name="PSChar 2 4" xfId="44570" xr:uid="{00000000-0005-0000-0000-0000ABAE0000}"/>
    <cellStyle name="PSChar 2 4 2" xfId="44571" xr:uid="{00000000-0005-0000-0000-0000ACAE0000}"/>
    <cellStyle name="PSChar 2 4 2 2" xfId="44572" xr:uid="{00000000-0005-0000-0000-0000ADAE0000}"/>
    <cellStyle name="PSChar 2 4 3" xfId="44573" xr:uid="{00000000-0005-0000-0000-0000AEAE0000}"/>
    <cellStyle name="PSChar 2 5" xfId="44574" xr:uid="{00000000-0005-0000-0000-0000AFAE0000}"/>
    <cellStyle name="PSChar 2 5 2" xfId="44575" xr:uid="{00000000-0005-0000-0000-0000B0AE0000}"/>
    <cellStyle name="PSChar 2 5 2 2" xfId="44576" xr:uid="{00000000-0005-0000-0000-0000B1AE0000}"/>
    <cellStyle name="PSChar 2 5 3" xfId="44577" xr:uid="{00000000-0005-0000-0000-0000B2AE0000}"/>
    <cellStyle name="PSChar 2 6" xfId="44578" xr:uid="{00000000-0005-0000-0000-0000B3AE0000}"/>
    <cellStyle name="PSChar 2 6 2" xfId="44579" xr:uid="{00000000-0005-0000-0000-0000B4AE0000}"/>
    <cellStyle name="PSChar 2 6 2 2" xfId="44580" xr:uid="{00000000-0005-0000-0000-0000B5AE0000}"/>
    <cellStyle name="PSChar 2 6 3" xfId="44581" xr:uid="{00000000-0005-0000-0000-0000B6AE0000}"/>
    <cellStyle name="PSChar 2 7" xfId="44582" xr:uid="{00000000-0005-0000-0000-0000B7AE0000}"/>
    <cellStyle name="PSChar 3" xfId="44583" xr:uid="{00000000-0005-0000-0000-0000B8AE0000}"/>
    <cellStyle name="PSChar 3 2" xfId="44584" xr:uid="{00000000-0005-0000-0000-0000B9AE0000}"/>
    <cellStyle name="PSChar 3 2 2" xfId="44585" xr:uid="{00000000-0005-0000-0000-0000BAAE0000}"/>
    <cellStyle name="PSChar 3 2 2 2" xfId="44586" xr:uid="{00000000-0005-0000-0000-0000BBAE0000}"/>
    <cellStyle name="PSChar 3 2 3" xfId="44587" xr:uid="{00000000-0005-0000-0000-0000BCAE0000}"/>
    <cellStyle name="PSChar 3 2 3 2" xfId="44588" xr:uid="{00000000-0005-0000-0000-0000BDAE0000}"/>
    <cellStyle name="PSChar 3 2 3 2 2" xfId="44589" xr:uid="{00000000-0005-0000-0000-0000BEAE0000}"/>
    <cellStyle name="PSChar 3 2 3 3" xfId="44590" xr:uid="{00000000-0005-0000-0000-0000BFAE0000}"/>
    <cellStyle name="PSChar 3 2 4" xfId="44591" xr:uid="{00000000-0005-0000-0000-0000C0AE0000}"/>
    <cellStyle name="PSChar 3 2 4 2" xfId="44592" xr:uid="{00000000-0005-0000-0000-0000C1AE0000}"/>
    <cellStyle name="PSChar 3 2 4 2 2" xfId="44593" xr:uid="{00000000-0005-0000-0000-0000C2AE0000}"/>
    <cellStyle name="PSChar 3 2 4 3" xfId="44594" xr:uid="{00000000-0005-0000-0000-0000C3AE0000}"/>
    <cellStyle name="PSChar 3 2 5" xfId="44595" xr:uid="{00000000-0005-0000-0000-0000C4AE0000}"/>
    <cellStyle name="PSChar 3 3" xfId="44596" xr:uid="{00000000-0005-0000-0000-0000C5AE0000}"/>
    <cellStyle name="PSChar 3 3 2" xfId="44597" xr:uid="{00000000-0005-0000-0000-0000C6AE0000}"/>
    <cellStyle name="PSChar 3 3 2 2" xfId="44598" xr:uid="{00000000-0005-0000-0000-0000C7AE0000}"/>
    <cellStyle name="PSChar 3 3 3" xfId="44599" xr:uid="{00000000-0005-0000-0000-0000C8AE0000}"/>
    <cellStyle name="PSChar 3 4" xfId="44600" xr:uid="{00000000-0005-0000-0000-0000C9AE0000}"/>
    <cellStyle name="PSChar 3 4 2" xfId="44601" xr:uid="{00000000-0005-0000-0000-0000CAAE0000}"/>
    <cellStyle name="PSChar 3 4 2 2" xfId="44602" xr:uid="{00000000-0005-0000-0000-0000CBAE0000}"/>
    <cellStyle name="PSChar 3 4 3" xfId="44603" xr:uid="{00000000-0005-0000-0000-0000CCAE0000}"/>
    <cellStyle name="PSChar 3 5" xfId="44604" xr:uid="{00000000-0005-0000-0000-0000CDAE0000}"/>
    <cellStyle name="PSChar 3 5 2" xfId="44605" xr:uid="{00000000-0005-0000-0000-0000CEAE0000}"/>
    <cellStyle name="PSChar 3 5 2 2" xfId="44606" xr:uid="{00000000-0005-0000-0000-0000CFAE0000}"/>
    <cellStyle name="PSChar 3 5 3" xfId="44607" xr:uid="{00000000-0005-0000-0000-0000D0AE0000}"/>
    <cellStyle name="PSChar 3 6" xfId="44608" xr:uid="{00000000-0005-0000-0000-0000D1AE0000}"/>
    <cellStyle name="PSChar 4" xfId="44609" xr:uid="{00000000-0005-0000-0000-0000D2AE0000}"/>
    <cellStyle name="PSChar 4 2" xfId="44610" xr:uid="{00000000-0005-0000-0000-0000D3AE0000}"/>
    <cellStyle name="PSChar 4 2 2" xfId="44611" xr:uid="{00000000-0005-0000-0000-0000D4AE0000}"/>
    <cellStyle name="PSChar 4 2 2 2" xfId="44612" xr:uid="{00000000-0005-0000-0000-0000D5AE0000}"/>
    <cellStyle name="PSChar 4 2 3" xfId="44613" xr:uid="{00000000-0005-0000-0000-0000D6AE0000}"/>
    <cellStyle name="PSChar 4 2 3 2" xfId="44614" xr:uid="{00000000-0005-0000-0000-0000D7AE0000}"/>
    <cellStyle name="PSChar 4 2 3 2 2" xfId="44615" xr:uid="{00000000-0005-0000-0000-0000D8AE0000}"/>
    <cellStyle name="PSChar 4 2 3 3" xfId="44616" xr:uid="{00000000-0005-0000-0000-0000D9AE0000}"/>
    <cellStyle name="PSChar 4 2 4" xfId="44617" xr:uid="{00000000-0005-0000-0000-0000DAAE0000}"/>
    <cellStyle name="PSChar 4 2 4 2" xfId="44618" xr:uid="{00000000-0005-0000-0000-0000DBAE0000}"/>
    <cellStyle name="PSChar 4 2 4 2 2" xfId="44619" xr:uid="{00000000-0005-0000-0000-0000DCAE0000}"/>
    <cellStyle name="PSChar 4 2 4 3" xfId="44620" xr:uid="{00000000-0005-0000-0000-0000DDAE0000}"/>
    <cellStyle name="PSChar 4 2 5" xfId="44621" xr:uid="{00000000-0005-0000-0000-0000DEAE0000}"/>
    <cellStyle name="PSChar 4 3" xfId="44622" xr:uid="{00000000-0005-0000-0000-0000DFAE0000}"/>
    <cellStyle name="PSChar 4 3 2" xfId="44623" xr:uid="{00000000-0005-0000-0000-0000E0AE0000}"/>
    <cellStyle name="PSChar 4 3 2 2" xfId="44624" xr:uid="{00000000-0005-0000-0000-0000E1AE0000}"/>
    <cellStyle name="PSChar 4 3 3" xfId="44625" xr:uid="{00000000-0005-0000-0000-0000E2AE0000}"/>
    <cellStyle name="PSChar 4 4" xfId="44626" xr:uid="{00000000-0005-0000-0000-0000E3AE0000}"/>
    <cellStyle name="PSChar 4 4 2" xfId="44627" xr:uid="{00000000-0005-0000-0000-0000E4AE0000}"/>
    <cellStyle name="PSChar 4 4 2 2" xfId="44628" xr:uid="{00000000-0005-0000-0000-0000E5AE0000}"/>
    <cellStyle name="PSChar 4 4 3" xfId="44629" xr:uid="{00000000-0005-0000-0000-0000E6AE0000}"/>
    <cellStyle name="PSChar 4 5" xfId="44630" xr:uid="{00000000-0005-0000-0000-0000E7AE0000}"/>
    <cellStyle name="PSChar 4 5 2" xfId="44631" xr:uid="{00000000-0005-0000-0000-0000E8AE0000}"/>
    <cellStyle name="PSChar 4 5 2 2" xfId="44632" xr:uid="{00000000-0005-0000-0000-0000E9AE0000}"/>
    <cellStyle name="PSChar 4 5 3" xfId="44633" xr:uid="{00000000-0005-0000-0000-0000EAAE0000}"/>
    <cellStyle name="PSChar 4 6" xfId="44634" xr:uid="{00000000-0005-0000-0000-0000EBAE0000}"/>
    <cellStyle name="PSChar 5" xfId="44635" xr:uid="{00000000-0005-0000-0000-0000ECAE0000}"/>
    <cellStyle name="PSChar 5 2" xfId="44636" xr:uid="{00000000-0005-0000-0000-0000EDAE0000}"/>
    <cellStyle name="PSChar 5 2 2" xfId="44637" xr:uid="{00000000-0005-0000-0000-0000EEAE0000}"/>
    <cellStyle name="PSChar 5 3" xfId="44638" xr:uid="{00000000-0005-0000-0000-0000EFAE0000}"/>
    <cellStyle name="PSChar 5 3 2" xfId="44639" xr:uid="{00000000-0005-0000-0000-0000F0AE0000}"/>
    <cellStyle name="PSChar 5 3 2 2" xfId="44640" xr:uid="{00000000-0005-0000-0000-0000F1AE0000}"/>
    <cellStyle name="PSChar 5 3 3" xfId="44641" xr:uid="{00000000-0005-0000-0000-0000F2AE0000}"/>
    <cellStyle name="PSChar 5 4" xfId="44642" xr:uid="{00000000-0005-0000-0000-0000F3AE0000}"/>
    <cellStyle name="PSChar 5 4 2" xfId="44643" xr:uid="{00000000-0005-0000-0000-0000F4AE0000}"/>
    <cellStyle name="PSChar 5 4 2 2" xfId="44644" xr:uid="{00000000-0005-0000-0000-0000F5AE0000}"/>
    <cellStyle name="PSChar 5 4 3" xfId="44645" xr:uid="{00000000-0005-0000-0000-0000F6AE0000}"/>
    <cellStyle name="PSChar 5 5" xfId="44646" xr:uid="{00000000-0005-0000-0000-0000F7AE0000}"/>
    <cellStyle name="PSChar 6" xfId="44647" xr:uid="{00000000-0005-0000-0000-0000F8AE0000}"/>
    <cellStyle name="PSChar 6 2" xfId="44648" xr:uid="{00000000-0005-0000-0000-0000F9AE0000}"/>
    <cellStyle name="PSChar 6 2 2" xfId="44649" xr:uid="{00000000-0005-0000-0000-0000FAAE0000}"/>
    <cellStyle name="PSChar 6 3" xfId="44650" xr:uid="{00000000-0005-0000-0000-0000FBAE0000}"/>
    <cellStyle name="PSChar 7" xfId="44651" xr:uid="{00000000-0005-0000-0000-0000FCAE0000}"/>
    <cellStyle name="PSChar 7 2" xfId="44652" xr:uid="{00000000-0005-0000-0000-0000FDAE0000}"/>
    <cellStyle name="PSChar 7 2 2" xfId="44653" xr:uid="{00000000-0005-0000-0000-0000FEAE0000}"/>
    <cellStyle name="PSChar 7 3" xfId="44654" xr:uid="{00000000-0005-0000-0000-0000FFAE0000}"/>
    <cellStyle name="PSChar 8" xfId="44655" xr:uid="{00000000-0005-0000-0000-000000AF0000}"/>
    <cellStyle name="PSChar 8 2" xfId="44656" xr:uid="{00000000-0005-0000-0000-000001AF0000}"/>
    <cellStyle name="PSChar 8 2 2" xfId="44657" xr:uid="{00000000-0005-0000-0000-000002AF0000}"/>
    <cellStyle name="PSChar 8 3" xfId="44658" xr:uid="{00000000-0005-0000-0000-000003AF0000}"/>
    <cellStyle name="PSChar 9" xfId="44659" xr:uid="{00000000-0005-0000-0000-000004AF0000}"/>
    <cellStyle name="PSChar 9 2" xfId="44660" xr:uid="{00000000-0005-0000-0000-000005AF0000}"/>
    <cellStyle name="PSDate" xfId="44661" xr:uid="{00000000-0005-0000-0000-000006AF0000}"/>
    <cellStyle name="PSDate 2" xfId="44662" xr:uid="{00000000-0005-0000-0000-000007AF0000}"/>
    <cellStyle name="PSDate 2 2" xfId="44663" xr:uid="{00000000-0005-0000-0000-000008AF0000}"/>
    <cellStyle name="PSDate 2 3" xfId="44664" xr:uid="{00000000-0005-0000-0000-000009AF0000}"/>
    <cellStyle name="PSDate 2 3 2" xfId="44665" xr:uid="{00000000-0005-0000-0000-00000AAF0000}"/>
    <cellStyle name="PSDate 2 3 2 2" xfId="44666" xr:uid="{00000000-0005-0000-0000-00000BAF0000}"/>
    <cellStyle name="PSDate 2 3 3" xfId="44667" xr:uid="{00000000-0005-0000-0000-00000CAF0000}"/>
    <cellStyle name="PSDate 2 4" xfId="44668" xr:uid="{00000000-0005-0000-0000-00000DAF0000}"/>
    <cellStyle name="PSDate 2 4 2" xfId="44669" xr:uid="{00000000-0005-0000-0000-00000EAF0000}"/>
    <cellStyle name="PSDate 2 4 2 2" xfId="44670" xr:uid="{00000000-0005-0000-0000-00000FAF0000}"/>
    <cellStyle name="PSDate 2 4 3" xfId="44671" xr:uid="{00000000-0005-0000-0000-000010AF0000}"/>
    <cellStyle name="PSDate 3" xfId="44672" xr:uid="{00000000-0005-0000-0000-000011AF0000}"/>
    <cellStyle name="PSDate 4" xfId="44673" xr:uid="{00000000-0005-0000-0000-000012AF0000}"/>
    <cellStyle name="PSDate 4 2" xfId="44674" xr:uid="{00000000-0005-0000-0000-000013AF0000}"/>
    <cellStyle name="PSDate 4 2 2" xfId="44675" xr:uid="{00000000-0005-0000-0000-000014AF0000}"/>
    <cellStyle name="PSDate 4 3" xfId="44676" xr:uid="{00000000-0005-0000-0000-000015AF0000}"/>
    <cellStyle name="PSDate 5" xfId="44677" xr:uid="{00000000-0005-0000-0000-000016AF0000}"/>
    <cellStyle name="PSDate 5 2" xfId="44678" xr:uid="{00000000-0005-0000-0000-000017AF0000}"/>
    <cellStyle name="PSDate 5 2 2" xfId="44679" xr:uid="{00000000-0005-0000-0000-000018AF0000}"/>
    <cellStyle name="PSDate 5 3" xfId="44680" xr:uid="{00000000-0005-0000-0000-000019AF0000}"/>
    <cellStyle name="PSDec" xfId="44681" xr:uid="{00000000-0005-0000-0000-00001AAF0000}"/>
    <cellStyle name="PSDec 2" xfId="44682" xr:uid="{00000000-0005-0000-0000-00001BAF0000}"/>
    <cellStyle name="PSDec 2 2" xfId="44683" xr:uid="{00000000-0005-0000-0000-00001CAF0000}"/>
    <cellStyle name="PSDec 2 3" xfId="44684" xr:uid="{00000000-0005-0000-0000-00001DAF0000}"/>
    <cellStyle name="PSDec 2 3 2" xfId="44685" xr:uid="{00000000-0005-0000-0000-00001EAF0000}"/>
    <cellStyle name="PSDec 2 3 2 2" xfId="44686" xr:uid="{00000000-0005-0000-0000-00001FAF0000}"/>
    <cellStyle name="PSDec 2 3 3" xfId="44687" xr:uid="{00000000-0005-0000-0000-000020AF0000}"/>
    <cellStyle name="PSDec 2 4" xfId="44688" xr:uid="{00000000-0005-0000-0000-000021AF0000}"/>
    <cellStyle name="PSDec 2 4 2" xfId="44689" xr:uid="{00000000-0005-0000-0000-000022AF0000}"/>
    <cellStyle name="PSDec 2 4 2 2" xfId="44690" xr:uid="{00000000-0005-0000-0000-000023AF0000}"/>
    <cellStyle name="PSDec 2 4 3" xfId="44691" xr:uid="{00000000-0005-0000-0000-000024AF0000}"/>
    <cellStyle name="PSDec 3" xfId="44692" xr:uid="{00000000-0005-0000-0000-000025AF0000}"/>
    <cellStyle name="PSDec 4" xfId="44693" xr:uid="{00000000-0005-0000-0000-000026AF0000}"/>
    <cellStyle name="PSDec 4 2" xfId="44694" xr:uid="{00000000-0005-0000-0000-000027AF0000}"/>
    <cellStyle name="PSDec 4 2 2" xfId="44695" xr:uid="{00000000-0005-0000-0000-000028AF0000}"/>
    <cellStyle name="PSDec 4 3" xfId="44696" xr:uid="{00000000-0005-0000-0000-000029AF0000}"/>
    <cellStyle name="PSDec 5" xfId="44697" xr:uid="{00000000-0005-0000-0000-00002AAF0000}"/>
    <cellStyle name="PSDec 5 2" xfId="44698" xr:uid="{00000000-0005-0000-0000-00002BAF0000}"/>
    <cellStyle name="PSDec 5 2 2" xfId="44699" xr:uid="{00000000-0005-0000-0000-00002CAF0000}"/>
    <cellStyle name="PSDec 5 3" xfId="44700" xr:uid="{00000000-0005-0000-0000-00002DAF0000}"/>
    <cellStyle name="PSInt" xfId="44701" xr:uid="{00000000-0005-0000-0000-00002EAF0000}"/>
    <cellStyle name="PSInt 2" xfId="44702" xr:uid="{00000000-0005-0000-0000-00002FAF0000}"/>
    <cellStyle name="PSInt 2 2" xfId="44703" xr:uid="{00000000-0005-0000-0000-000030AF0000}"/>
    <cellStyle name="PSInt 2 3" xfId="44704" xr:uid="{00000000-0005-0000-0000-000031AF0000}"/>
    <cellStyle name="PSInt 2 3 2" xfId="44705" xr:uid="{00000000-0005-0000-0000-000032AF0000}"/>
    <cellStyle name="PSInt 2 3 2 2" xfId="44706" xr:uid="{00000000-0005-0000-0000-000033AF0000}"/>
    <cellStyle name="PSInt 2 3 3" xfId="44707" xr:uid="{00000000-0005-0000-0000-000034AF0000}"/>
    <cellStyle name="PSInt 2 4" xfId="44708" xr:uid="{00000000-0005-0000-0000-000035AF0000}"/>
    <cellStyle name="PSInt 2 4 2" xfId="44709" xr:uid="{00000000-0005-0000-0000-000036AF0000}"/>
    <cellStyle name="PSInt 2 4 2 2" xfId="44710" xr:uid="{00000000-0005-0000-0000-000037AF0000}"/>
    <cellStyle name="PSInt 2 4 3" xfId="44711" xr:uid="{00000000-0005-0000-0000-000038AF0000}"/>
    <cellStyle name="PSInt 3" xfId="44712" xr:uid="{00000000-0005-0000-0000-000039AF0000}"/>
    <cellStyle name="PSInt 4" xfId="44713" xr:uid="{00000000-0005-0000-0000-00003AAF0000}"/>
    <cellStyle name="PSInt 4 2" xfId="44714" xr:uid="{00000000-0005-0000-0000-00003BAF0000}"/>
    <cellStyle name="PSInt 4 2 2" xfId="44715" xr:uid="{00000000-0005-0000-0000-00003CAF0000}"/>
    <cellStyle name="PSInt 4 3" xfId="44716" xr:uid="{00000000-0005-0000-0000-00003DAF0000}"/>
    <cellStyle name="PSInt 5" xfId="44717" xr:uid="{00000000-0005-0000-0000-00003EAF0000}"/>
    <cellStyle name="PSInt 5 2" xfId="44718" xr:uid="{00000000-0005-0000-0000-00003FAF0000}"/>
    <cellStyle name="PSInt 5 2 2" xfId="44719" xr:uid="{00000000-0005-0000-0000-000040AF0000}"/>
    <cellStyle name="PSInt 5 3" xfId="44720" xr:uid="{00000000-0005-0000-0000-000041AF0000}"/>
    <cellStyle name="regstoresfromspecstores" xfId="44721" xr:uid="{00000000-0005-0000-0000-000042AF0000}"/>
    <cellStyle name="regstoresfromspecstores 10" xfId="44722" xr:uid="{00000000-0005-0000-0000-000043AF0000}"/>
    <cellStyle name="regstoresfromspecstores 2" xfId="44723" xr:uid="{00000000-0005-0000-0000-000044AF0000}"/>
    <cellStyle name="regstoresfromspecstores 2 2" xfId="44724" xr:uid="{00000000-0005-0000-0000-000045AF0000}"/>
    <cellStyle name="regstoresfromspecstores 2 2 2" xfId="44725" xr:uid="{00000000-0005-0000-0000-000046AF0000}"/>
    <cellStyle name="regstoresfromspecstores 2 2 2 2" xfId="44726" xr:uid="{00000000-0005-0000-0000-000047AF0000}"/>
    <cellStyle name="regstoresfromspecstores 2 2 3" xfId="44727" xr:uid="{00000000-0005-0000-0000-000048AF0000}"/>
    <cellStyle name="regstoresfromspecstores 2 2 3 2" xfId="44728" xr:uid="{00000000-0005-0000-0000-000049AF0000}"/>
    <cellStyle name="regstoresfromspecstores 2 2 3 2 2" xfId="44729" xr:uid="{00000000-0005-0000-0000-00004AAF0000}"/>
    <cellStyle name="regstoresfromspecstores 2 2 3 3" xfId="44730" xr:uid="{00000000-0005-0000-0000-00004BAF0000}"/>
    <cellStyle name="regstoresfromspecstores 2 2 4" xfId="44731" xr:uid="{00000000-0005-0000-0000-00004CAF0000}"/>
    <cellStyle name="regstoresfromspecstores 2 2 4 2" xfId="44732" xr:uid="{00000000-0005-0000-0000-00004DAF0000}"/>
    <cellStyle name="regstoresfromspecstores 2 2 4 2 2" xfId="44733" xr:uid="{00000000-0005-0000-0000-00004EAF0000}"/>
    <cellStyle name="regstoresfromspecstores 2 2 4 3" xfId="44734" xr:uid="{00000000-0005-0000-0000-00004FAF0000}"/>
    <cellStyle name="regstoresfromspecstores 2 2 5" xfId="44735" xr:uid="{00000000-0005-0000-0000-000050AF0000}"/>
    <cellStyle name="regstoresfromspecstores 2 3" xfId="44736" xr:uid="{00000000-0005-0000-0000-000051AF0000}"/>
    <cellStyle name="regstoresfromspecstores 2 3 2" xfId="44737" xr:uid="{00000000-0005-0000-0000-000052AF0000}"/>
    <cellStyle name="regstoresfromspecstores 2 3 2 2" xfId="44738" xr:uid="{00000000-0005-0000-0000-000053AF0000}"/>
    <cellStyle name="regstoresfromspecstores 2 3 2 2 2" xfId="44739" xr:uid="{00000000-0005-0000-0000-000054AF0000}"/>
    <cellStyle name="regstoresfromspecstores 2 3 2 3" xfId="44740" xr:uid="{00000000-0005-0000-0000-000055AF0000}"/>
    <cellStyle name="regstoresfromspecstores 2 3 2 3 2" xfId="44741" xr:uid="{00000000-0005-0000-0000-000056AF0000}"/>
    <cellStyle name="regstoresfromspecstores 2 3 2 3 2 2" xfId="44742" xr:uid="{00000000-0005-0000-0000-000057AF0000}"/>
    <cellStyle name="regstoresfromspecstores 2 3 2 3 3" xfId="44743" xr:uid="{00000000-0005-0000-0000-000058AF0000}"/>
    <cellStyle name="regstoresfromspecstores 2 3 2 4" xfId="44744" xr:uid="{00000000-0005-0000-0000-000059AF0000}"/>
    <cellStyle name="regstoresfromspecstores 2 3 3" xfId="44745" xr:uid="{00000000-0005-0000-0000-00005AAF0000}"/>
    <cellStyle name="regstoresfromspecstores 2 3 3 2" xfId="44746" xr:uid="{00000000-0005-0000-0000-00005BAF0000}"/>
    <cellStyle name="regstoresfromspecstores 2 3 3 2 2" xfId="44747" xr:uid="{00000000-0005-0000-0000-00005CAF0000}"/>
    <cellStyle name="regstoresfromspecstores 2 3 3 3" xfId="44748" xr:uid="{00000000-0005-0000-0000-00005DAF0000}"/>
    <cellStyle name="regstoresfromspecstores 2 3 4" xfId="44749" xr:uid="{00000000-0005-0000-0000-00005EAF0000}"/>
    <cellStyle name="regstoresfromspecstores 2 3 4 2" xfId="44750" xr:uid="{00000000-0005-0000-0000-00005FAF0000}"/>
    <cellStyle name="regstoresfromspecstores 2 3 4 2 2" xfId="44751" xr:uid="{00000000-0005-0000-0000-000060AF0000}"/>
    <cellStyle name="regstoresfromspecstores 2 3 4 3" xfId="44752" xr:uid="{00000000-0005-0000-0000-000061AF0000}"/>
    <cellStyle name="regstoresfromspecstores 2 3 5" xfId="44753" xr:uid="{00000000-0005-0000-0000-000062AF0000}"/>
    <cellStyle name="regstoresfromspecstores 2 3 5 2" xfId="44754" xr:uid="{00000000-0005-0000-0000-000063AF0000}"/>
    <cellStyle name="regstoresfromspecstores 2 3 5 2 2" xfId="44755" xr:uid="{00000000-0005-0000-0000-000064AF0000}"/>
    <cellStyle name="regstoresfromspecstores 2 3 5 3" xfId="44756" xr:uid="{00000000-0005-0000-0000-000065AF0000}"/>
    <cellStyle name="regstoresfromspecstores 2 3 6" xfId="44757" xr:uid="{00000000-0005-0000-0000-000066AF0000}"/>
    <cellStyle name="regstoresfromspecstores 2 4" xfId="44758" xr:uid="{00000000-0005-0000-0000-000067AF0000}"/>
    <cellStyle name="regstoresfromspecstores 2 4 2" xfId="44759" xr:uid="{00000000-0005-0000-0000-000068AF0000}"/>
    <cellStyle name="regstoresfromspecstores 2 4 2 2" xfId="44760" xr:uid="{00000000-0005-0000-0000-000069AF0000}"/>
    <cellStyle name="regstoresfromspecstores 2 4 3" xfId="44761" xr:uid="{00000000-0005-0000-0000-00006AAF0000}"/>
    <cellStyle name="regstoresfromspecstores 2 5" xfId="44762" xr:uid="{00000000-0005-0000-0000-00006BAF0000}"/>
    <cellStyle name="regstoresfromspecstores 2 5 2" xfId="44763" xr:uid="{00000000-0005-0000-0000-00006CAF0000}"/>
    <cellStyle name="regstoresfromspecstores 2 5 2 2" xfId="44764" xr:uid="{00000000-0005-0000-0000-00006DAF0000}"/>
    <cellStyle name="regstoresfromspecstores 2 5 3" xfId="44765" xr:uid="{00000000-0005-0000-0000-00006EAF0000}"/>
    <cellStyle name="regstoresfromspecstores 2 6" xfId="44766" xr:uid="{00000000-0005-0000-0000-00006FAF0000}"/>
    <cellStyle name="regstoresfromspecstores 2 6 2" xfId="44767" xr:uid="{00000000-0005-0000-0000-000070AF0000}"/>
    <cellStyle name="regstoresfromspecstores 2 6 2 2" xfId="44768" xr:uid="{00000000-0005-0000-0000-000071AF0000}"/>
    <cellStyle name="regstoresfromspecstores 2 6 3" xfId="44769" xr:uid="{00000000-0005-0000-0000-000072AF0000}"/>
    <cellStyle name="regstoresfromspecstores 2 7" xfId="44770" xr:uid="{00000000-0005-0000-0000-000073AF0000}"/>
    <cellStyle name="regstoresfromspecstores 3" xfId="44771" xr:uid="{00000000-0005-0000-0000-000074AF0000}"/>
    <cellStyle name="regstoresfromspecstores 3 2" xfId="44772" xr:uid="{00000000-0005-0000-0000-000075AF0000}"/>
    <cellStyle name="regstoresfromspecstores 3 2 2" xfId="44773" xr:uid="{00000000-0005-0000-0000-000076AF0000}"/>
    <cellStyle name="regstoresfromspecstores 3 2 2 2" xfId="44774" xr:uid="{00000000-0005-0000-0000-000077AF0000}"/>
    <cellStyle name="regstoresfromspecstores 3 2 3" xfId="44775" xr:uid="{00000000-0005-0000-0000-000078AF0000}"/>
    <cellStyle name="regstoresfromspecstores 3 2 3 2" xfId="44776" xr:uid="{00000000-0005-0000-0000-000079AF0000}"/>
    <cellStyle name="regstoresfromspecstores 3 2 3 2 2" xfId="44777" xr:uid="{00000000-0005-0000-0000-00007AAF0000}"/>
    <cellStyle name="regstoresfromspecstores 3 2 3 3" xfId="44778" xr:uid="{00000000-0005-0000-0000-00007BAF0000}"/>
    <cellStyle name="regstoresfromspecstores 3 2 4" xfId="44779" xr:uid="{00000000-0005-0000-0000-00007CAF0000}"/>
    <cellStyle name="regstoresfromspecstores 3 2 4 2" xfId="44780" xr:uid="{00000000-0005-0000-0000-00007DAF0000}"/>
    <cellStyle name="regstoresfromspecstores 3 2 4 2 2" xfId="44781" xr:uid="{00000000-0005-0000-0000-00007EAF0000}"/>
    <cellStyle name="regstoresfromspecstores 3 2 4 3" xfId="44782" xr:uid="{00000000-0005-0000-0000-00007FAF0000}"/>
    <cellStyle name="regstoresfromspecstores 3 2 5" xfId="44783" xr:uid="{00000000-0005-0000-0000-000080AF0000}"/>
    <cellStyle name="regstoresfromspecstores 3 3" xfId="44784" xr:uid="{00000000-0005-0000-0000-000081AF0000}"/>
    <cellStyle name="regstoresfromspecstores 3 3 2" xfId="44785" xr:uid="{00000000-0005-0000-0000-000082AF0000}"/>
    <cellStyle name="regstoresfromspecstores 3 3 2 2" xfId="44786" xr:uid="{00000000-0005-0000-0000-000083AF0000}"/>
    <cellStyle name="regstoresfromspecstores 3 3 3" xfId="44787" xr:uid="{00000000-0005-0000-0000-000084AF0000}"/>
    <cellStyle name="regstoresfromspecstores 3 4" xfId="44788" xr:uid="{00000000-0005-0000-0000-000085AF0000}"/>
    <cellStyle name="regstoresfromspecstores 3 4 2" xfId="44789" xr:uid="{00000000-0005-0000-0000-000086AF0000}"/>
    <cellStyle name="regstoresfromspecstores 3 4 2 2" xfId="44790" xr:uid="{00000000-0005-0000-0000-000087AF0000}"/>
    <cellStyle name="regstoresfromspecstores 3 4 3" xfId="44791" xr:uid="{00000000-0005-0000-0000-000088AF0000}"/>
    <cellStyle name="regstoresfromspecstores 3 5" xfId="44792" xr:uid="{00000000-0005-0000-0000-000089AF0000}"/>
    <cellStyle name="regstoresfromspecstores 3 5 2" xfId="44793" xr:uid="{00000000-0005-0000-0000-00008AAF0000}"/>
    <cellStyle name="regstoresfromspecstores 3 5 2 2" xfId="44794" xr:uid="{00000000-0005-0000-0000-00008BAF0000}"/>
    <cellStyle name="regstoresfromspecstores 3 5 3" xfId="44795" xr:uid="{00000000-0005-0000-0000-00008CAF0000}"/>
    <cellStyle name="regstoresfromspecstores 3 6" xfId="44796" xr:uid="{00000000-0005-0000-0000-00008DAF0000}"/>
    <cellStyle name="regstoresfromspecstores 4" xfId="44797" xr:uid="{00000000-0005-0000-0000-00008EAF0000}"/>
    <cellStyle name="regstoresfromspecstores 4 2" xfId="44798" xr:uid="{00000000-0005-0000-0000-00008FAF0000}"/>
    <cellStyle name="regstoresfromspecstores 4 2 2" xfId="44799" xr:uid="{00000000-0005-0000-0000-000090AF0000}"/>
    <cellStyle name="regstoresfromspecstores 4 2 2 2" xfId="44800" xr:uid="{00000000-0005-0000-0000-000091AF0000}"/>
    <cellStyle name="regstoresfromspecstores 4 2 3" xfId="44801" xr:uid="{00000000-0005-0000-0000-000092AF0000}"/>
    <cellStyle name="regstoresfromspecstores 4 2 3 2" xfId="44802" xr:uid="{00000000-0005-0000-0000-000093AF0000}"/>
    <cellStyle name="regstoresfromspecstores 4 2 3 2 2" xfId="44803" xr:uid="{00000000-0005-0000-0000-000094AF0000}"/>
    <cellStyle name="regstoresfromspecstores 4 2 3 3" xfId="44804" xr:uid="{00000000-0005-0000-0000-000095AF0000}"/>
    <cellStyle name="regstoresfromspecstores 4 2 4" xfId="44805" xr:uid="{00000000-0005-0000-0000-000096AF0000}"/>
    <cellStyle name="regstoresfromspecstores 4 2 4 2" xfId="44806" xr:uid="{00000000-0005-0000-0000-000097AF0000}"/>
    <cellStyle name="regstoresfromspecstores 4 2 4 2 2" xfId="44807" xr:uid="{00000000-0005-0000-0000-000098AF0000}"/>
    <cellStyle name="regstoresfromspecstores 4 2 4 3" xfId="44808" xr:uid="{00000000-0005-0000-0000-000099AF0000}"/>
    <cellStyle name="regstoresfromspecstores 4 2 5" xfId="44809" xr:uid="{00000000-0005-0000-0000-00009AAF0000}"/>
    <cellStyle name="regstoresfromspecstores 4 3" xfId="44810" xr:uid="{00000000-0005-0000-0000-00009BAF0000}"/>
    <cellStyle name="regstoresfromspecstores 4 3 2" xfId="44811" xr:uid="{00000000-0005-0000-0000-00009CAF0000}"/>
    <cellStyle name="regstoresfromspecstores 4 3 2 2" xfId="44812" xr:uid="{00000000-0005-0000-0000-00009DAF0000}"/>
    <cellStyle name="regstoresfromspecstores 4 3 3" xfId="44813" xr:uid="{00000000-0005-0000-0000-00009EAF0000}"/>
    <cellStyle name="regstoresfromspecstores 4 4" xfId="44814" xr:uid="{00000000-0005-0000-0000-00009FAF0000}"/>
    <cellStyle name="regstoresfromspecstores 4 4 2" xfId="44815" xr:uid="{00000000-0005-0000-0000-0000A0AF0000}"/>
    <cellStyle name="regstoresfromspecstores 4 4 2 2" xfId="44816" xr:uid="{00000000-0005-0000-0000-0000A1AF0000}"/>
    <cellStyle name="regstoresfromspecstores 4 4 3" xfId="44817" xr:uid="{00000000-0005-0000-0000-0000A2AF0000}"/>
    <cellStyle name="regstoresfromspecstores 4 5" xfId="44818" xr:uid="{00000000-0005-0000-0000-0000A3AF0000}"/>
    <cellStyle name="regstoresfromspecstores 4 5 2" xfId="44819" xr:uid="{00000000-0005-0000-0000-0000A4AF0000}"/>
    <cellStyle name="regstoresfromspecstores 4 5 2 2" xfId="44820" xr:uid="{00000000-0005-0000-0000-0000A5AF0000}"/>
    <cellStyle name="regstoresfromspecstores 4 5 3" xfId="44821" xr:uid="{00000000-0005-0000-0000-0000A6AF0000}"/>
    <cellStyle name="regstoresfromspecstores 4 6" xfId="44822" xr:uid="{00000000-0005-0000-0000-0000A7AF0000}"/>
    <cellStyle name="regstoresfromspecstores 5" xfId="44823" xr:uid="{00000000-0005-0000-0000-0000A8AF0000}"/>
    <cellStyle name="regstoresfromspecstores 5 2" xfId="44824" xr:uid="{00000000-0005-0000-0000-0000A9AF0000}"/>
    <cellStyle name="regstoresfromspecstores 5 2 2" xfId="44825" xr:uid="{00000000-0005-0000-0000-0000AAAF0000}"/>
    <cellStyle name="regstoresfromspecstores 5 3" xfId="44826" xr:uid="{00000000-0005-0000-0000-0000ABAF0000}"/>
    <cellStyle name="regstoresfromspecstores 5 3 2" xfId="44827" xr:uid="{00000000-0005-0000-0000-0000ACAF0000}"/>
    <cellStyle name="regstoresfromspecstores 5 3 2 2" xfId="44828" xr:uid="{00000000-0005-0000-0000-0000ADAF0000}"/>
    <cellStyle name="regstoresfromspecstores 5 3 3" xfId="44829" xr:uid="{00000000-0005-0000-0000-0000AEAF0000}"/>
    <cellStyle name="regstoresfromspecstores 5 4" xfId="44830" xr:uid="{00000000-0005-0000-0000-0000AFAF0000}"/>
    <cellStyle name="regstoresfromspecstores 5 4 2" xfId="44831" xr:uid="{00000000-0005-0000-0000-0000B0AF0000}"/>
    <cellStyle name="regstoresfromspecstores 5 4 2 2" xfId="44832" xr:uid="{00000000-0005-0000-0000-0000B1AF0000}"/>
    <cellStyle name="regstoresfromspecstores 5 4 3" xfId="44833" xr:uid="{00000000-0005-0000-0000-0000B2AF0000}"/>
    <cellStyle name="regstoresfromspecstores 5 5" xfId="44834" xr:uid="{00000000-0005-0000-0000-0000B3AF0000}"/>
    <cellStyle name="regstoresfromspecstores 6" xfId="44835" xr:uid="{00000000-0005-0000-0000-0000B4AF0000}"/>
    <cellStyle name="regstoresfromspecstores 6 2" xfId="44836" xr:uid="{00000000-0005-0000-0000-0000B5AF0000}"/>
    <cellStyle name="regstoresfromspecstores 6 2 2" xfId="44837" xr:uid="{00000000-0005-0000-0000-0000B6AF0000}"/>
    <cellStyle name="regstoresfromspecstores 6 3" xfId="44838" xr:uid="{00000000-0005-0000-0000-0000B7AF0000}"/>
    <cellStyle name="regstoresfromspecstores 7" xfId="44839" xr:uid="{00000000-0005-0000-0000-0000B8AF0000}"/>
    <cellStyle name="regstoresfromspecstores 7 2" xfId="44840" xr:uid="{00000000-0005-0000-0000-0000B9AF0000}"/>
    <cellStyle name="regstoresfromspecstores 7 2 2" xfId="44841" xr:uid="{00000000-0005-0000-0000-0000BAAF0000}"/>
    <cellStyle name="regstoresfromspecstores 7 3" xfId="44842" xr:uid="{00000000-0005-0000-0000-0000BBAF0000}"/>
    <cellStyle name="regstoresfromspecstores 8" xfId="44843" xr:uid="{00000000-0005-0000-0000-0000BCAF0000}"/>
    <cellStyle name="regstoresfromspecstores 8 2" xfId="44844" xr:uid="{00000000-0005-0000-0000-0000BDAF0000}"/>
    <cellStyle name="regstoresfromspecstores 8 2 2" xfId="44845" xr:uid="{00000000-0005-0000-0000-0000BEAF0000}"/>
    <cellStyle name="regstoresfromspecstores 8 3" xfId="44846" xr:uid="{00000000-0005-0000-0000-0000BFAF0000}"/>
    <cellStyle name="regstoresfromspecstores 9" xfId="44847" xr:uid="{00000000-0005-0000-0000-0000C0AF0000}"/>
    <cellStyle name="regstoresfromspecstores 9 2" xfId="44848" xr:uid="{00000000-0005-0000-0000-0000C1AF0000}"/>
    <cellStyle name="RevList" xfId="44849" xr:uid="{00000000-0005-0000-0000-0000C2AF0000}"/>
    <cellStyle name="RevList 2" xfId="44850" xr:uid="{00000000-0005-0000-0000-0000C3AF0000}"/>
    <cellStyle name="RevList 3" xfId="44851" xr:uid="{00000000-0005-0000-0000-0000C4AF0000}"/>
    <cellStyle name="RevList 3 2" xfId="44852" xr:uid="{00000000-0005-0000-0000-0000C5AF0000}"/>
    <cellStyle name="RevList 3 2 2" xfId="44853" xr:uid="{00000000-0005-0000-0000-0000C6AF0000}"/>
    <cellStyle name="RevList 3 3" xfId="44854" xr:uid="{00000000-0005-0000-0000-0000C7AF0000}"/>
    <cellStyle name="RevList 4" xfId="44855" xr:uid="{00000000-0005-0000-0000-0000C8AF0000}"/>
    <cellStyle name="RevList 4 2" xfId="44856" xr:uid="{00000000-0005-0000-0000-0000C9AF0000}"/>
    <cellStyle name="RevList 4 2 2" xfId="44857" xr:uid="{00000000-0005-0000-0000-0000CAAF0000}"/>
    <cellStyle name="RevList 4 3" xfId="44858" xr:uid="{00000000-0005-0000-0000-0000CBAF0000}"/>
    <cellStyle name="SAPBEXaggData" xfId="40" xr:uid="{00000000-0005-0000-0000-0000CCAF0000}"/>
    <cellStyle name="SAPBEXaggData 10" xfId="44859" xr:uid="{00000000-0005-0000-0000-0000CDAF0000}"/>
    <cellStyle name="SAPBEXaggData 10 2" xfId="44860" xr:uid="{00000000-0005-0000-0000-0000CEAF0000}"/>
    <cellStyle name="SAPBEXaggData 11" xfId="44861" xr:uid="{00000000-0005-0000-0000-0000CFAF0000}"/>
    <cellStyle name="SAPBEXaggData 11 2" xfId="44862" xr:uid="{00000000-0005-0000-0000-0000D0AF0000}"/>
    <cellStyle name="SAPBEXaggData 12" xfId="44863" xr:uid="{00000000-0005-0000-0000-0000D1AF0000}"/>
    <cellStyle name="SAPBEXaggData 12 2" xfId="44864" xr:uid="{00000000-0005-0000-0000-0000D2AF0000}"/>
    <cellStyle name="SAPBEXaggData 13" xfId="44865" xr:uid="{00000000-0005-0000-0000-0000D3AF0000}"/>
    <cellStyle name="SAPBEXaggData 14" xfId="44866" xr:uid="{00000000-0005-0000-0000-0000D4AF0000}"/>
    <cellStyle name="SAPBEXaggData 2" xfId="44867" xr:uid="{00000000-0005-0000-0000-0000D5AF0000}"/>
    <cellStyle name="SAPBEXaggData 2 2" xfId="44868" xr:uid="{00000000-0005-0000-0000-0000D6AF0000}"/>
    <cellStyle name="SAPBEXaggData 2 2 2" xfId="44869" xr:uid="{00000000-0005-0000-0000-0000D7AF0000}"/>
    <cellStyle name="SAPBEXaggData 2 2 2 2" xfId="44870" xr:uid="{00000000-0005-0000-0000-0000D8AF0000}"/>
    <cellStyle name="SAPBEXaggData 2 2 2 2 2" xfId="44871" xr:uid="{00000000-0005-0000-0000-0000D9AF0000}"/>
    <cellStyle name="SAPBEXaggData 2 2 2 2 2 2" xfId="44872" xr:uid="{00000000-0005-0000-0000-0000DAAF0000}"/>
    <cellStyle name="SAPBEXaggData 2 2 2 2 3" xfId="44873" xr:uid="{00000000-0005-0000-0000-0000DBAF0000}"/>
    <cellStyle name="SAPBEXaggData 2 2 2 3" xfId="44874" xr:uid="{00000000-0005-0000-0000-0000DCAF0000}"/>
    <cellStyle name="SAPBEXaggData 2 2 2 3 2" xfId="44875" xr:uid="{00000000-0005-0000-0000-0000DDAF0000}"/>
    <cellStyle name="SAPBEXaggData 2 2 2 4" xfId="44876" xr:uid="{00000000-0005-0000-0000-0000DEAF0000}"/>
    <cellStyle name="SAPBEXaggData 2 2 3" xfId="44877" xr:uid="{00000000-0005-0000-0000-0000DFAF0000}"/>
    <cellStyle name="SAPBEXaggData 2 2 3 2" xfId="44878" xr:uid="{00000000-0005-0000-0000-0000E0AF0000}"/>
    <cellStyle name="SAPBEXaggData 2 2 3 2 2" xfId="44879" xr:uid="{00000000-0005-0000-0000-0000E1AF0000}"/>
    <cellStyle name="SAPBEXaggData 2 2 3 3" xfId="44880" xr:uid="{00000000-0005-0000-0000-0000E2AF0000}"/>
    <cellStyle name="SAPBEXaggData 2 2 4" xfId="44881" xr:uid="{00000000-0005-0000-0000-0000E3AF0000}"/>
    <cellStyle name="SAPBEXaggData 2 2 4 2" xfId="44882" xr:uid="{00000000-0005-0000-0000-0000E4AF0000}"/>
    <cellStyle name="SAPBEXaggData 2 2 4 2 2" xfId="44883" xr:uid="{00000000-0005-0000-0000-0000E5AF0000}"/>
    <cellStyle name="SAPBEXaggData 2 2 4 3" xfId="44884" xr:uid="{00000000-0005-0000-0000-0000E6AF0000}"/>
    <cellStyle name="SAPBEXaggData 2 2 5" xfId="44885" xr:uid="{00000000-0005-0000-0000-0000E7AF0000}"/>
    <cellStyle name="SAPBEXaggData 2 2 5 2" xfId="44886" xr:uid="{00000000-0005-0000-0000-0000E8AF0000}"/>
    <cellStyle name="SAPBEXaggData 2 2 6" xfId="44887" xr:uid="{00000000-0005-0000-0000-0000E9AF0000}"/>
    <cellStyle name="SAPBEXaggData 2 3" xfId="44888" xr:uid="{00000000-0005-0000-0000-0000EAAF0000}"/>
    <cellStyle name="SAPBEXaggData 2 3 2" xfId="44889" xr:uid="{00000000-0005-0000-0000-0000EBAF0000}"/>
    <cellStyle name="SAPBEXaggData 2 4" xfId="44890" xr:uid="{00000000-0005-0000-0000-0000ECAF0000}"/>
    <cellStyle name="SAPBEXaggData 2 4 2" xfId="44891" xr:uid="{00000000-0005-0000-0000-0000EDAF0000}"/>
    <cellStyle name="SAPBEXaggData 2 4 2 2" xfId="44892" xr:uid="{00000000-0005-0000-0000-0000EEAF0000}"/>
    <cellStyle name="SAPBEXaggData 2 4 3" xfId="44893" xr:uid="{00000000-0005-0000-0000-0000EFAF0000}"/>
    <cellStyle name="SAPBEXaggData 2 5" xfId="44894" xr:uid="{00000000-0005-0000-0000-0000F0AF0000}"/>
    <cellStyle name="SAPBEXaggData 2 5 2" xfId="44895" xr:uid="{00000000-0005-0000-0000-0000F1AF0000}"/>
    <cellStyle name="SAPBEXaggData 2 5 2 2" xfId="44896" xr:uid="{00000000-0005-0000-0000-0000F2AF0000}"/>
    <cellStyle name="SAPBEXaggData 2 5 3" xfId="44897" xr:uid="{00000000-0005-0000-0000-0000F3AF0000}"/>
    <cellStyle name="SAPBEXaggData 2 6" xfId="44898" xr:uid="{00000000-0005-0000-0000-0000F4AF0000}"/>
    <cellStyle name="SAPBEXaggData 3" xfId="44899" xr:uid="{00000000-0005-0000-0000-0000F5AF0000}"/>
    <cellStyle name="SAPBEXaggData 3 2" xfId="44900" xr:uid="{00000000-0005-0000-0000-0000F6AF0000}"/>
    <cellStyle name="SAPBEXaggData 3 2 2" xfId="44901" xr:uid="{00000000-0005-0000-0000-0000F7AF0000}"/>
    <cellStyle name="SAPBEXaggData 3 3" xfId="44902" xr:uid="{00000000-0005-0000-0000-0000F8AF0000}"/>
    <cellStyle name="SAPBEXaggData 3 3 2" xfId="44903" xr:uid="{00000000-0005-0000-0000-0000F9AF0000}"/>
    <cellStyle name="SAPBEXaggData 3 3 2 2" xfId="44904" xr:uid="{00000000-0005-0000-0000-0000FAAF0000}"/>
    <cellStyle name="SAPBEXaggData 3 3 3" xfId="44905" xr:uid="{00000000-0005-0000-0000-0000FBAF0000}"/>
    <cellStyle name="SAPBEXaggData 3 4" xfId="44906" xr:uid="{00000000-0005-0000-0000-0000FCAF0000}"/>
    <cellStyle name="SAPBEXaggData 3 4 2" xfId="44907" xr:uid="{00000000-0005-0000-0000-0000FDAF0000}"/>
    <cellStyle name="SAPBEXaggData 3 4 2 2" xfId="44908" xr:uid="{00000000-0005-0000-0000-0000FEAF0000}"/>
    <cellStyle name="SAPBEXaggData 3 4 3" xfId="44909" xr:uid="{00000000-0005-0000-0000-0000FFAF0000}"/>
    <cellStyle name="SAPBEXaggData 3 5" xfId="44910" xr:uid="{00000000-0005-0000-0000-000000B00000}"/>
    <cellStyle name="SAPBEXaggData 4" xfId="44911" xr:uid="{00000000-0005-0000-0000-000001B00000}"/>
    <cellStyle name="SAPBEXaggData 4 2" xfId="44912" xr:uid="{00000000-0005-0000-0000-000002B00000}"/>
    <cellStyle name="SAPBEXaggData 4 2 2" xfId="44913" xr:uid="{00000000-0005-0000-0000-000003B00000}"/>
    <cellStyle name="SAPBEXaggData 4 2 2 2" xfId="44914" xr:uid="{00000000-0005-0000-0000-000004B00000}"/>
    <cellStyle name="SAPBEXaggData 4 2 3" xfId="44915" xr:uid="{00000000-0005-0000-0000-000005B00000}"/>
    <cellStyle name="SAPBEXaggData 4 2 3 2" xfId="44916" xr:uid="{00000000-0005-0000-0000-000006B00000}"/>
    <cellStyle name="SAPBEXaggData 4 2 3 2 2" xfId="44917" xr:uid="{00000000-0005-0000-0000-000007B00000}"/>
    <cellStyle name="SAPBEXaggData 4 2 3 3" xfId="44918" xr:uid="{00000000-0005-0000-0000-000008B00000}"/>
    <cellStyle name="SAPBEXaggData 4 2 4" xfId="44919" xr:uid="{00000000-0005-0000-0000-000009B00000}"/>
    <cellStyle name="SAPBEXaggData 4 3" xfId="44920" xr:uid="{00000000-0005-0000-0000-00000AB00000}"/>
    <cellStyle name="SAPBEXaggData 4 3 2" xfId="44921" xr:uid="{00000000-0005-0000-0000-00000BB00000}"/>
    <cellStyle name="SAPBEXaggData 4 3 2 2" xfId="44922" xr:uid="{00000000-0005-0000-0000-00000CB00000}"/>
    <cellStyle name="SAPBEXaggData 4 3 3" xfId="44923" xr:uid="{00000000-0005-0000-0000-00000DB00000}"/>
    <cellStyle name="SAPBEXaggData 4 4" xfId="44924" xr:uid="{00000000-0005-0000-0000-00000EB00000}"/>
    <cellStyle name="SAPBEXaggData 4 4 2" xfId="44925" xr:uid="{00000000-0005-0000-0000-00000FB00000}"/>
    <cellStyle name="SAPBEXaggData 4 4 2 2" xfId="44926" xr:uid="{00000000-0005-0000-0000-000010B00000}"/>
    <cellStyle name="SAPBEXaggData 4 4 3" xfId="44927" xr:uid="{00000000-0005-0000-0000-000011B00000}"/>
    <cellStyle name="SAPBEXaggData 4 5" xfId="44928" xr:uid="{00000000-0005-0000-0000-000012B00000}"/>
    <cellStyle name="SAPBEXaggData 4 5 2" xfId="44929" xr:uid="{00000000-0005-0000-0000-000013B00000}"/>
    <cellStyle name="SAPBEXaggData 4 5 2 2" xfId="44930" xr:uid="{00000000-0005-0000-0000-000014B00000}"/>
    <cellStyle name="SAPBEXaggData 4 5 3" xfId="44931" xr:uid="{00000000-0005-0000-0000-000015B00000}"/>
    <cellStyle name="SAPBEXaggData 4 6" xfId="44932" xr:uid="{00000000-0005-0000-0000-000016B00000}"/>
    <cellStyle name="SAPBEXaggData 5" xfId="44933" xr:uid="{00000000-0005-0000-0000-000017B00000}"/>
    <cellStyle name="SAPBEXaggData 5 2" xfId="44934" xr:uid="{00000000-0005-0000-0000-000018B00000}"/>
    <cellStyle name="SAPBEXaggData 5 2 2" xfId="44935" xr:uid="{00000000-0005-0000-0000-000019B00000}"/>
    <cellStyle name="SAPBEXaggData 5 3" xfId="44936" xr:uid="{00000000-0005-0000-0000-00001AB00000}"/>
    <cellStyle name="SAPBEXaggData 6" xfId="44937" xr:uid="{00000000-0005-0000-0000-00001BB00000}"/>
    <cellStyle name="SAPBEXaggData 6 2" xfId="44938" xr:uid="{00000000-0005-0000-0000-00001CB00000}"/>
    <cellStyle name="SAPBEXaggData 6 2 2" xfId="44939" xr:uid="{00000000-0005-0000-0000-00001DB00000}"/>
    <cellStyle name="SAPBEXaggData 6 3" xfId="44940" xr:uid="{00000000-0005-0000-0000-00001EB00000}"/>
    <cellStyle name="SAPBEXaggData 7" xfId="44941" xr:uid="{00000000-0005-0000-0000-00001FB00000}"/>
    <cellStyle name="SAPBEXaggData 7 2" xfId="44942" xr:uid="{00000000-0005-0000-0000-000020B00000}"/>
    <cellStyle name="SAPBEXaggData 7 2 2" xfId="44943" xr:uid="{00000000-0005-0000-0000-000021B00000}"/>
    <cellStyle name="SAPBEXaggData 7 3" xfId="44944" xr:uid="{00000000-0005-0000-0000-000022B00000}"/>
    <cellStyle name="SAPBEXaggData 8" xfId="44945" xr:uid="{00000000-0005-0000-0000-000023B00000}"/>
    <cellStyle name="SAPBEXaggData 8 2" xfId="44946" xr:uid="{00000000-0005-0000-0000-000024B00000}"/>
    <cellStyle name="SAPBEXaggData 9" xfId="44947" xr:uid="{00000000-0005-0000-0000-000025B00000}"/>
    <cellStyle name="SAPBEXaggData 9 2" xfId="44948" xr:uid="{00000000-0005-0000-0000-000026B00000}"/>
    <cellStyle name="SAPBEXaggDataEmph" xfId="41" xr:uid="{00000000-0005-0000-0000-000027B00000}"/>
    <cellStyle name="SAPBEXaggDataEmph 10" xfId="44949" xr:uid="{00000000-0005-0000-0000-000028B00000}"/>
    <cellStyle name="SAPBEXaggDataEmph 10 2" xfId="44950" xr:uid="{00000000-0005-0000-0000-000029B00000}"/>
    <cellStyle name="SAPBEXaggDataEmph 11" xfId="44951" xr:uid="{00000000-0005-0000-0000-00002AB00000}"/>
    <cellStyle name="SAPBEXaggDataEmph 11 2" xfId="44952" xr:uid="{00000000-0005-0000-0000-00002BB00000}"/>
    <cellStyle name="SAPBEXaggDataEmph 12" xfId="44953" xr:uid="{00000000-0005-0000-0000-00002CB00000}"/>
    <cellStyle name="SAPBEXaggDataEmph 13" xfId="44954" xr:uid="{00000000-0005-0000-0000-00002DB00000}"/>
    <cellStyle name="SAPBEXaggDataEmph 2" xfId="44955" xr:uid="{00000000-0005-0000-0000-00002EB00000}"/>
    <cellStyle name="SAPBEXaggDataEmph 2 2" xfId="44956" xr:uid="{00000000-0005-0000-0000-00002FB00000}"/>
    <cellStyle name="SAPBEXaggDataEmph 2 2 2" xfId="44957" xr:uid="{00000000-0005-0000-0000-000030B00000}"/>
    <cellStyle name="SAPBEXaggDataEmph 2 2 2 2" xfId="44958" xr:uid="{00000000-0005-0000-0000-000031B00000}"/>
    <cellStyle name="SAPBEXaggDataEmph 2 2 2 2 2" xfId="44959" xr:uid="{00000000-0005-0000-0000-000032B00000}"/>
    <cellStyle name="SAPBEXaggDataEmph 2 2 2 2 2 2" xfId="44960" xr:uid="{00000000-0005-0000-0000-000033B00000}"/>
    <cellStyle name="SAPBEXaggDataEmph 2 2 2 2 3" xfId="44961" xr:uid="{00000000-0005-0000-0000-000034B00000}"/>
    <cellStyle name="SAPBEXaggDataEmph 2 2 2 3" xfId="44962" xr:uid="{00000000-0005-0000-0000-000035B00000}"/>
    <cellStyle name="SAPBEXaggDataEmph 2 2 2 3 2" xfId="44963" xr:uid="{00000000-0005-0000-0000-000036B00000}"/>
    <cellStyle name="SAPBEXaggDataEmph 2 2 2 4" xfId="44964" xr:uid="{00000000-0005-0000-0000-000037B00000}"/>
    <cellStyle name="SAPBEXaggDataEmph 2 2 3" xfId="44965" xr:uid="{00000000-0005-0000-0000-000038B00000}"/>
    <cellStyle name="SAPBEXaggDataEmph 2 2 3 2" xfId="44966" xr:uid="{00000000-0005-0000-0000-000039B00000}"/>
    <cellStyle name="SAPBEXaggDataEmph 2 2 3 2 2" xfId="44967" xr:uid="{00000000-0005-0000-0000-00003AB00000}"/>
    <cellStyle name="SAPBEXaggDataEmph 2 2 3 3" xfId="44968" xr:uid="{00000000-0005-0000-0000-00003BB00000}"/>
    <cellStyle name="SAPBEXaggDataEmph 2 2 4" xfId="44969" xr:uid="{00000000-0005-0000-0000-00003CB00000}"/>
    <cellStyle name="SAPBEXaggDataEmph 2 2 4 2" xfId="44970" xr:uid="{00000000-0005-0000-0000-00003DB00000}"/>
    <cellStyle name="SAPBEXaggDataEmph 2 2 4 2 2" xfId="44971" xr:uid="{00000000-0005-0000-0000-00003EB00000}"/>
    <cellStyle name="SAPBEXaggDataEmph 2 2 4 3" xfId="44972" xr:uid="{00000000-0005-0000-0000-00003FB00000}"/>
    <cellStyle name="SAPBEXaggDataEmph 2 2 5" xfId="44973" xr:uid="{00000000-0005-0000-0000-000040B00000}"/>
    <cellStyle name="SAPBEXaggDataEmph 2 2 5 2" xfId="44974" xr:uid="{00000000-0005-0000-0000-000041B00000}"/>
    <cellStyle name="SAPBEXaggDataEmph 2 2 6" xfId="44975" xr:uid="{00000000-0005-0000-0000-000042B00000}"/>
    <cellStyle name="SAPBEXaggDataEmph 2 3" xfId="44976" xr:uid="{00000000-0005-0000-0000-000043B00000}"/>
    <cellStyle name="SAPBEXaggDataEmph 2 3 2" xfId="44977" xr:uid="{00000000-0005-0000-0000-000044B00000}"/>
    <cellStyle name="SAPBEXaggDataEmph 2 4" xfId="44978" xr:uid="{00000000-0005-0000-0000-000045B00000}"/>
    <cellStyle name="SAPBEXaggDataEmph 2 4 2" xfId="44979" xr:uid="{00000000-0005-0000-0000-000046B00000}"/>
    <cellStyle name="SAPBEXaggDataEmph 2 4 2 2" xfId="44980" xr:uid="{00000000-0005-0000-0000-000047B00000}"/>
    <cellStyle name="SAPBEXaggDataEmph 2 4 3" xfId="44981" xr:uid="{00000000-0005-0000-0000-000048B00000}"/>
    <cellStyle name="SAPBEXaggDataEmph 2 5" xfId="44982" xr:uid="{00000000-0005-0000-0000-000049B00000}"/>
    <cellStyle name="SAPBEXaggDataEmph 2 5 2" xfId="44983" xr:uid="{00000000-0005-0000-0000-00004AB00000}"/>
    <cellStyle name="SAPBEXaggDataEmph 2 5 2 2" xfId="44984" xr:uid="{00000000-0005-0000-0000-00004BB00000}"/>
    <cellStyle name="SAPBEXaggDataEmph 2 5 3" xfId="44985" xr:uid="{00000000-0005-0000-0000-00004CB00000}"/>
    <cellStyle name="SAPBEXaggDataEmph 2 6" xfId="44986" xr:uid="{00000000-0005-0000-0000-00004DB00000}"/>
    <cellStyle name="SAPBEXaggDataEmph 3" xfId="44987" xr:uid="{00000000-0005-0000-0000-00004EB00000}"/>
    <cellStyle name="SAPBEXaggDataEmph 3 2" xfId="44988" xr:uid="{00000000-0005-0000-0000-00004FB00000}"/>
    <cellStyle name="SAPBEXaggDataEmph 3 2 2" xfId="44989" xr:uid="{00000000-0005-0000-0000-000050B00000}"/>
    <cellStyle name="SAPBEXaggDataEmph 3 3" xfId="44990" xr:uid="{00000000-0005-0000-0000-000051B00000}"/>
    <cellStyle name="SAPBEXaggDataEmph 3 3 2" xfId="44991" xr:uid="{00000000-0005-0000-0000-000052B00000}"/>
    <cellStyle name="SAPBEXaggDataEmph 3 3 2 2" xfId="44992" xr:uid="{00000000-0005-0000-0000-000053B00000}"/>
    <cellStyle name="SAPBEXaggDataEmph 3 3 3" xfId="44993" xr:uid="{00000000-0005-0000-0000-000054B00000}"/>
    <cellStyle name="SAPBEXaggDataEmph 3 4" xfId="44994" xr:uid="{00000000-0005-0000-0000-000055B00000}"/>
    <cellStyle name="SAPBEXaggDataEmph 3 4 2" xfId="44995" xr:uid="{00000000-0005-0000-0000-000056B00000}"/>
    <cellStyle name="SAPBEXaggDataEmph 3 4 2 2" xfId="44996" xr:uid="{00000000-0005-0000-0000-000057B00000}"/>
    <cellStyle name="SAPBEXaggDataEmph 3 4 3" xfId="44997" xr:uid="{00000000-0005-0000-0000-000058B00000}"/>
    <cellStyle name="SAPBEXaggDataEmph 3 5" xfId="44998" xr:uid="{00000000-0005-0000-0000-000059B00000}"/>
    <cellStyle name="SAPBEXaggDataEmph 4" xfId="44999" xr:uid="{00000000-0005-0000-0000-00005AB00000}"/>
    <cellStyle name="SAPBEXaggDataEmph 4 2" xfId="45000" xr:uid="{00000000-0005-0000-0000-00005BB00000}"/>
    <cellStyle name="SAPBEXaggDataEmph 4 2 2" xfId="45001" xr:uid="{00000000-0005-0000-0000-00005CB00000}"/>
    <cellStyle name="SAPBEXaggDataEmph 4 2 2 2" xfId="45002" xr:uid="{00000000-0005-0000-0000-00005DB00000}"/>
    <cellStyle name="SAPBEXaggDataEmph 4 2 3" xfId="45003" xr:uid="{00000000-0005-0000-0000-00005EB00000}"/>
    <cellStyle name="SAPBEXaggDataEmph 4 2 3 2" xfId="45004" xr:uid="{00000000-0005-0000-0000-00005FB00000}"/>
    <cellStyle name="SAPBEXaggDataEmph 4 2 3 2 2" xfId="45005" xr:uid="{00000000-0005-0000-0000-000060B00000}"/>
    <cellStyle name="SAPBEXaggDataEmph 4 2 3 3" xfId="45006" xr:uid="{00000000-0005-0000-0000-000061B00000}"/>
    <cellStyle name="SAPBEXaggDataEmph 4 2 4" xfId="45007" xr:uid="{00000000-0005-0000-0000-000062B00000}"/>
    <cellStyle name="SAPBEXaggDataEmph 4 3" xfId="45008" xr:uid="{00000000-0005-0000-0000-000063B00000}"/>
    <cellStyle name="SAPBEXaggDataEmph 4 3 2" xfId="45009" xr:uid="{00000000-0005-0000-0000-000064B00000}"/>
    <cellStyle name="SAPBEXaggDataEmph 4 3 2 2" xfId="45010" xr:uid="{00000000-0005-0000-0000-000065B00000}"/>
    <cellStyle name="SAPBEXaggDataEmph 4 3 3" xfId="45011" xr:uid="{00000000-0005-0000-0000-000066B00000}"/>
    <cellStyle name="SAPBEXaggDataEmph 4 4" xfId="45012" xr:uid="{00000000-0005-0000-0000-000067B00000}"/>
    <cellStyle name="SAPBEXaggDataEmph 4 4 2" xfId="45013" xr:uid="{00000000-0005-0000-0000-000068B00000}"/>
    <cellStyle name="SAPBEXaggDataEmph 4 4 2 2" xfId="45014" xr:uid="{00000000-0005-0000-0000-000069B00000}"/>
    <cellStyle name="SAPBEXaggDataEmph 4 4 3" xfId="45015" xr:uid="{00000000-0005-0000-0000-00006AB00000}"/>
    <cellStyle name="SAPBEXaggDataEmph 4 5" xfId="45016" xr:uid="{00000000-0005-0000-0000-00006BB00000}"/>
    <cellStyle name="SAPBEXaggDataEmph 4 5 2" xfId="45017" xr:uid="{00000000-0005-0000-0000-00006CB00000}"/>
    <cellStyle name="SAPBEXaggDataEmph 4 5 2 2" xfId="45018" xr:uid="{00000000-0005-0000-0000-00006DB00000}"/>
    <cellStyle name="SAPBEXaggDataEmph 4 5 3" xfId="45019" xr:uid="{00000000-0005-0000-0000-00006EB00000}"/>
    <cellStyle name="SAPBEXaggDataEmph 4 6" xfId="45020" xr:uid="{00000000-0005-0000-0000-00006FB00000}"/>
    <cellStyle name="SAPBEXaggDataEmph 5" xfId="45021" xr:uid="{00000000-0005-0000-0000-000070B00000}"/>
    <cellStyle name="SAPBEXaggDataEmph 5 2" xfId="45022" xr:uid="{00000000-0005-0000-0000-000071B00000}"/>
    <cellStyle name="SAPBEXaggDataEmph 5 2 2" xfId="45023" xr:uid="{00000000-0005-0000-0000-000072B00000}"/>
    <cellStyle name="SAPBEXaggDataEmph 5 3" xfId="45024" xr:uid="{00000000-0005-0000-0000-000073B00000}"/>
    <cellStyle name="SAPBEXaggDataEmph 6" xfId="45025" xr:uid="{00000000-0005-0000-0000-000074B00000}"/>
    <cellStyle name="SAPBEXaggDataEmph 6 2" xfId="45026" xr:uid="{00000000-0005-0000-0000-000075B00000}"/>
    <cellStyle name="SAPBEXaggDataEmph 6 2 2" xfId="45027" xr:uid="{00000000-0005-0000-0000-000076B00000}"/>
    <cellStyle name="SAPBEXaggDataEmph 6 3" xfId="45028" xr:uid="{00000000-0005-0000-0000-000077B00000}"/>
    <cellStyle name="SAPBEXaggDataEmph 7" xfId="45029" xr:uid="{00000000-0005-0000-0000-000078B00000}"/>
    <cellStyle name="SAPBEXaggDataEmph 7 2" xfId="45030" xr:uid="{00000000-0005-0000-0000-000079B00000}"/>
    <cellStyle name="SAPBEXaggDataEmph 7 2 2" xfId="45031" xr:uid="{00000000-0005-0000-0000-00007AB00000}"/>
    <cellStyle name="SAPBEXaggDataEmph 7 3" xfId="45032" xr:uid="{00000000-0005-0000-0000-00007BB00000}"/>
    <cellStyle name="SAPBEXaggDataEmph 8" xfId="45033" xr:uid="{00000000-0005-0000-0000-00007CB00000}"/>
    <cellStyle name="SAPBEXaggDataEmph 8 2" xfId="45034" xr:uid="{00000000-0005-0000-0000-00007DB00000}"/>
    <cellStyle name="SAPBEXaggDataEmph 9" xfId="45035" xr:uid="{00000000-0005-0000-0000-00007EB00000}"/>
    <cellStyle name="SAPBEXaggDataEmph 9 2" xfId="45036" xr:uid="{00000000-0005-0000-0000-00007FB00000}"/>
    <cellStyle name="SAPBEXaggItem" xfId="42" xr:uid="{00000000-0005-0000-0000-000080B00000}"/>
    <cellStyle name="SAPBEXaggItem 10" xfId="45037" xr:uid="{00000000-0005-0000-0000-000081B00000}"/>
    <cellStyle name="SAPBEXaggItem 10 2" xfId="45038" xr:uid="{00000000-0005-0000-0000-000082B00000}"/>
    <cellStyle name="SAPBEXaggItem 11" xfId="45039" xr:uid="{00000000-0005-0000-0000-000083B00000}"/>
    <cellStyle name="SAPBEXaggItem 11 2" xfId="45040" xr:uid="{00000000-0005-0000-0000-000084B00000}"/>
    <cellStyle name="SAPBEXaggItem 12" xfId="45041" xr:uid="{00000000-0005-0000-0000-000085B00000}"/>
    <cellStyle name="SAPBEXaggItem 12 2" xfId="45042" xr:uid="{00000000-0005-0000-0000-000086B00000}"/>
    <cellStyle name="SAPBEXaggItem 13" xfId="45043" xr:uid="{00000000-0005-0000-0000-000087B00000}"/>
    <cellStyle name="SAPBEXaggItem 14" xfId="45044" xr:uid="{00000000-0005-0000-0000-000088B00000}"/>
    <cellStyle name="SAPBEXaggItem 2" xfId="45045" xr:uid="{00000000-0005-0000-0000-000089B00000}"/>
    <cellStyle name="SAPBEXaggItem 2 2" xfId="45046" xr:uid="{00000000-0005-0000-0000-00008AB00000}"/>
    <cellStyle name="SAPBEXaggItem 2 2 2" xfId="45047" xr:uid="{00000000-0005-0000-0000-00008BB00000}"/>
    <cellStyle name="SAPBEXaggItem 2 2 2 2" xfId="45048" xr:uid="{00000000-0005-0000-0000-00008CB00000}"/>
    <cellStyle name="SAPBEXaggItem 2 2 2 2 2" xfId="45049" xr:uid="{00000000-0005-0000-0000-00008DB00000}"/>
    <cellStyle name="SAPBEXaggItem 2 2 2 2 2 2" xfId="45050" xr:uid="{00000000-0005-0000-0000-00008EB00000}"/>
    <cellStyle name="SAPBEXaggItem 2 2 2 2 3" xfId="45051" xr:uid="{00000000-0005-0000-0000-00008FB00000}"/>
    <cellStyle name="SAPBEXaggItem 2 2 2 3" xfId="45052" xr:uid="{00000000-0005-0000-0000-000090B00000}"/>
    <cellStyle name="SAPBEXaggItem 2 2 2 3 2" xfId="45053" xr:uid="{00000000-0005-0000-0000-000091B00000}"/>
    <cellStyle name="SAPBEXaggItem 2 2 2 4" xfId="45054" xr:uid="{00000000-0005-0000-0000-000092B00000}"/>
    <cellStyle name="SAPBEXaggItem 2 2 3" xfId="45055" xr:uid="{00000000-0005-0000-0000-000093B00000}"/>
    <cellStyle name="SAPBEXaggItem 2 2 3 2" xfId="45056" xr:uid="{00000000-0005-0000-0000-000094B00000}"/>
    <cellStyle name="SAPBEXaggItem 2 2 3 2 2" xfId="45057" xr:uid="{00000000-0005-0000-0000-000095B00000}"/>
    <cellStyle name="SAPBEXaggItem 2 2 3 3" xfId="45058" xr:uid="{00000000-0005-0000-0000-000096B00000}"/>
    <cellStyle name="SAPBEXaggItem 2 2 4" xfId="45059" xr:uid="{00000000-0005-0000-0000-000097B00000}"/>
    <cellStyle name="SAPBEXaggItem 2 2 4 2" xfId="45060" xr:uid="{00000000-0005-0000-0000-000098B00000}"/>
    <cellStyle name="SAPBEXaggItem 2 2 4 2 2" xfId="45061" xr:uid="{00000000-0005-0000-0000-000099B00000}"/>
    <cellStyle name="SAPBEXaggItem 2 2 4 3" xfId="45062" xr:uid="{00000000-0005-0000-0000-00009AB00000}"/>
    <cellStyle name="SAPBEXaggItem 2 2 5" xfId="45063" xr:uid="{00000000-0005-0000-0000-00009BB00000}"/>
    <cellStyle name="SAPBEXaggItem 2 2 5 2" xfId="45064" xr:uid="{00000000-0005-0000-0000-00009CB00000}"/>
    <cellStyle name="SAPBEXaggItem 2 2 6" xfId="45065" xr:uid="{00000000-0005-0000-0000-00009DB00000}"/>
    <cellStyle name="SAPBEXaggItem 2 3" xfId="45066" xr:uid="{00000000-0005-0000-0000-00009EB00000}"/>
    <cellStyle name="SAPBEXaggItem 2 3 2" xfId="45067" xr:uid="{00000000-0005-0000-0000-00009FB00000}"/>
    <cellStyle name="SAPBEXaggItem 2 4" xfId="45068" xr:uid="{00000000-0005-0000-0000-0000A0B00000}"/>
    <cellStyle name="SAPBEXaggItem 2 4 2" xfId="45069" xr:uid="{00000000-0005-0000-0000-0000A1B00000}"/>
    <cellStyle name="SAPBEXaggItem 2 4 2 2" xfId="45070" xr:uid="{00000000-0005-0000-0000-0000A2B00000}"/>
    <cellStyle name="SAPBEXaggItem 2 4 3" xfId="45071" xr:uid="{00000000-0005-0000-0000-0000A3B00000}"/>
    <cellStyle name="SAPBEXaggItem 2 5" xfId="45072" xr:uid="{00000000-0005-0000-0000-0000A4B00000}"/>
    <cellStyle name="SAPBEXaggItem 2 5 2" xfId="45073" xr:uid="{00000000-0005-0000-0000-0000A5B00000}"/>
    <cellStyle name="SAPBEXaggItem 2 5 2 2" xfId="45074" xr:uid="{00000000-0005-0000-0000-0000A6B00000}"/>
    <cellStyle name="SAPBEXaggItem 2 5 3" xfId="45075" xr:uid="{00000000-0005-0000-0000-0000A7B00000}"/>
    <cellStyle name="SAPBEXaggItem 2 6" xfId="45076" xr:uid="{00000000-0005-0000-0000-0000A8B00000}"/>
    <cellStyle name="SAPBEXaggItem 3" xfId="45077" xr:uid="{00000000-0005-0000-0000-0000A9B00000}"/>
    <cellStyle name="SAPBEXaggItem 3 2" xfId="45078" xr:uid="{00000000-0005-0000-0000-0000AAB00000}"/>
    <cellStyle name="SAPBEXaggItem 3 2 2" xfId="45079" xr:uid="{00000000-0005-0000-0000-0000ABB00000}"/>
    <cellStyle name="SAPBEXaggItem 3 3" xfId="45080" xr:uid="{00000000-0005-0000-0000-0000ACB00000}"/>
    <cellStyle name="SAPBEXaggItem 3 3 2" xfId="45081" xr:uid="{00000000-0005-0000-0000-0000ADB00000}"/>
    <cellStyle name="SAPBEXaggItem 3 3 2 2" xfId="45082" xr:uid="{00000000-0005-0000-0000-0000AEB00000}"/>
    <cellStyle name="SAPBEXaggItem 3 3 3" xfId="45083" xr:uid="{00000000-0005-0000-0000-0000AFB00000}"/>
    <cellStyle name="SAPBEXaggItem 3 4" xfId="45084" xr:uid="{00000000-0005-0000-0000-0000B0B00000}"/>
    <cellStyle name="SAPBEXaggItem 3 4 2" xfId="45085" xr:uid="{00000000-0005-0000-0000-0000B1B00000}"/>
    <cellStyle name="SAPBEXaggItem 3 4 2 2" xfId="45086" xr:uid="{00000000-0005-0000-0000-0000B2B00000}"/>
    <cellStyle name="SAPBEXaggItem 3 4 3" xfId="45087" xr:uid="{00000000-0005-0000-0000-0000B3B00000}"/>
    <cellStyle name="SAPBEXaggItem 3 5" xfId="45088" xr:uid="{00000000-0005-0000-0000-0000B4B00000}"/>
    <cellStyle name="SAPBEXaggItem 4" xfId="45089" xr:uid="{00000000-0005-0000-0000-0000B5B00000}"/>
    <cellStyle name="SAPBEXaggItem 4 2" xfId="45090" xr:uid="{00000000-0005-0000-0000-0000B6B00000}"/>
    <cellStyle name="SAPBEXaggItem 4 2 2" xfId="45091" xr:uid="{00000000-0005-0000-0000-0000B7B00000}"/>
    <cellStyle name="SAPBEXaggItem 4 2 2 2" xfId="45092" xr:uid="{00000000-0005-0000-0000-0000B8B00000}"/>
    <cellStyle name="SAPBEXaggItem 4 2 3" xfId="45093" xr:uid="{00000000-0005-0000-0000-0000B9B00000}"/>
    <cellStyle name="SAPBEXaggItem 4 2 3 2" xfId="45094" xr:uid="{00000000-0005-0000-0000-0000BAB00000}"/>
    <cellStyle name="SAPBEXaggItem 4 2 3 2 2" xfId="45095" xr:uid="{00000000-0005-0000-0000-0000BBB00000}"/>
    <cellStyle name="SAPBEXaggItem 4 2 3 3" xfId="45096" xr:uid="{00000000-0005-0000-0000-0000BCB00000}"/>
    <cellStyle name="SAPBEXaggItem 4 2 4" xfId="45097" xr:uid="{00000000-0005-0000-0000-0000BDB00000}"/>
    <cellStyle name="SAPBEXaggItem 4 3" xfId="45098" xr:uid="{00000000-0005-0000-0000-0000BEB00000}"/>
    <cellStyle name="SAPBEXaggItem 4 3 2" xfId="45099" xr:uid="{00000000-0005-0000-0000-0000BFB00000}"/>
    <cellStyle name="SAPBEXaggItem 4 3 2 2" xfId="45100" xr:uid="{00000000-0005-0000-0000-0000C0B00000}"/>
    <cellStyle name="SAPBEXaggItem 4 3 3" xfId="45101" xr:uid="{00000000-0005-0000-0000-0000C1B00000}"/>
    <cellStyle name="SAPBEXaggItem 4 4" xfId="45102" xr:uid="{00000000-0005-0000-0000-0000C2B00000}"/>
    <cellStyle name="SAPBEXaggItem 4 4 2" xfId="45103" xr:uid="{00000000-0005-0000-0000-0000C3B00000}"/>
    <cellStyle name="SAPBEXaggItem 4 4 2 2" xfId="45104" xr:uid="{00000000-0005-0000-0000-0000C4B00000}"/>
    <cellStyle name="SAPBEXaggItem 4 4 3" xfId="45105" xr:uid="{00000000-0005-0000-0000-0000C5B00000}"/>
    <cellStyle name="SAPBEXaggItem 4 5" xfId="45106" xr:uid="{00000000-0005-0000-0000-0000C6B00000}"/>
    <cellStyle name="SAPBEXaggItem 4 5 2" xfId="45107" xr:uid="{00000000-0005-0000-0000-0000C7B00000}"/>
    <cellStyle name="SAPBEXaggItem 4 5 2 2" xfId="45108" xr:uid="{00000000-0005-0000-0000-0000C8B00000}"/>
    <cellStyle name="SAPBEXaggItem 4 5 3" xfId="45109" xr:uid="{00000000-0005-0000-0000-0000C9B00000}"/>
    <cellStyle name="SAPBEXaggItem 4 6" xfId="45110" xr:uid="{00000000-0005-0000-0000-0000CAB00000}"/>
    <cellStyle name="SAPBEXaggItem 5" xfId="45111" xr:uid="{00000000-0005-0000-0000-0000CBB00000}"/>
    <cellStyle name="SAPBEXaggItem 5 2" xfId="45112" xr:uid="{00000000-0005-0000-0000-0000CCB00000}"/>
    <cellStyle name="SAPBEXaggItem 5 2 2" xfId="45113" xr:uid="{00000000-0005-0000-0000-0000CDB00000}"/>
    <cellStyle name="SAPBEXaggItem 5 3" xfId="45114" xr:uid="{00000000-0005-0000-0000-0000CEB00000}"/>
    <cellStyle name="SAPBEXaggItem 6" xfId="45115" xr:uid="{00000000-0005-0000-0000-0000CFB00000}"/>
    <cellStyle name="SAPBEXaggItem 6 2" xfId="45116" xr:uid="{00000000-0005-0000-0000-0000D0B00000}"/>
    <cellStyle name="SAPBEXaggItem 6 2 2" xfId="45117" xr:uid="{00000000-0005-0000-0000-0000D1B00000}"/>
    <cellStyle name="SAPBEXaggItem 6 3" xfId="45118" xr:uid="{00000000-0005-0000-0000-0000D2B00000}"/>
    <cellStyle name="SAPBEXaggItem 7" xfId="45119" xr:uid="{00000000-0005-0000-0000-0000D3B00000}"/>
    <cellStyle name="SAPBEXaggItem 7 2" xfId="45120" xr:uid="{00000000-0005-0000-0000-0000D4B00000}"/>
    <cellStyle name="SAPBEXaggItem 7 2 2" xfId="45121" xr:uid="{00000000-0005-0000-0000-0000D5B00000}"/>
    <cellStyle name="SAPBEXaggItem 7 3" xfId="45122" xr:uid="{00000000-0005-0000-0000-0000D6B00000}"/>
    <cellStyle name="SAPBEXaggItem 8" xfId="45123" xr:uid="{00000000-0005-0000-0000-0000D7B00000}"/>
    <cellStyle name="SAPBEXaggItem 8 2" xfId="45124" xr:uid="{00000000-0005-0000-0000-0000D8B00000}"/>
    <cellStyle name="SAPBEXaggItem 9" xfId="45125" xr:uid="{00000000-0005-0000-0000-0000D9B00000}"/>
    <cellStyle name="SAPBEXaggItem 9 2" xfId="45126" xr:uid="{00000000-0005-0000-0000-0000DAB00000}"/>
    <cellStyle name="SAPBEXaggItemX" xfId="43" xr:uid="{00000000-0005-0000-0000-0000DBB00000}"/>
    <cellStyle name="SAPBEXaggItemX 10" xfId="45127" xr:uid="{00000000-0005-0000-0000-0000DCB00000}"/>
    <cellStyle name="SAPBEXaggItemX 10 2" xfId="45128" xr:uid="{00000000-0005-0000-0000-0000DDB00000}"/>
    <cellStyle name="SAPBEXaggItemX 10 2 2" xfId="45129" xr:uid="{00000000-0005-0000-0000-0000DEB00000}"/>
    <cellStyle name="SAPBEXaggItemX 10 3" xfId="45130" xr:uid="{00000000-0005-0000-0000-0000DFB00000}"/>
    <cellStyle name="SAPBEXaggItemX 11" xfId="45131" xr:uid="{00000000-0005-0000-0000-0000E0B00000}"/>
    <cellStyle name="SAPBEXaggItemX 11 2" xfId="45132" xr:uid="{00000000-0005-0000-0000-0000E1B00000}"/>
    <cellStyle name="SAPBEXaggItemX 12" xfId="45133" xr:uid="{00000000-0005-0000-0000-0000E2B00000}"/>
    <cellStyle name="SAPBEXaggItemX 12 2" xfId="45134" xr:uid="{00000000-0005-0000-0000-0000E3B00000}"/>
    <cellStyle name="SAPBEXaggItemX 12 2 2" xfId="45135" xr:uid="{00000000-0005-0000-0000-0000E4B00000}"/>
    <cellStyle name="SAPBEXaggItemX 12 3" xfId="45136" xr:uid="{00000000-0005-0000-0000-0000E5B00000}"/>
    <cellStyle name="SAPBEXaggItemX 12 3 2" xfId="45137" xr:uid="{00000000-0005-0000-0000-0000E6B00000}"/>
    <cellStyle name="SAPBEXaggItemX 12 4" xfId="45138" xr:uid="{00000000-0005-0000-0000-0000E7B00000}"/>
    <cellStyle name="SAPBEXaggItemX 13" xfId="45139" xr:uid="{00000000-0005-0000-0000-0000E8B00000}"/>
    <cellStyle name="SAPBEXaggItemX 13 2" xfId="45140" xr:uid="{00000000-0005-0000-0000-0000E9B00000}"/>
    <cellStyle name="SAPBEXaggItemX 14" xfId="45141" xr:uid="{00000000-0005-0000-0000-0000EAB00000}"/>
    <cellStyle name="SAPBEXaggItemX 14 2" xfId="45142" xr:uid="{00000000-0005-0000-0000-0000EBB00000}"/>
    <cellStyle name="SAPBEXaggItemX 15" xfId="45143" xr:uid="{00000000-0005-0000-0000-0000ECB00000}"/>
    <cellStyle name="SAPBEXaggItemX 15 2" xfId="45144" xr:uid="{00000000-0005-0000-0000-0000EDB00000}"/>
    <cellStyle name="SAPBEXaggItemX 16" xfId="45145" xr:uid="{00000000-0005-0000-0000-0000EEB00000}"/>
    <cellStyle name="SAPBEXaggItemX 17" xfId="45146" xr:uid="{00000000-0005-0000-0000-0000EFB00000}"/>
    <cellStyle name="SAPBEXaggItemX 2" xfId="45147" xr:uid="{00000000-0005-0000-0000-0000F0B00000}"/>
    <cellStyle name="SAPBEXaggItemX 2 2" xfId="45148" xr:uid="{00000000-0005-0000-0000-0000F1B00000}"/>
    <cellStyle name="SAPBEXaggItemX 2 2 2" xfId="45149" xr:uid="{00000000-0005-0000-0000-0000F2B00000}"/>
    <cellStyle name="SAPBEXaggItemX 2 2 2 2" xfId="45150" xr:uid="{00000000-0005-0000-0000-0000F3B00000}"/>
    <cellStyle name="SAPBEXaggItemX 2 2 2 2 2" xfId="45151" xr:uid="{00000000-0005-0000-0000-0000F4B00000}"/>
    <cellStyle name="SAPBEXaggItemX 2 2 2 3" xfId="45152" xr:uid="{00000000-0005-0000-0000-0000F5B00000}"/>
    <cellStyle name="SAPBEXaggItemX 2 2 3" xfId="45153" xr:uid="{00000000-0005-0000-0000-0000F6B00000}"/>
    <cellStyle name="SAPBEXaggItemX 2 2 3 2" xfId="45154" xr:uid="{00000000-0005-0000-0000-0000F7B00000}"/>
    <cellStyle name="SAPBEXaggItemX 2 2 3 2 2" xfId="45155" xr:uid="{00000000-0005-0000-0000-0000F8B00000}"/>
    <cellStyle name="SAPBEXaggItemX 2 2 3 3" xfId="45156" xr:uid="{00000000-0005-0000-0000-0000F9B00000}"/>
    <cellStyle name="SAPBEXaggItemX 2 2 4" xfId="45157" xr:uid="{00000000-0005-0000-0000-0000FAB00000}"/>
    <cellStyle name="SAPBEXaggItemX 2 2 4 2" xfId="45158" xr:uid="{00000000-0005-0000-0000-0000FBB00000}"/>
    <cellStyle name="SAPBEXaggItemX 2 2 4 2 2" xfId="45159" xr:uid="{00000000-0005-0000-0000-0000FCB00000}"/>
    <cellStyle name="SAPBEXaggItemX 2 2 4 3" xfId="45160" xr:uid="{00000000-0005-0000-0000-0000FDB00000}"/>
    <cellStyle name="SAPBEXaggItemX 2 2 5" xfId="45161" xr:uid="{00000000-0005-0000-0000-0000FEB00000}"/>
    <cellStyle name="SAPBEXaggItemX 2 2 5 2" xfId="45162" xr:uid="{00000000-0005-0000-0000-0000FFB00000}"/>
    <cellStyle name="SAPBEXaggItemX 2 2 6" xfId="45163" xr:uid="{00000000-0005-0000-0000-000000B10000}"/>
    <cellStyle name="SAPBEXaggItemX 2 3" xfId="45164" xr:uid="{00000000-0005-0000-0000-000001B10000}"/>
    <cellStyle name="SAPBEXaggItemX 2 3 2" xfId="45165" xr:uid="{00000000-0005-0000-0000-000002B10000}"/>
    <cellStyle name="SAPBEXaggItemX 2 3 2 2" xfId="45166" xr:uid="{00000000-0005-0000-0000-000003B10000}"/>
    <cellStyle name="SAPBEXaggItemX 2 3 2 2 2" xfId="45167" xr:uid="{00000000-0005-0000-0000-000004B10000}"/>
    <cellStyle name="SAPBEXaggItemX 2 3 2 2 2 2" xfId="45168" xr:uid="{00000000-0005-0000-0000-000005B10000}"/>
    <cellStyle name="SAPBEXaggItemX 2 3 2 2 3" xfId="45169" xr:uid="{00000000-0005-0000-0000-000006B10000}"/>
    <cellStyle name="SAPBEXaggItemX 2 3 2 3" xfId="45170" xr:uid="{00000000-0005-0000-0000-000007B10000}"/>
    <cellStyle name="SAPBEXaggItemX 2 3 2 3 2" xfId="45171" xr:uid="{00000000-0005-0000-0000-000008B10000}"/>
    <cellStyle name="SAPBEXaggItemX 2 3 2 3 2 2" xfId="45172" xr:uid="{00000000-0005-0000-0000-000009B10000}"/>
    <cellStyle name="SAPBEXaggItemX 2 3 2 3 3" xfId="45173" xr:uid="{00000000-0005-0000-0000-00000AB10000}"/>
    <cellStyle name="SAPBEXaggItemX 2 3 2 4" xfId="45174" xr:uid="{00000000-0005-0000-0000-00000BB10000}"/>
    <cellStyle name="SAPBEXaggItemX 2 3 2 4 2" xfId="45175" xr:uid="{00000000-0005-0000-0000-00000CB10000}"/>
    <cellStyle name="SAPBEXaggItemX 2 3 2 5" xfId="45176" xr:uid="{00000000-0005-0000-0000-00000DB10000}"/>
    <cellStyle name="SAPBEXaggItemX 2 3 3" xfId="45177" xr:uid="{00000000-0005-0000-0000-00000EB10000}"/>
    <cellStyle name="SAPBEXaggItemX 2 3 3 2" xfId="45178" xr:uid="{00000000-0005-0000-0000-00000FB10000}"/>
    <cellStyle name="SAPBEXaggItemX 2 3 3 2 2" xfId="45179" xr:uid="{00000000-0005-0000-0000-000010B10000}"/>
    <cellStyle name="SAPBEXaggItemX 2 3 3 2 2 2" xfId="45180" xr:uid="{00000000-0005-0000-0000-000011B10000}"/>
    <cellStyle name="SAPBEXaggItemX 2 3 3 2 3" xfId="45181" xr:uid="{00000000-0005-0000-0000-000012B10000}"/>
    <cellStyle name="SAPBEXaggItemX 2 3 3 3" xfId="45182" xr:uid="{00000000-0005-0000-0000-000013B10000}"/>
    <cellStyle name="SAPBEXaggItemX 2 3 3 3 2" xfId="45183" xr:uid="{00000000-0005-0000-0000-000014B10000}"/>
    <cellStyle name="SAPBEXaggItemX 2 3 3 4" xfId="45184" xr:uid="{00000000-0005-0000-0000-000015B10000}"/>
    <cellStyle name="SAPBEXaggItemX 2 3 4" xfId="45185" xr:uid="{00000000-0005-0000-0000-000016B10000}"/>
    <cellStyle name="SAPBEXaggItemX 2 3 4 2" xfId="45186" xr:uid="{00000000-0005-0000-0000-000017B10000}"/>
    <cellStyle name="SAPBEXaggItemX 2 3 4 2 2" xfId="45187" xr:uid="{00000000-0005-0000-0000-000018B10000}"/>
    <cellStyle name="SAPBEXaggItemX 2 3 4 3" xfId="45188" xr:uid="{00000000-0005-0000-0000-000019B10000}"/>
    <cellStyle name="SAPBEXaggItemX 2 3 5" xfId="45189" xr:uid="{00000000-0005-0000-0000-00001AB10000}"/>
    <cellStyle name="SAPBEXaggItemX 2 3 5 2" xfId="45190" xr:uid="{00000000-0005-0000-0000-00001BB10000}"/>
    <cellStyle name="SAPBEXaggItemX 2 3 5 2 2" xfId="45191" xr:uid="{00000000-0005-0000-0000-00001CB10000}"/>
    <cellStyle name="SAPBEXaggItemX 2 3 5 3" xfId="45192" xr:uid="{00000000-0005-0000-0000-00001DB10000}"/>
    <cellStyle name="SAPBEXaggItemX 2 3 6" xfId="45193" xr:uid="{00000000-0005-0000-0000-00001EB10000}"/>
    <cellStyle name="SAPBEXaggItemX 2 3 6 2" xfId="45194" xr:uid="{00000000-0005-0000-0000-00001FB10000}"/>
    <cellStyle name="SAPBEXaggItemX 2 3 7" xfId="45195" xr:uid="{00000000-0005-0000-0000-000020B10000}"/>
    <cellStyle name="SAPBEXaggItemX 2 4" xfId="45196" xr:uid="{00000000-0005-0000-0000-000021B10000}"/>
    <cellStyle name="SAPBEXaggItemX 2 4 2" xfId="45197" xr:uid="{00000000-0005-0000-0000-000022B10000}"/>
    <cellStyle name="SAPBEXaggItemX 2 4 2 2" xfId="45198" xr:uid="{00000000-0005-0000-0000-000023B10000}"/>
    <cellStyle name="SAPBEXaggItemX 2 4 2 2 2" xfId="45199" xr:uid="{00000000-0005-0000-0000-000024B10000}"/>
    <cellStyle name="SAPBEXaggItemX 2 4 2 2 2 2" xfId="45200" xr:uid="{00000000-0005-0000-0000-000025B10000}"/>
    <cellStyle name="SAPBEXaggItemX 2 4 2 2 3" xfId="45201" xr:uid="{00000000-0005-0000-0000-000026B10000}"/>
    <cellStyle name="SAPBEXaggItemX 2 4 2 3" xfId="45202" xr:uid="{00000000-0005-0000-0000-000027B10000}"/>
    <cellStyle name="SAPBEXaggItemX 2 4 2 3 2" xfId="45203" xr:uid="{00000000-0005-0000-0000-000028B10000}"/>
    <cellStyle name="SAPBEXaggItemX 2 4 2 3 2 2" xfId="45204" xr:uid="{00000000-0005-0000-0000-000029B10000}"/>
    <cellStyle name="SAPBEXaggItemX 2 4 2 3 3" xfId="45205" xr:uid="{00000000-0005-0000-0000-00002AB10000}"/>
    <cellStyle name="SAPBEXaggItemX 2 4 2 4" xfId="45206" xr:uid="{00000000-0005-0000-0000-00002BB10000}"/>
    <cellStyle name="SAPBEXaggItemX 2 4 2 4 2" xfId="45207" xr:uid="{00000000-0005-0000-0000-00002CB10000}"/>
    <cellStyle name="SAPBEXaggItemX 2 4 2 5" xfId="45208" xr:uid="{00000000-0005-0000-0000-00002DB10000}"/>
    <cellStyle name="SAPBEXaggItemX 2 4 3" xfId="45209" xr:uid="{00000000-0005-0000-0000-00002EB10000}"/>
    <cellStyle name="SAPBEXaggItemX 2 4 3 2" xfId="45210" xr:uid="{00000000-0005-0000-0000-00002FB10000}"/>
    <cellStyle name="SAPBEXaggItemX 2 4 3 2 2" xfId="45211" xr:uid="{00000000-0005-0000-0000-000030B10000}"/>
    <cellStyle name="SAPBEXaggItemX 2 4 3 2 2 2" xfId="45212" xr:uid="{00000000-0005-0000-0000-000031B10000}"/>
    <cellStyle name="SAPBEXaggItemX 2 4 3 2 3" xfId="45213" xr:uid="{00000000-0005-0000-0000-000032B10000}"/>
    <cellStyle name="SAPBEXaggItemX 2 4 3 3" xfId="45214" xr:uid="{00000000-0005-0000-0000-000033B10000}"/>
    <cellStyle name="SAPBEXaggItemX 2 4 3 3 2" xfId="45215" xr:uid="{00000000-0005-0000-0000-000034B10000}"/>
    <cellStyle name="SAPBEXaggItemX 2 4 3 4" xfId="45216" xr:uid="{00000000-0005-0000-0000-000035B10000}"/>
    <cellStyle name="SAPBEXaggItemX 2 4 4" xfId="45217" xr:uid="{00000000-0005-0000-0000-000036B10000}"/>
    <cellStyle name="SAPBEXaggItemX 2 4 4 2" xfId="45218" xr:uid="{00000000-0005-0000-0000-000037B10000}"/>
    <cellStyle name="SAPBEXaggItemX 2 4 4 2 2" xfId="45219" xr:uid="{00000000-0005-0000-0000-000038B10000}"/>
    <cellStyle name="SAPBEXaggItemX 2 4 4 3" xfId="45220" xr:uid="{00000000-0005-0000-0000-000039B10000}"/>
    <cellStyle name="SAPBEXaggItemX 2 4 5" xfId="45221" xr:uid="{00000000-0005-0000-0000-00003AB10000}"/>
    <cellStyle name="SAPBEXaggItemX 2 4 5 2" xfId="45222" xr:uid="{00000000-0005-0000-0000-00003BB10000}"/>
    <cellStyle name="SAPBEXaggItemX 2 4 6" xfId="45223" xr:uid="{00000000-0005-0000-0000-00003CB10000}"/>
    <cellStyle name="SAPBEXaggItemX 2 5" xfId="45224" xr:uid="{00000000-0005-0000-0000-00003DB10000}"/>
    <cellStyle name="SAPBEXaggItemX 2 5 2" xfId="45225" xr:uid="{00000000-0005-0000-0000-00003EB10000}"/>
    <cellStyle name="SAPBEXaggItemX 2 5 2 2" xfId="45226" xr:uid="{00000000-0005-0000-0000-00003FB10000}"/>
    <cellStyle name="SAPBEXaggItemX 2 5 2 2 2" xfId="45227" xr:uid="{00000000-0005-0000-0000-000040B10000}"/>
    <cellStyle name="SAPBEXaggItemX 2 5 2 3" xfId="45228" xr:uid="{00000000-0005-0000-0000-000041B10000}"/>
    <cellStyle name="SAPBEXaggItemX 2 5 3" xfId="45229" xr:uid="{00000000-0005-0000-0000-000042B10000}"/>
    <cellStyle name="SAPBEXaggItemX 2 5 3 2" xfId="45230" xr:uid="{00000000-0005-0000-0000-000043B10000}"/>
    <cellStyle name="SAPBEXaggItemX 2 5 4" xfId="45231" xr:uid="{00000000-0005-0000-0000-000044B10000}"/>
    <cellStyle name="SAPBEXaggItemX 2 6" xfId="45232" xr:uid="{00000000-0005-0000-0000-000045B10000}"/>
    <cellStyle name="SAPBEXaggItemX 2 6 2" xfId="45233" xr:uid="{00000000-0005-0000-0000-000046B10000}"/>
    <cellStyle name="SAPBEXaggItemX 2 6 2 2" xfId="45234" xr:uid="{00000000-0005-0000-0000-000047B10000}"/>
    <cellStyle name="SAPBEXaggItemX 2 6 3" xfId="45235" xr:uid="{00000000-0005-0000-0000-000048B10000}"/>
    <cellStyle name="SAPBEXaggItemX 2 7" xfId="45236" xr:uid="{00000000-0005-0000-0000-000049B10000}"/>
    <cellStyle name="SAPBEXaggItemX 2 7 2" xfId="45237" xr:uid="{00000000-0005-0000-0000-00004AB10000}"/>
    <cellStyle name="SAPBEXaggItemX 2 7 2 2" xfId="45238" xr:uid="{00000000-0005-0000-0000-00004BB10000}"/>
    <cellStyle name="SAPBEXaggItemX 2 7 3" xfId="45239" xr:uid="{00000000-0005-0000-0000-00004CB10000}"/>
    <cellStyle name="SAPBEXaggItemX 2 8" xfId="45240" xr:uid="{00000000-0005-0000-0000-00004DB10000}"/>
    <cellStyle name="SAPBEXaggItemX 2 8 2" xfId="45241" xr:uid="{00000000-0005-0000-0000-00004EB10000}"/>
    <cellStyle name="SAPBEXaggItemX 2 9" xfId="45242" xr:uid="{00000000-0005-0000-0000-00004FB10000}"/>
    <cellStyle name="SAPBEXaggItemX 3" xfId="45243" xr:uid="{00000000-0005-0000-0000-000050B10000}"/>
    <cellStyle name="SAPBEXaggItemX 3 2" xfId="45244" xr:uid="{00000000-0005-0000-0000-000051B10000}"/>
    <cellStyle name="SAPBEXaggItemX 3 2 2" xfId="45245" xr:uid="{00000000-0005-0000-0000-000052B10000}"/>
    <cellStyle name="SAPBEXaggItemX 3 2 2 2" xfId="45246" xr:uid="{00000000-0005-0000-0000-000053B10000}"/>
    <cellStyle name="SAPBEXaggItemX 3 2 2 2 2" xfId="45247" xr:uid="{00000000-0005-0000-0000-000054B10000}"/>
    <cellStyle name="SAPBEXaggItemX 3 2 2 3" xfId="45248" xr:uid="{00000000-0005-0000-0000-000055B10000}"/>
    <cellStyle name="SAPBEXaggItemX 3 2 3" xfId="45249" xr:uid="{00000000-0005-0000-0000-000056B10000}"/>
    <cellStyle name="SAPBEXaggItemX 3 2 3 2" xfId="45250" xr:uid="{00000000-0005-0000-0000-000057B10000}"/>
    <cellStyle name="SAPBEXaggItemX 3 2 3 2 2" xfId="45251" xr:uid="{00000000-0005-0000-0000-000058B10000}"/>
    <cellStyle name="SAPBEXaggItemX 3 2 3 3" xfId="45252" xr:uid="{00000000-0005-0000-0000-000059B10000}"/>
    <cellStyle name="SAPBEXaggItemX 3 2 4" xfId="45253" xr:uid="{00000000-0005-0000-0000-00005AB10000}"/>
    <cellStyle name="SAPBEXaggItemX 3 2 4 2" xfId="45254" xr:uid="{00000000-0005-0000-0000-00005BB10000}"/>
    <cellStyle name="SAPBEXaggItemX 3 2 4 2 2" xfId="45255" xr:uid="{00000000-0005-0000-0000-00005CB10000}"/>
    <cellStyle name="SAPBEXaggItemX 3 2 4 3" xfId="45256" xr:uid="{00000000-0005-0000-0000-00005DB10000}"/>
    <cellStyle name="SAPBEXaggItemX 3 2 5" xfId="45257" xr:uid="{00000000-0005-0000-0000-00005EB10000}"/>
    <cellStyle name="SAPBEXaggItemX 3 2 5 2" xfId="45258" xr:uid="{00000000-0005-0000-0000-00005FB10000}"/>
    <cellStyle name="SAPBEXaggItemX 3 2 6" xfId="45259" xr:uid="{00000000-0005-0000-0000-000060B10000}"/>
    <cellStyle name="SAPBEXaggItemX 3 3" xfId="45260" xr:uid="{00000000-0005-0000-0000-000061B10000}"/>
    <cellStyle name="SAPBEXaggItemX 3 3 2" xfId="45261" xr:uid="{00000000-0005-0000-0000-000062B10000}"/>
    <cellStyle name="SAPBEXaggItemX 3 3 2 2" xfId="45262" xr:uid="{00000000-0005-0000-0000-000063B10000}"/>
    <cellStyle name="SAPBEXaggItemX 3 3 2 2 2" xfId="45263" xr:uid="{00000000-0005-0000-0000-000064B10000}"/>
    <cellStyle name="SAPBEXaggItemX 3 3 2 3" xfId="45264" xr:uid="{00000000-0005-0000-0000-000065B10000}"/>
    <cellStyle name="SAPBEXaggItemX 3 3 3" xfId="45265" xr:uid="{00000000-0005-0000-0000-000066B10000}"/>
    <cellStyle name="SAPBEXaggItemX 3 3 3 2" xfId="45266" xr:uid="{00000000-0005-0000-0000-000067B10000}"/>
    <cellStyle name="SAPBEXaggItemX 3 3 4" xfId="45267" xr:uid="{00000000-0005-0000-0000-000068B10000}"/>
    <cellStyle name="SAPBEXaggItemX 3 4" xfId="45268" xr:uid="{00000000-0005-0000-0000-000069B10000}"/>
    <cellStyle name="SAPBEXaggItemX 3 4 2" xfId="45269" xr:uid="{00000000-0005-0000-0000-00006AB10000}"/>
    <cellStyle name="SAPBEXaggItemX 3 4 2 2" xfId="45270" xr:uid="{00000000-0005-0000-0000-00006BB10000}"/>
    <cellStyle name="SAPBEXaggItemX 3 4 3" xfId="45271" xr:uid="{00000000-0005-0000-0000-00006CB10000}"/>
    <cellStyle name="SAPBEXaggItemX 3 5" xfId="45272" xr:uid="{00000000-0005-0000-0000-00006DB10000}"/>
    <cellStyle name="SAPBEXaggItemX 3 5 2" xfId="45273" xr:uid="{00000000-0005-0000-0000-00006EB10000}"/>
    <cellStyle name="SAPBEXaggItemX 3 5 2 2" xfId="45274" xr:uid="{00000000-0005-0000-0000-00006FB10000}"/>
    <cellStyle name="SAPBEXaggItemX 3 5 3" xfId="45275" xr:uid="{00000000-0005-0000-0000-000070B10000}"/>
    <cellStyle name="SAPBEXaggItemX 3 6" xfId="45276" xr:uid="{00000000-0005-0000-0000-000071B10000}"/>
    <cellStyle name="SAPBEXaggItemX 3 6 2" xfId="45277" xr:uid="{00000000-0005-0000-0000-000072B10000}"/>
    <cellStyle name="SAPBEXaggItemX 3 7" xfId="45278" xr:uid="{00000000-0005-0000-0000-000073B10000}"/>
    <cellStyle name="SAPBEXaggItemX 4" xfId="45279" xr:uid="{00000000-0005-0000-0000-000074B10000}"/>
    <cellStyle name="SAPBEXaggItemX 4 2" xfId="45280" xr:uid="{00000000-0005-0000-0000-000075B10000}"/>
    <cellStyle name="SAPBEXaggItemX 4 2 2" xfId="45281" xr:uid="{00000000-0005-0000-0000-000076B10000}"/>
    <cellStyle name="SAPBEXaggItemX 4 2 2 2" xfId="45282" xr:uid="{00000000-0005-0000-0000-000077B10000}"/>
    <cellStyle name="SAPBEXaggItemX 4 2 2 2 2" xfId="45283" xr:uid="{00000000-0005-0000-0000-000078B10000}"/>
    <cellStyle name="SAPBEXaggItemX 4 2 2 3" xfId="45284" xr:uid="{00000000-0005-0000-0000-000079B10000}"/>
    <cellStyle name="SAPBEXaggItemX 4 2 3" xfId="45285" xr:uid="{00000000-0005-0000-0000-00007AB10000}"/>
    <cellStyle name="SAPBEXaggItemX 4 2 3 2" xfId="45286" xr:uid="{00000000-0005-0000-0000-00007BB10000}"/>
    <cellStyle name="SAPBEXaggItemX 4 2 3 2 2" xfId="45287" xr:uid="{00000000-0005-0000-0000-00007CB10000}"/>
    <cellStyle name="SAPBEXaggItemX 4 2 3 3" xfId="45288" xr:uid="{00000000-0005-0000-0000-00007DB10000}"/>
    <cellStyle name="SAPBEXaggItemX 4 2 4" xfId="45289" xr:uid="{00000000-0005-0000-0000-00007EB10000}"/>
    <cellStyle name="SAPBEXaggItemX 4 2 4 2" xfId="45290" xr:uid="{00000000-0005-0000-0000-00007FB10000}"/>
    <cellStyle name="SAPBEXaggItemX 4 2 4 2 2" xfId="45291" xr:uid="{00000000-0005-0000-0000-000080B10000}"/>
    <cellStyle name="SAPBEXaggItemX 4 2 4 3" xfId="45292" xr:uid="{00000000-0005-0000-0000-000081B10000}"/>
    <cellStyle name="SAPBEXaggItemX 4 2 5" xfId="45293" xr:uid="{00000000-0005-0000-0000-000082B10000}"/>
    <cellStyle name="SAPBEXaggItemX 4 2 5 2" xfId="45294" xr:uid="{00000000-0005-0000-0000-000083B10000}"/>
    <cellStyle name="SAPBEXaggItemX 4 2 6" xfId="45295" xr:uid="{00000000-0005-0000-0000-000084B10000}"/>
    <cellStyle name="SAPBEXaggItemX 4 3" xfId="45296" xr:uid="{00000000-0005-0000-0000-000085B10000}"/>
    <cellStyle name="SAPBEXaggItemX 4 3 2" xfId="45297" xr:uid="{00000000-0005-0000-0000-000086B10000}"/>
    <cellStyle name="SAPBEXaggItemX 4 3 2 2" xfId="45298" xr:uid="{00000000-0005-0000-0000-000087B10000}"/>
    <cellStyle name="SAPBEXaggItemX 4 3 2 2 2" xfId="45299" xr:uid="{00000000-0005-0000-0000-000088B10000}"/>
    <cellStyle name="SAPBEXaggItemX 4 3 2 2 2 2" xfId="45300" xr:uid="{00000000-0005-0000-0000-000089B10000}"/>
    <cellStyle name="SAPBEXaggItemX 4 3 2 2 3" xfId="45301" xr:uid="{00000000-0005-0000-0000-00008AB10000}"/>
    <cellStyle name="SAPBEXaggItemX 4 3 2 3" xfId="45302" xr:uid="{00000000-0005-0000-0000-00008BB10000}"/>
    <cellStyle name="SAPBEXaggItemX 4 3 2 3 2" xfId="45303" xr:uid="{00000000-0005-0000-0000-00008CB10000}"/>
    <cellStyle name="SAPBEXaggItemX 4 3 2 3 2 2" xfId="45304" xr:uid="{00000000-0005-0000-0000-00008DB10000}"/>
    <cellStyle name="SAPBEXaggItemX 4 3 2 3 3" xfId="45305" xr:uid="{00000000-0005-0000-0000-00008EB10000}"/>
    <cellStyle name="SAPBEXaggItemX 4 3 2 4" xfId="45306" xr:uid="{00000000-0005-0000-0000-00008FB10000}"/>
    <cellStyle name="SAPBEXaggItemX 4 3 2 4 2" xfId="45307" xr:uid="{00000000-0005-0000-0000-000090B10000}"/>
    <cellStyle name="SAPBEXaggItemX 4 3 2 5" xfId="45308" xr:uid="{00000000-0005-0000-0000-000091B10000}"/>
    <cellStyle name="SAPBEXaggItemX 4 3 3" xfId="45309" xr:uid="{00000000-0005-0000-0000-000092B10000}"/>
    <cellStyle name="SAPBEXaggItemX 4 3 3 2" xfId="45310" xr:uid="{00000000-0005-0000-0000-000093B10000}"/>
    <cellStyle name="SAPBEXaggItemX 4 3 3 2 2" xfId="45311" xr:uid="{00000000-0005-0000-0000-000094B10000}"/>
    <cellStyle name="SAPBEXaggItemX 4 3 3 2 2 2" xfId="45312" xr:uid="{00000000-0005-0000-0000-000095B10000}"/>
    <cellStyle name="SAPBEXaggItemX 4 3 3 2 3" xfId="45313" xr:uid="{00000000-0005-0000-0000-000096B10000}"/>
    <cellStyle name="SAPBEXaggItemX 4 3 3 3" xfId="45314" xr:uid="{00000000-0005-0000-0000-000097B10000}"/>
    <cellStyle name="SAPBEXaggItemX 4 3 3 3 2" xfId="45315" xr:uid="{00000000-0005-0000-0000-000098B10000}"/>
    <cellStyle name="SAPBEXaggItemX 4 3 3 4" xfId="45316" xr:uid="{00000000-0005-0000-0000-000099B10000}"/>
    <cellStyle name="SAPBEXaggItemX 4 3 4" xfId="45317" xr:uid="{00000000-0005-0000-0000-00009AB10000}"/>
    <cellStyle name="SAPBEXaggItemX 4 3 4 2" xfId="45318" xr:uid="{00000000-0005-0000-0000-00009BB10000}"/>
    <cellStyle name="SAPBEXaggItemX 4 3 4 2 2" xfId="45319" xr:uid="{00000000-0005-0000-0000-00009CB10000}"/>
    <cellStyle name="SAPBEXaggItemX 4 3 4 3" xfId="45320" xr:uid="{00000000-0005-0000-0000-00009DB10000}"/>
    <cellStyle name="SAPBEXaggItemX 4 3 5" xfId="45321" xr:uid="{00000000-0005-0000-0000-00009EB10000}"/>
    <cellStyle name="SAPBEXaggItemX 4 3 5 2" xfId="45322" xr:uid="{00000000-0005-0000-0000-00009FB10000}"/>
    <cellStyle name="SAPBEXaggItemX 4 3 5 2 2" xfId="45323" xr:uid="{00000000-0005-0000-0000-0000A0B10000}"/>
    <cellStyle name="SAPBEXaggItemX 4 3 5 3" xfId="45324" xr:uid="{00000000-0005-0000-0000-0000A1B10000}"/>
    <cellStyle name="SAPBEXaggItemX 4 3 6" xfId="45325" xr:uid="{00000000-0005-0000-0000-0000A2B10000}"/>
    <cellStyle name="SAPBEXaggItemX 4 3 6 2" xfId="45326" xr:uid="{00000000-0005-0000-0000-0000A3B10000}"/>
    <cellStyle name="SAPBEXaggItemX 4 3 7" xfId="45327" xr:uid="{00000000-0005-0000-0000-0000A4B10000}"/>
    <cellStyle name="SAPBEXaggItemX 4 4" xfId="45328" xr:uid="{00000000-0005-0000-0000-0000A5B10000}"/>
    <cellStyle name="SAPBEXaggItemX 4 4 2" xfId="45329" xr:uid="{00000000-0005-0000-0000-0000A6B10000}"/>
    <cellStyle name="SAPBEXaggItemX 4 4 2 2" xfId="45330" xr:uid="{00000000-0005-0000-0000-0000A7B10000}"/>
    <cellStyle name="SAPBEXaggItemX 4 4 2 2 2" xfId="45331" xr:uid="{00000000-0005-0000-0000-0000A8B10000}"/>
    <cellStyle name="SAPBEXaggItemX 4 4 2 3" xfId="45332" xr:uid="{00000000-0005-0000-0000-0000A9B10000}"/>
    <cellStyle name="SAPBEXaggItemX 4 4 3" xfId="45333" xr:uid="{00000000-0005-0000-0000-0000AAB10000}"/>
    <cellStyle name="SAPBEXaggItemX 4 4 3 2" xfId="45334" xr:uid="{00000000-0005-0000-0000-0000ABB10000}"/>
    <cellStyle name="SAPBEXaggItemX 4 4 4" xfId="45335" xr:uid="{00000000-0005-0000-0000-0000ACB10000}"/>
    <cellStyle name="SAPBEXaggItemX 4 5" xfId="45336" xr:uid="{00000000-0005-0000-0000-0000ADB10000}"/>
    <cellStyle name="SAPBEXaggItemX 4 5 2" xfId="45337" xr:uid="{00000000-0005-0000-0000-0000AEB10000}"/>
    <cellStyle name="SAPBEXaggItemX 4 5 2 2" xfId="45338" xr:uid="{00000000-0005-0000-0000-0000AFB10000}"/>
    <cellStyle name="SAPBEXaggItemX 4 5 3" xfId="45339" xr:uid="{00000000-0005-0000-0000-0000B0B10000}"/>
    <cellStyle name="SAPBEXaggItemX 4 6" xfId="45340" xr:uid="{00000000-0005-0000-0000-0000B1B10000}"/>
    <cellStyle name="SAPBEXaggItemX 4 6 2" xfId="45341" xr:uid="{00000000-0005-0000-0000-0000B2B10000}"/>
    <cellStyle name="SAPBEXaggItemX 4 6 2 2" xfId="45342" xr:uid="{00000000-0005-0000-0000-0000B3B10000}"/>
    <cellStyle name="SAPBEXaggItemX 4 6 3" xfId="45343" xr:uid="{00000000-0005-0000-0000-0000B4B10000}"/>
    <cellStyle name="SAPBEXaggItemX 4 7" xfId="45344" xr:uid="{00000000-0005-0000-0000-0000B5B10000}"/>
    <cellStyle name="SAPBEXaggItemX 4 7 2" xfId="45345" xr:uid="{00000000-0005-0000-0000-0000B6B10000}"/>
    <cellStyle name="SAPBEXaggItemX 4 8" xfId="45346" xr:uid="{00000000-0005-0000-0000-0000B7B10000}"/>
    <cellStyle name="SAPBEXaggItemX 5" xfId="45347" xr:uid="{00000000-0005-0000-0000-0000B8B10000}"/>
    <cellStyle name="SAPBEXaggItemX 5 2" xfId="45348" xr:uid="{00000000-0005-0000-0000-0000B9B10000}"/>
    <cellStyle name="SAPBEXaggItemX 5 2 2" xfId="45349" xr:uid="{00000000-0005-0000-0000-0000BAB10000}"/>
    <cellStyle name="SAPBEXaggItemX 5 2 2 2" xfId="45350" xr:uid="{00000000-0005-0000-0000-0000BBB10000}"/>
    <cellStyle name="SAPBEXaggItemX 5 2 3" xfId="45351" xr:uid="{00000000-0005-0000-0000-0000BCB10000}"/>
    <cellStyle name="SAPBEXaggItemX 5 3" xfId="45352" xr:uid="{00000000-0005-0000-0000-0000BDB10000}"/>
    <cellStyle name="SAPBEXaggItemX 5 3 2" xfId="45353" xr:uid="{00000000-0005-0000-0000-0000BEB10000}"/>
    <cellStyle name="SAPBEXaggItemX 5 3 2 2" xfId="45354" xr:uid="{00000000-0005-0000-0000-0000BFB10000}"/>
    <cellStyle name="SAPBEXaggItemX 5 3 3" xfId="45355" xr:uid="{00000000-0005-0000-0000-0000C0B10000}"/>
    <cellStyle name="SAPBEXaggItemX 5 4" xfId="45356" xr:uid="{00000000-0005-0000-0000-0000C1B10000}"/>
    <cellStyle name="SAPBEXaggItemX 5 4 2" xfId="45357" xr:uid="{00000000-0005-0000-0000-0000C2B10000}"/>
    <cellStyle name="SAPBEXaggItemX 5 4 2 2" xfId="45358" xr:uid="{00000000-0005-0000-0000-0000C3B10000}"/>
    <cellStyle name="SAPBEXaggItemX 5 4 3" xfId="45359" xr:uid="{00000000-0005-0000-0000-0000C4B10000}"/>
    <cellStyle name="SAPBEXaggItemX 5 5" xfId="45360" xr:uid="{00000000-0005-0000-0000-0000C5B10000}"/>
    <cellStyle name="SAPBEXaggItemX 5 5 2" xfId="45361" xr:uid="{00000000-0005-0000-0000-0000C6B10000}"/>
    <cellStyle name="SAPBEXaggItemX 5 6" xfId="45362" xr:uid="{00000000-0005-0000-0000-0000C7B10000}"/>
    <cellStyle name="SAPBEXaggItemX 6" xfId="45363" xr:uid="{00000000-0005-0000-0000-0000C8B10000}"/>
    <cellStyle name="SAPBEXaggItemX 6 2" xfId="45364" xr:uid="{00000000-0005-0000-0000-0000C9B10000}"/>
    <cellStyle name="SAPBEXaggItemX 6 2 2" xfId="45365" xr:uid="{00000000-0005-0000-0000-0000CAB10000}"/>
    <cellStyle name="SAPBEXaggItemX 6 3" xfId="45366" xr:uid="{00000000-0005-0000-0000-0000CBB10000}"/>
    <cellStyle name="SAPBEXaggItemX 6 3 2" xfId="45367" xr:uid="{00000000-0005-0000-0000-0000CCB10000}"/>
    <cellStyle name="SAPBEXaggItemX 6 3 2 2" xfId="45368" xr:uid="{00000000-0005-0000-0000-0000CDB10000}"/>
    <cellStyle name="SAPBEXaggItemX 6 3 3" xfId="45369" xr:uid="{00000000-0005-0000-0000-0000CEB10000}"/>
    <cellStyle name="SAPBEXaggItemX 6 4" xfId="45370" xr:uid="{00000000-0005-0000-0000-0000CFB10000}"/>
    <cellStyle name="SAPBEXaggItemX 6 4 2" xfId="45371" xr:uid="{00000000-0005-0000-0000-0000D0B10000}"/>
    <cellStyle name="SAPBEXaggItemX 6 4 2 2" xfId="45372" xr:uid="{00000000-0005-0000-0000-0000D1B10000}"/>
    <cellStyle name="SAPBEXaggItemX 6 4 3" xfId="45373" xr:uid="{00000000-0005-0000-0000-0000D2B10000}"/>
    <cellStyle name="SAPBEXaggItemX 6 5" xfId="45374" xr:uid="{00000000-0005-0000-0000-0000D3B10000}"/>
    <cellStyle name="SAPBEXaggItemX 7" xfId="45375" xr:uid="{00000000-0005-0000-0000-0000D4B10000}"/>
    <cellStyle name="SAPBEXaggItemX 7 2" xfId="45376" xr:uid="{00000000-0005-0000-0000-0000D5B10000}"/>
    <cellStyle name="SAPBEXaggItemX 7 2 2" xfId="45377" xr:uid="{00000000-0005-0000-0000-0000D6B10000}"/>
    <cellStyle name="SAPBEXaggItemX 7 2 2 2" xfId="45378" xr:uid="{00000000-0005-0000-0000-0000D7B10000}"/>
    <cellStyle name="SAPBEXaggItemX 7 2 3" xfId="45379" xr:uid="{00000000-0005-0000-0000-0000D8B10000}"/>
    <cellStyle name="SAPBEXaggItemX 7 2 3 2" xfId="45380" xr:uid="{00000000-0005-0000-0000-0000D9B10000}"/>
    <cellStyle name="SAPBEXaggItemX 7 2 3 2 2" xfId="45381" xr:uid="{00000000-0005-0000-0000-0000DAB10000}"/>
    <cellStyle name="SAPBEXaggItemX 7 2 3 3" xfId="45382" xr:uid="{00000000-0005-0000-0000-0000DBB10000}"/>
    <cellStyle name="SAPBEXaggItemX 7 2 4" xfId="45383" xr:uid="{00000000-0005-0000-0000-0000DCB10000}"/>
    <cellStyle name="SAPBEXaggItemX 7 3" xfId="45384" xr:uid="{00000000-0005-0000-0000-0000DDB10000}"/>
    <cellStyle name="SAPBEXaggItemX 7 3 2" xfId="45385" xr:uid="{00000000-0005-0000-0000-0000DEB10000}"/>
    <cellStyle name="SAPBEXaggItemX 7 3 2 2" xfId="45386" xr:uid="{00000000-0005-0000-0000-0000DFB10000}"/>
    <cellStyle name="SAPBEXaggItemX 7 3 3" xfId="45387" xr:uid="{00000000-0005-0000-0000-0000E0B10000}"/>
    <cellStyle name="SAPBEXaggItemX 7 4" xfId="45388" xr:uid="{00000000-0005-0000-0000-0000E1B10000}"/>
    <cellStyle name="SAPBEXaggItemX 7 4 2" xfId="45389" xr:uid="{00000000-0005-0000-0000-0000E2B10000}"/>
    <cellStyle name="SAPBEXaggItemX 7 4 2 2" xfId="45390" xr:uid="{00000000-0005-0000-0000-0000E3B10000}"/>
    <cellStyle name="SAPBEXaggItemX 7 4 3" xfId="45391" xr:uid="{00000000-0005-0000-0000-0000E4B10000}"/>
    <cellStyle name="SAPBEXaggItemX 7 5" xfId="45392" xr:uid="{00000000-0005-0000-0000-0000E5B10000}"/>
    <cellStyle name="SAPBEXaggItemX 7 5 2" xfId="45393" xr:uid="{00000000-0005-0000-0000-0000E6B10000}"/>
    <cellStyle name="SAPBEXaggItemX 7 5 2 2" xfId="45394" xr:uid="{00000000-0005-0000-0000-0000E7B10000}"/>
    <cellStyle name="SAPBEXaggItemX 7 5 3" xfId="45395" xr:uid="{00000000-0005-0000-0000-0000E8B10000}"/>
    <cellStyle name="SAPBEXaggItemX 7 6" xfId="45396" xr:uid="{00000000-0005-0000-0000-0000E9B10000}"/>
    <cellStyle name="SAPBEXaggItemX 8" xfId="45397" xr:uid="{00000000-0005-0000-0000-0000EAB10000}"/>
    <cellStyle name="SAPBEXaggItemX 8 2" xfId="45398" xr:uid="{00000000-0005-0000-0000-0000EBB10000}"/>
    <cellStyle name="SAPBEXaggItemX 8 2 2" xfId="45399" xr:uid="{00000000-0005-0000-0000-0000ECB10000}"/>
    <cellStyle name="SAPBEXaggItemX 8 3" xfId="45400" xr:uid="{00000000-0005-0000-0000-0000EDB10000}"/>
    <cellStyle name="SAPBEXaggItemX 9" xfId="45401" xr:uid="{00000000-0005-0000-0000-0000EEB10000}"/>
    <cellStyle name="SAPBEXaggItemX 9 2" xfId="45402" xr:uid="{00000000-0005-0000-0000-0000EFB10000}"/>
    <cellStyle name="SAPBEXaggItemX 9 2 2" xfId="45403" xr:uid="{00000000-0005-0000-0000-0000F0B10000}"/>
    <cellStyle name="SAPBEXaggItemX 9 3" xfId="45404" xr:uid="{00000000-0005-0000-0000-0000F1B10000}"/>
    <cellStyle name="SAPBEXchaText" xfId="44" xr:uid="{00000000-0005-0000-0000-0000F2B10000}"/>
    <cellStyle name="SAPBEXchaText 2" xfId="45405" xr:uid="{00000000-0005-0000-0000-0000F3B10000}"/>
    <cellStyle name="SAPBEXchaText 2 2" xfId="45406" xr:uid="{00000000-0005-0000-0000-0000F4B10000}"/>
    <cellStyle name="SAPBEXchaText 2 3" xfId="45407" xr:uid="{00000000-0005-0000-0000-0000F5B10000}"/>
    <cellStyle name="SAPBEXchaText 2 3 2" xfId="45408" xr:uid="{00000000-0005-0000-0000-0000F6B10000}"/>
    <cellStyle name="SAPBEXchaText 2 3 2 2" xfId="45409" xr:uid="{00000000-0005-0000-0000-0000F7B10000}"/>
    <cellStyle name="SAPBEXchaText 2 3 3" xfId="45410" xr:uid="{00000000-0005-0000-0000-0000F8B10000}"/>
    <cellStyle name="SAPBEXchaText 2 4" xfId="45411" xr:uid="{00000000-0005-0000-0000-0000F9B10000}"/>
    <cellStyle name="SAPBEXchaText 2 4 2" xfId="45412" xr:uid="{00000000-0005-0000-0000-0000FAB10000}"/>
    <cellStyle name="SAPBEXchaText 2 4 2 2" xfId="45413" xr:uid="{00000000-0005-0000-0000-0000FBB10000}"/>
    <cellStyle name="SAPBEXchaText 2 4 3" xfId="45414" xr:uid="{00000000-0005-0000-0000-0000FCB10000}"/>
    <cellStyle name="SAPBEXchaText 2 5" xfId="45415" xr:uid="{00000000-0005-0000-0000-0000FDB10000}"/>
    <cellStyle name="SAPBEXchaText 2 5 2" xfId="45416" xr:uid="{00000000-0005-0000-0000-0000FEB10000}"/>
    <cellStyle name="SAPBEXchaText 2 5 2 2" xfId="45417" xr:uid="{00000000-0005-0000-0000-0000FFB10000}"/>
    <cellStyle name="SAPBEXchaText 2 5 2 2 2" xfId="45418" xr:uid="{00000000-0005-0000-0000-000000B20000}"/>
    <cellStyle name="SAPBEXchaText 2 5 2 3" xfId="45419" xr:uid="{00000000-0005-0000-0000-000001B20000}"/>
    <cellStyle name="SAPBEXchaText 2 5 3" xfId="45420" xr:uid="{00000000-0005-0000-0000-000002B20000}"/>
    <cellStyle name="SAPBEXchaText 2 5 3 2" xfId="45421" xr:uid="{00000000-0005-0000-0000-000003B20000}"/>
    <cellStyle name="SAPBEXchaText 2 5 4" xfId="45422" xr:uid="{00000000-0005-0000-0000-000004B20000}"/>
    <cellStyle name="SAPBEXchaText 3" xfId="45423" xr:uid="{00000000-0005-0000-0000-000005B20000}"/>
    <cellStyle name="SAPBEXchaText 3 2" xfId="45424" xr:uid="{00000000-0005-0000-0000-000006B20000}"/>
    <cellStyle name="SAPBEXchaText 3 2 2" xfId="45425" xr:uid="{00000000-0005-0000-0000-000007B20000}"/>
    <cellStyle name="SAPBEXchaText 3 2 2 2" xfId="45426" xr:uid="{00000000-0005-0000-0000-000008B20000}"/>
    <cellStyle name="SAPBEXchaText 3 2 3" xfId="45427" xr:uid="{00000000-0005-0000-0000-000009B20000}"/>
    <cellStyle name="SAPBEXchaText 3 3" xfId="45428" xr:uid="{00000000-0005-0000-0000-00000AB20000}"/>
    <cellStyle name="SAPBEXchaText 3 3 2" xfId="45429" xr:uid="{00000000-0005-0000-0000-00000BB20000}"/>
    <cellStyle name="SAPBEXchaText 3 4" xfId="45430" xr:uid="{00000000-0005-0000-0000-00000CB20000}"/>
    <cellStyle name="SAPBEXchaText 4" xfId="45431" xr:uid="{00000000-0005-0000-0000-00000DB20000}"/>
    <cellStyle name="SAPBEXchaText 4 2" xfId="45432" xr:uid="{00000000-0005-0000-0000-00000EB20000}"/>
    <cellStyle name="SAPBEXchaText 4 2 2" xfId="45433" xr:uid="{00000000-0005-0000-0000-00000FB20000}"/>
    <cellStyle name="SAPBEXchaText 4 3" xfId="45434" xr:uid="{00000000-0005-0000-0000-000010B20000}"/>
    <cellStyle name="SAPBEXchaText 5" xfId="45435" xr:uid="{00000000-0005-0000-0000-000011B20000}"/>
    <cellStyle name="SAPBEXchaText 5 2" xfId="45436" xr:uid="{00000000-0005-0000-0000-000012B20000}"/>
    <cellStyle name="SAPBEXchaText 5 2 2" xfId="45437" xr:uid="{00000000-0005-0000-0000-000013B20000}"/>
    <cellStyle name="SAPBEXchaText 5 3" xfId="45438" xr:uid="{00000000-0005-0000-0000-000014B20000}"/>
    <cellStyle name="SAPBEXchaText 6" xfId="45439" xr:uid="{00000000-0005-0000-0000-000015B20000}"/>
    <cellStyle name="SAPBEXchaText 6 2" xfId="45440" xr:uid="{00000000-0005-0000-0000-000016B20000}"/>
    <cellStyle name="SAPBEXchaText 6 2 2" xfId="45441" xr:uid="{00000000-0005-0000-0000-000017B20000}"/>
    <cellStyle name="SAPBEXchaText 6 3" xfId="45442" xr:uid="{00000000-0005-0000-0000-000018B20000}"/>
    <cellStyle name="SAPBEXchaText 7" xfId="45443" xr:uid="{00000000-0005-0000-0000-000019B20000}"/>
    <cellStyle name="SAPBEXchaText 7 2" xfId="45444" xr:uid="{00000000-0005-0000-0000-00001AB20000}"/>
    <cellStyle name="SAPBEXchaText 8" xfId="45445" xr:uid="{00000000-0005-0000-0000-00001BB20000}"/>
    <cellStyle name="SAPBEXchaText 8 2" xfId="45446" xr:uid="{00000000-0005-0000-0000-00001CB20000}"/>
    <cellStyle name="SAPBEXchaText 9" xfId="45447" xr:uid="{00000000-0005-0000-0000-00001DB20000}"/>
    <cellStyle name="SAPBEXchaText_2010-2019 IP Run March 9, 2010" xfId="45448" xr:uid="{00000000-0005-0000-0000-00001EB20000}"/>
    <cellStyle name="SAPBEXexcBad7" xfId="45" xr:uid="{00000000-0005-0000-0000-00001FB20000}"/>
    <cellStyle name="SAPBEXexcBad7 10" xfId="45449" xr:uid="{00000000-0005-0000-0000-000020B20000}"/>
    <cellStyle name="SAPBEXexcBad7 10 2" xfId="45450" xr:uid="{00000000-0005-0000-0000-000021B20000}"/>
    <cellStyle name="SAPBEXexcBad7 11" xfId="45451" xr:uid="{00000000-0005-0000-0000-000022B20000}"/>
    <cellStyle name="SAPBEXexcBad7 11 2" xfId="45452" xr:uid="{00000000-0005-0000-0000-000023B20000}"/>
    <cellStyle name="SAPBEXexcBad7 12" xfId="45453" xr:uid="{00000000-0005-0000-0000-000024B20000}"/>
    <cellStyle name="SAPBEXexcBad7 12 2" xfId="45454" xr:uid="{00000000-0005-0000-0000-000025B20000}"/>
    <cellStyle name="SAPBEXexcBad7 13" xfId="45455" xr:uid="{00000000-0005-0000-0000-000026B20000}"/>
    <cellStyle name="SAPBEXexcBad7 14" xfId="45456" xr:uid="{00000000-0005-0000-0000-000027B20000}"/>
    <cellStyle name="SAPBEXexcBad7 2" xfId="45457" xr:uid="{00000000-0005-0000-0000-000028B20000}"/>
    <cellStyle name="SAPBEXexcBad7 2 2" xfId="45458" xr:uid="{00000000-0005-0000-0000-000029B20000}"/>
    <cellStyle name="SAPBEXexcBad7 2 2 2" xfId="45459" xr:uid="{00000000-0005-0000-0000-00002AB20000}"/>
    <cellStyle name="SAPBEXexcBad7 2 2 2 2" xfId="45460" xr:uid="{00000000-0005-0000-0000-00002BB20000}"/>
    <cellStyle name="SAPBEXexcBad7 2 2 2 2 2" xfId="45461" xr:uid="{00000000-0005-0000-0000-00002CB20000}"/>
    <cellStyle name="SAPBEXexcBad7 2 2 2 2 2 2" xfId="45462" xr:uid="{00000000-0005-0000-0000-00002DB20000}"/>
    <cellStyle name="SAPBEXexcBad7 2 2 2 2 3" xfId="45463" xr:uid="{00000000-0005-0000-0000-00002EB20000}"/>
    <cellStyle name="SAPBEXexcBad7 2 2 2 3" xfId="45464" xr:uid="{00000000-0005-0000-0000-00002FB20000}"/>
    <cellStyle name="SAPBEXexcBad7 2 2 2 3 2" xfId="45465" xr:uid="{00000000-0005-0000-0000-000030B20000}"/>
    <cellStyle name="SAPBEXexcBad7 2 2 2 4" xfId="45466" xr:uid="{00000000-0005-0000-0000-000031B20000}"/>
    <cellStyle name="SAPBEXexcBad7 2 2 3" xfId="45467" xr:uid="{00000000-0005-0000-0000-000032B20000}"/>
    <cellStyle name="SAPBEXexcBad7 2 2 3 2" xfId="45468" xr:uid="{00000000-0005-0000-0000-000033B20000}"/>
    <cellStyle name="SAPBEXexcBad7 2 2 3 2 2" xfId="45469" xr:uid="{00000000-0005-0000-0000-000034B20000}"/>
    <cellStyle name="SAPBEXexcBad7 2 2 3 3" xfId="45470" xr:uid="{00000000-0005-0000-0000-000035B20000}"/>
    <cellStyle name="SAPBEXexcBad7 2 2 4" xfId="45471" xr:uid="{00000000-0005-0000-0000-000036B20000}"/>
    <cellStyle name="SAPBEXexcBad7 2 2 4 2" xfId="45472" xr:uid="{00000000-0005-0000-0000-000037B20000}"/>
    <cellStyle name="SAPBEXexcBad7 2 2 4 2 2" xfId="45473" xr:uid="{00000000-0005-0000-0000-000038B20000}"/>
    <cellStyle name="SAPBEXexcBad7 2 2 4 3" xfId="45474" xr:uid="{00000000-0005-0000-0000-000039B20000}"/>
    <cellStyle name="SAPBEXexcBad7 2 2 5" xfId="45475" xr:uid="{00000000-0005-0000-0000-00003AB20000}"/>
    <cellStyle name="SAPBEXexcBad7 2 2 5 2" xfId="45476" xr:uid="{00000000-0005-0000-0000-00003BB20000}"/>
    <cellStyle name="SAPBEXexcBad7 2 2 6" xfId="45477" xr:uid="{00000000-0005-0000-0000-00003CB20000}"/>
    <cellStyle name="SAPBEXexcBad7 2 3" xfId="45478" xr:uid="{00000000-0005-0000-0000-00003DB20000}"/>
    <cellStyle name="SAPBEXexcBad7 2 3 2" xfId="45479" xr:uid="{00000000-0005-0000-0000-00003EB20000}"/>
    <cellStyle name="SAPBEXexcBad7 2 3 2 2" xfId="45480" xr:uid="{00000000-0005-0000-0000-00003FB20000}"/>
    <cellStyle name="SAPBEXexcBad7 2 3 3" xfId="45481" xr:uid="{00000000-0005-0000-0000-000040B20000}"/>
    <cellStyle name="SAPBEXexcBad7 2 4" xfId="45482" xr:uid="{00000000-0005-0000-0000-000041B20000}"/>
    <cellStyle name="SAPBEXexcBad7 2 4 2" xfId="45483" xr:uid="{00000000-0005-0000-0000-000042B20000}"/>
    <cellStyle name="SAPBEXexcBad7 2 4 2 2" xfId="45484" xr:uid="{00000000-0005-0000-0000-000043B20000}"/>
    <cellStyle name="SAPBEXexcBad7 2 4 3" xfId="45485" xr:uid="{00000000-0005-0000-0000-000044B20000}"/>
    <cellStyle name="SAPBEXexcBad7 2 5" xfId="45486" xr:uid="{00000000-0005-0000-0000-000045B20000}"/>
    <cellStyle name="SAPBEXexcBad7 2 5 2" xfId="45487" xr:uid="{00000000-0005-0000-0000-000046B20000}"/>
    <cellStyle name="SAPBEXexcBad7 2 5 2 2" xfId="45488" xr:uid="{00000000-0005-0000-0000-000047B20000}"/>
    <cellStyle name="SAPBEXexcBad7 2 5 3" xfId="45489" xr:uid="{00000000-0005-0000-0000-000048B20000}"/>
    <cellStyle name="SAPBEXexcBad7 2 6" xfId="45490" xr:uid="{00000000-0005-0000-0000-000049B20000}"/>
    <cellStyle name="SAPBEXexcBad7 2 6 2" xfId="45491" xr:uid="{00000000-0005-0000-0000-00004AB20000}"/>
    <cellStyle name="SAPBEXexcBad7 2 7" xfId="45492" xr:uid="{00000000-0005-0000-0000-00004BB20000}"/>
    <cellStyle name="SAPBEXexcBad7 3" xfId="45493" xr:uid="{00000000-0005-0000-0000-00004CB20000}"/>
    <cellStyle name="SAPBEXexcBad7 3 2" xfId="45494" xr:uid="{00000000-0005-0000-0000-00004DB20000}"/>
    <cellStyle name="SAPBEXexcBad7 3 2 2" xfId="45495" xr:uid="{00000000-0005-0000-0000-00004EB20000}"/>
    <cellStyle name="SAPBEXexcBad7 3 3" xfId="45496" xr:uid="{00000000-0005-0000-0000-00004FB20000}"/>
    <cellStyle name="SAPBEXexcBad7 3 3 2" xfId="45497" xr:uid="{00000000-0005-0000-0000-000050B20000}"/>
    <cellStyle name="SAPBEXexcBad7 3 3 2 2" xfId="45498" xr:uid="{00000000-0005-0000-0000-000051B20000}"/>
    <cellStyle name="SAPBEXexcBad7 3 3 3" xfId="45499" xr:uid="{00000000-0005-0000-0000-000052B20000}"/>
    <cellStyle name="SAPBEXexcBad7 3 4" xfId="45500" xr:uid="{00000000-0005-0000-0000-000053B20000}"/>
    <cellStyle name="SAPBEXexcBad7 3 4 2" xfId="45501" xr:uid="{00000000-0005-0000-0000-000054B20000}"/>
    <cellStyle name="SAPBEXexcBad7 3 4 2 2" xfId="45502" xr:uid="{00000000-0005-0000-0000-000055B20000}"/>
    <cellStyle name="SAPBEXexcBad7 3 4 3" xfId="45503" xr:uid="{00000000-0005-0000-0000-000056B20000}"/>
    <cellStyle name="SAPBEXexcBad7 3 5" xfId="45504" xr:uid="{00000000-0005-0000-0000-000057B20000}"/>
    <cellStyle name="SAPBEXexcBad7 4" xfId="45505" xr:uid="{00000000-0005-0000-0000-000058B20000}"/>
    <cellStyle name="SAPBEXexcBad7 4 2" xfId="45506" xr:uid="{00000000-0005-0000-0000-000059B20000}"/>
    <cellStyle name="SAPBEXexcBad7 4 2 2" xfId="45507" xr:uid="{00000000-0005-0000-0000-00005AB20000}"/>
    <cellStyle name="SAPBEXexcBad7 4 2 2 2" xfId="45508" xr:uid="{00000000-0005-0000-0000-00005BB20000}"/>
    <cellStyle name="SAPBEXexcBad7 4 2 3" xfId="45509" xr:uid="{00000000-0005-0000-0000-00005CB20000}"/>
    <cellStyle name="SAPBEXexcBad7 4 2 3 2" xfId="45510" xr:uid="{00000000-0005-0000-0000-00005DB20000}"/>
    <cellStyle name="SAPBEXexcBad7 4 2 3 2 2" xfId="45511" xr:uid="{00000000-0005-0000-0000-00005EB20000}"/>
    <cellStyle name="SAPBEXexcBad7 4 2 3 3" xfId="45512" xr:uid="{00000000-0005-0000-0000-00005FB20000}"/>
    <cellStyle name="SAPBEXexcBad7 4 2 4" xfId="45513" xr:uid="{00000000-0005-0000-0000-000060B20000}"/>
    <cellStyle name="SAPBEXexcBad7 4 3" xfId="45514" xr:uid="{00000000-0005-0000-0000-000061B20000}"/>
    <cellStyle name="SAPBEXexcBad7 4 3 2" xfId="45515" xr:uid="{00000000-0005-0000-0000-000062B20000}"/>
    <cellStyle name="SAPBEXexcBad7 4 3 2 2" xfId="45516" xr:uid="{00000000-0005-0000-0000-000063B20000}"/>
    <cellStyle name="SAPBEXexcBad7 4 3 3" xfId="45517" xr:uid="{00000000-0005-0000-0000-000064B20000}"/>
    <cellStyle name="SAPBEXexcBad7 4 4" xfId="45518" xr:uid="{00000000-0005-0000-0000-000065B20000}"/>
    <cellStyle name="SAPBEXexcBad7 4 4 2" xfId="45519" xr:uid="{00000000-0005-0000-0000-000066B20000}"/>
    <cellStyle name="SAPBEXexcBad7 4 4 2 2" xfId="45520" xr:uid="{00000000-0005-0000-0000-000067B20000}"/>
    <cellStyle name="SAPBEXexcBad7 4 4 3" xfId="45521" xr:uid="{00000000-0005-0000-0000-000068B20000}"/>
    <cellStyle name="SAPBEXexcBad7 4 5" xfId="45522" xr:uid="{00000000-0005-0000-0000-000069B20000}"/>
    <cellStyle name="SAPBEXexcBad7 4 5 2" xfId="45523" xr:uid="{00000000-0005-0000-0000-00006AB20000}"/>
    <cellStyle name="SAPBEXexcBad7 4 5 2 2" xfId="45524" xr:uid="{00000000-0005-0000-0000-00006BB20000}"/>
    <cellStyle name="SAPBEXexcBad7 4 5 3" xfId="45525" xr:uid="{00000000-0005-0000-0000-00006CB20000}"/>
    <cellStyle name="SAPBEXexcBad7 4 6" xfId="45526" xr:uid="{00000000-0005-0000-0000-00006DB20000}"/>
    <cellStyle name="SAPBEXexcBad7 5" xfId="45527" xr:uid="{00000000-0005-0000-0000-00006EB20000}"/>
    <cellStyle name="SAPBEXexcBad7 5 2" xfId="45528" xr:uid="{00000000-0005-0000-0000-00006FB20000}"/>
    <cellStyle name="SAPBEXexcBad7 5 2 2" xfId="45529" xr:uid="{00000000-0005-0000-0000-000070B20000}"/>
    <cellStyle name="SAPBEXexcBad7 5 3" xfId="45530" xr:uid="{00000000-0005-0000-0000-000071B20000}"/>
    <cellStyle name="SAPBEXexcBad7 6" xfId="45531" xr:uid="{00000000-0005-0000-0000-000072B20000}"/>
    <cellStyle name="SAPBEXexcBad7 6 2" xfId="45532" xr:uid="{00000000-0005-0000-0000-000073B20000}"/>
    <cellStyle name="SAPBEXexcBad7 6 2 2" xfId="45533" xr:uid="{00000000-0005-0000-0000-000074B20000}"/>
    <cellStyle name="SAPBEXexcBad7 6 3" xfId="45534" xr:uid="{00000000-0005-0000-0000-000075B20000}"/>
    <cellStyle name="SAPBEXexcBad7 7" xfId="45535" xr:uid="{00000000-0005-0000-0000-000076B20000}"/>
    <cellStyle name="SAPBEXexcBad7 7 2" xfId="45536" xr:uid="{00000000-0005-0000-0000-000077B20000}"/>
    <cellStyle name="SAPBEXexcBad7 7 2 2" xfId="45537" xr:uid="{00000000-0005-0000-0000-000078B20000}"/>
    <cellStyle name="SAPBEXexcBad7 7 3" xfId="45538" xr:uid="{00000000-0005-0000-0000-000079B20000}"/>
    <cellStyle name="SAPBEXexcBad7 8" xfId="45539" xr:uid="{00000000-0005-0000-0000-00007AB20000}"/>
    <cellStyle name="SAPBEXexcBad7 8 2" xfId="45540" xr:uid="{00000000-0005-0000-0000-00007BB20000}"/>
    <cellStyle name="SAPBEXexcBad7 9" xfId="45541" xr:uid="{00000000-0005-0000-0000-00007CB20000}"/>
    <cellStyle name="SAPBEXexcBad7 9 2" xfId="45542" xr:uid="{00000000-0005-0000-0000-00007DB20000}"/>
    <cellStyle name="SAPBEXexcBad8" xfId="46" xr:uid="{00000000-0005-0000-0000-00007EB20000}"/>
    <cellStyle name="SAPBEXexcBad8 10" xfId="45543" xr:uid="{00000000-0005-0000-0000-00007FB20000}"/>
    <cellStyle name="SAPBEXexcBad8 10 2" xfId="45544" xr:uid="{00000000-0005-0000-0000-000080B20000}"/>
    <cellStyle name="SAPBEXexcBad8 11" xfId="45545" xr:uid="{00000000-0005-0000-0000-000081B20000}"/>
    <cellStyle name="SAPBEXexcBad8 11 2" xfId="45546" xr:uid="{00000000-0005-0000-0000-000082B20000}"/>
    <cellStyle name="SAPBEXexcBad8 12" xfId="45547" xr:uid="{00000000-0005-0000-0000-000083B20000}"/>
    <cellStyle name="SAPBEXexcBad8 12 2" xfId="45548" xr:uid="{00000000-0005-0000-0000-000084B20000}"/>
    <cellStyle name="SAPBEXexcBad8 13" xfId="45549" xr:uid="{00000000-0005-0000-0000-000085B20000}"/>
    <cellStyle name="SAPBEXexcBad8 14" xfId="45550" xr:uid="{00000000-0005-0000-0000-000086B20000}"/>
    <cellStyle name="SAPBEXexcBad8 2" xfId="45551" xr:uid="{00000000-0005-0000-0000-000087B20000}"/>
    <cellStyle name="SAPBEXexcBad8 2 2" xfId="45552" xr:uid="{00000000-0005-0000-0000-000088B20000}"/>
    <cellStyle name="SAPBEXexcBad8 2 2 2" xfId="45553" xr:uid="{00000000-0005-0000-0000-000089B20000}"/>
    <cellStyle name="SAPBEXexcBad8 2 2 2 2" xfId="45554" xr:uid="{00000000-0005-0000-0000-00008AB20000}"/>
    <cellStyle name="SAPBEXexcBad8 2 2 2 2 2" xfId="45555" xr:uid="{00000000-0005-0000-0000-00008BB20000}"/>
    <cellStyle name="SAPBEXexcBad8 2 2 2 2 2 2" xfId="45556" xr:uid="{00000000-0005-0000-0000-00008CB20000}"/>
    <cellStyle name="SAPBEXexcBad8 2 2 2 2 3" xfId="45557" xr:uid="{00000000-0005-0000-0000-00008DB20000}"/>
    <cellStyle name="SAPBEXexcBad8 2 2 2 3" xfId="45558" xr:uid="{00000000-0005-0000-0000-00008EB20000}"/>
    <cellStyle name="SAPBEXexcBad8 2 2 2 3 2" xfId="45559" xr:uid="{00000000-0005-0000-0000-00008FB20000}"/>
    <cellStyle name="SAPBEXexcBad8 2 2 2 4" xfId="45560" xr:uid="{00000000-0005-0000-0000-000090B20000}"/>
    <cellStyle name="SAPBEXexcBad8 2 2 3" xfId="45561" xr:uid="{00000000-0005-0000-0000-000091B20000}"/>
    <cellStyle name="SAPBEXexcBad8 2 2 3 2" xfId="45562" xr:uid="{00000000-0005-0000-0000-000092B20000}"/>
    <cellStyle name="SAPBEXexcBad8 2 2 3 2 2" xfId="45563" xr:uid="{00000000-0005-0000-0000-000093B20000}"/>
    <cellStyle name="SAPBEXexcBad8 2 2 3 3" xfId="45564" xr:uid="{00000000-0005-0000-0000-000094B20000}"/>
    <cellStyle name="SAPBEXexcBad8 2 2 4" xfId="45565" xr:uid="{00000000-0005-0000-0000-000095B20000}"/>
    <cellStyle name="SAPBEXexcBad8 2 2 4 2" xfId="45566" xr:uid="{00000000-0005-0000-0000-000096B20000}"/>
    <cellStyle name="SAPBEXexcBad8 2 2 4 2 2" xfId="45567" xr:uid="{00000000-0005-0000-0000-000097B20000}"/>
    <cellStyle name="SAPBEXexcBad8 2 2 4 3" xfId="45568" xr:uid="{00000000-0005-0000-0000-000098B20000}"/>
    <cellStyle name="SAPBEXexcBad8 2 2 5" xfId="45569" xr:uid="{00000000-0005-0000-0000-000099B20000}"/>
    <cellStyle name="SAPBEXexcBad8 2 2 5 2" xfId="45570" xr:uid="{00000000-0005-0000-0000-00009AB20000}"/>
    <cellStyle name="SAPBEXexcBad8 2 2 6" xfId="45571" xr:uid="{00000000-0005-0000-0000-00009BB20000}"/>
    <cellStyle name="SAPBEXexcBad8 2 3" xfId="45572" xr:uid="{00000000-0005-0000-0000-00009CB20000}"/>
    <cellStyle name="SAPBEXexcBad8 2 3 2" xfId="45573" xr:uid="{00000000-0005-0000-0000-00009DB20000}"/>
    <cellStyle name="SAPBEXexcBad8 2 3 2 2" xfId="45574" xr:uid="{00000000-0005-0000-0000-00009EB20000}"/>
    <cellStyle name="SAPBEXexcBad8 2 3 3" xfId="45575" xr:uid="{00000000-0005-0000-0000-00009FB20000}"/>
    <cellStyle name="SAPBEXexcBad8 2 4" xfId="45576" xr:uid="{00000000-0005-0000-0000-0000A0B20000}"/>
    <cellStyle name="SAPBEXexcBad8 2 4 2" xfId="45577" xr:uid="{00000000-0005-0000-0000-0000A1B20000}"/>
    <cellStyle name="SAPBEXexcBad8 2 4 2 2" xfId="45578" xr:uid="{00000000-0005-0000-0000-0000A2B20000}"/>
    <cellStyle name="SAPBEXexcBad8 2 4 3" xfId="45579" xr:uid="{00000000-0005-0000-0000-0000A3B20000}"/>
    <cellStyle name="SAPBEXexcBad8 2 5" xfId="45580" xr:uid="{00000000-0005-0000-0000-0000A4B20000}"/>
    <cellStyle name="SAPBEXexcBad8 2 5 2" xfId="45581" xr:uid="{00000000-0005-0000-0000-0000A5B20000}"/>
    <cellStyle name="SAPBEXexcBad8 2 5 2 2" xfId="45582" xr:uid="{00000000-0005-0000-0000-0000A6B20000}"/>
    <cellStyle name="SAPBEXexcBad8 2 5 3" xfId="45583" xr:uid="{00000000-0005-0000-0000-0000A7B20000}"/>
    <cellStyle name="SAPBEXexcBad8 2 6" xfId="45584" xr:uid="{00000000-0005-0000-0000-0000A8B20000}"/>
    <cellStyle name="SAPBEXexcBad8 2 6 2" xfId="45585" xr:uid="{00000000-0005-0000-0000-0000A9B20000}"/>
    <cellStyle name="SAPBEXexcBad8 2 7" xfId="45586" xr:uid="{00000000-0005-0000-0000-0000AAB20000}"/>
    <cellStyle name="SAPBEXexcBad8 3" xfId="45587" xr:uid="{00000000-0005-0000-0000-0000ABB20000}"/>
    <cellStyle name="SAPBEXexcBad8 3 2" xfId="45588" xr:uid="{00000000-0005-0000-0000-0000ACB20000}"/>
    <cellStyle name="SAPBEXexcBad8 3 2 2" xfId="45589" xr:uid="{00000000-0005-0000-0000-0000ADB20000}"/>
    <cellStyle name="SAPBEXexcBad8 3 3" xfId="45590" xr:uid="{00000000-0005-0000-0000-0000AEB20000}"/>
    <cellStyle name="SAPBEXexcBad8 3 3 2" xfId="45591" xr:uid="{00000000-0005-0000-0000-0000AFB20000}"/>
    <cellStyle name="SAPBEXexcBad8 3 3 2 2" xfId="45592" xr:uid="{00000000-0005-0000-0000-0000B0B20000}"/>
    <cellStyle name="SAPBEXexcBad8 3 3 3" xfId="45593" xr:uid="{00000000-0005-0000-0000-0000B1B20000}"/>
    <cellStyle name="SAPBEXexcBad8 3 4" xfId="45594" xr:uid="{00000000-0005-0000-0000-0000B2B20000}"/>
    <cellStyle name="SAPBEXexcBad8 3 4 2" xfId="45595" xr:uid="{00000000-0005-0000-0000-0000B3B20000}"/>
    <cellStyle name="SAPBEXexcBad8 3 4 2 2" xfId="45596" xr:uid="{00000000-0005-0000-0000-0000B4B20000}"/>
    <cellStyle name="SAPBEXexcBad8 3 4 3" xfId="45597" xr:uid="{00000000-0005-0000-0000-0000B5B20000}"/>
    <cellStyle name="SAPBEXexcBad8 3 5" xfId="45598" xr:uid="{00000000-0005-0000-0000-0000B6B20000}"/>
    <cellStyle name="SAPBEXexcBad8 4" xfId="45599" xr:uid="{00000000-0005-0000-0000-0000B7B20000}"/>
    <cellStyle name="SAPBEXexcBad8 4 2" xfId="45600" xr:uid="{00000000-0005-0000-0000-0000B8B20000}"/>
    <cellStyle name="SAPBEXexcBad8 4 2 2" xfId="45601" xr:uid="{00000000-0005-0000-0000-0000B9B20000}"/>
    <cellStyle name="SAPBEXexcBad8 4 2 2 2" xfId="45602" xr:uid="{00000000-0005-0000-0000-0000BAB20000}"/>
    <cellStyle name="SAPBEXexcBad8 4 2 3" xfId="45603" xr:uid="{00000000-0005-0000-0000-0000BBB20000}"/>
    <cellStyle name="SAPBEXexcBad8 4 2 3 2" xfId="45604" xr:uid="{00000000-0005-0000-0000-0000BCB20000}"/>
    <cellStyle name="SAPBEXexcBad8 4 2 3 2 2" xfId="45605" xr:uid="{00000000-0005-0000-0000-0000BDB20000}"/>
    <cellStyle name="SAPBEXexcBad8 4 2 3 3" xfId="45606" xr:uid="{00000000-0005-0000-0000-0000BEB20000}"/>
    <cellStyle name="SAPBEXexcBad8 4 2 4" xfId="45607" xr:uid="{00000000-0005-0000-0000-0000BFB20000}"/>
    <cellStyle name="SAPBEXexcBad8 4 3" xfId="45608" xr:uid="{00000000-0005-0000-0000-0000C0B20000}"/>
    <cellStyle name="SAPBEXexcBad8 4 3 2" xfId="45609" xr:uid="{00000000-0005-0000-0000-0000C1B20000}"/>
    <cellStyle name="SAPBEXexcBad8 4 3 2 2" xfId="45610" xr:uid="{00000000-0005-0000-0000-0000C2B20000}"/>
    <cellStyle name="SAPBEXexcBad8 4 3 3" xfId="45611" xr:uid="{00000000-0005-0000-0000-0000C3B20000}"/>
    <cellStyle name="SAPBEXexcBad8 4 4" xfId="45612" xr:uid="{00000000-0005-0000-0000-0000C4B20000}"/>
    <cellStyle name="SAPBEXexcBad8 4 4 2" xfId="45613" xr:uid="{00000000-0005-0000-0000-0000C5B20000}"/>
    <cellStyle name="SAPBEXexcBad8 4 4 2 2" xfId="45614" xr:uid="{00000000-0005-0000-0000-0000C6B20000}"/>
    <cellStyle name="SAPBEXexcBad8 4 4 3" xfId="45615" xr:uid="{00000000-0005-0000-0000-0000C7B20000}"/>
    <cellStyle name="SAPBEXexcBad8 4 5" xfId="45616" xr:uid="{00000000-0005-0000-0000-0000C8B20000}"/>
    <cellStyle name="SAPBEXexcBad8 4 5 2" xfId="45617" xr:uid="{00000000-0005-0000-0000-0000C9B20000}"/>
    <cellStyle name="SAPBEXexcBad8 4 5 2 2" xfId="45618" xr:uid="{00000000-0005-0000-0000-0000CAB20000}"/>
    <cellStyle name="SAPBEXexcBad8 4 5 3" xfId="45619" xr:uid="{00000000-0005-0000-0000-0000CBB20000}"/>
    <cellStyle name="SAPBEXexcBad8 4 6" xfId="45620" xr:uid="{00000000-0005-0000-0000-0000CCB20000}"/>
    <cellStyle name="SAPBEXexcBad8 5" xfId="45621" xr:uid="{00000000-0005-0000-0000-0000CDB20000}"/>
    <cellStyle name="SAPBEXexcBad8 5 2" xfId="45622" xr:uid="{00000000-0005-0000-0000-0000CEB20000}"/>
    <cellStyle name="SAPBEXexcBad8 5 2 2" xfId="45623" xr:uid="{00000000-0005-0000-0000-0000CFB20000}"/>
    <cellStyle name="SAPBEXexcBad8 5 3" xfId="45624" xr:uid="{00000000-0005-0000-0000-0000D0B20000}"/>
    <cellStyle name="SAPBEXexcBad8 6" xfId="45625" xr:uid="{00000000-0005-0000-0000-0000D1B20000}"/>
    <cellStyle name="SAPBEXexcBad8 6 2" xfId="45626" xr:uid="{00000000-0005-0000-0000-0000D2B20000}"/>
    <cellStyle name="SAPBEXexcBad8 6 2 2" xfId="45627" xr:uid="{00000000-0005-0000-0000-0000D3B20000}"/>
    <cellStyle name="SAPBEXexcBad8 6 3" xfId="45628" xr:uid="{00000000-0005-0000-0000-0000D4B20000}"/>
    <cellStyle name="SAPBEXexcBad8 7" xfId="45629" xr:uid="{00000000-0005-0000-0000-0000D5B20000}"/>
    <cellStyle name="SAPBEXexcBad8 7 2" xfId="45630" xr:uid="{00000000-0005-0000-0000-0000D6B20000}"/>
    <cellStyle name="SAPBEXexcBad8 7 2 2" xfId="45631" xr:uid="{00000000-0005-0000-0000-0000D7B20000}"/>
    <cellStyle name="SAPBEXexcBad8 7 3" xfId="45632" xr:uid="{00000000-0005-0000-0000-0000D8B20000}"/>
    <cellStyle name="SAPBEXexcBad8 8" xfId="45633" xr:uid="{00000000-0005-0000-0000-0000D9B20000}"/>
    <cellStyle name="SAPBEXexcBad8 8 2" xfId="45634" xr:uid="{00000000-0005-0000-0000-0000DAB20000}"/>
    <cellStyle name="SAPBEXexcBad8 9" xfId="45635" xr:uid="{00000000-0005-0000-0000-0000DBB20000}"/>
    <cellStyle name="SAPBEXexcBad8 9 2" xfId="45636" xr:uid="{00000000-0005-0000-0000-0000DCB20000}"/>
    <cellStyle name="SAPBEXexcBad9" xfId="47" xr:uid="{00000000-0005-0000-0000-0000DDB20000}"/>
    <cellStyle name="SAPBEXexcBad9 10" xfId="45637" xr:uid="{00000000-0005-0000-0000-0000DEB20000}"/>
    <cellStyle name="SAPBEXexcBad9 10 2" xfId="45638" xr:uid="{00000000-0005-0000-0000-0000DFB20000}"/>
    <cellStyle name="SAPBEXexcBad9 11" xfId="45639" xr:uid="{00000000-0005-0000-0000-0000E0B20000}"/>
    <cellStyle name="SAPBEXexcBad9 11 2" xfId="45640" xr:uid="{00000000-0005-0000-0000-0000E1B20000}"/>
    <cellStyle name="SAPBEXexcBad9 12" xfId="45641" xr:uid="{00000000-0005-0000-0000-0000E2B20000}"/>
    <cellStyle name="SAPBEXexcBad9 12 2" xfId="45642" xr:uid="{00000000-0005-0000-0000-0000E3B20000}"/>
    <cellStyle name="SAPBEXexcBad9 13" xfId="45643" xr:uid="{00000000-0005-0000-0000-0000E4B20000}"/>
    <cellStyle name="SAPBEXexcBad9 2" xfId="45644" xr:uid="{00000000-0005-0000-0000-0000E5B20000}"/>
    <cellStyle name="SAPBEXexcBad9 2 2" xfId="45645" xr:uid="{00000000-0005-0000-0000-0000E6B20000}"/>
    <cellStyle name="SAPBEXexcBad9 2 2 2" xfId="45646" xr:uid="{00000000-0005-0000-0000-0000E7B20000}"/>
    <cellStyle name="SAPBEXexcBad9 2 2 2 2" xfId="45647" xr:uid="{00000000-0005-0000-0000-0000E8B20000}"/>
    <cellStyle name="SAPBEXexcBad9 2 2 2 2 2" xfId="45648" xr:uid="{00000000-0005-0000-0000-0000E9B20000}"/>
    <cellStyle name="SAPBEXexcBad9 2 2 2 2 2 2" xfId="45649" xr:uid="{00000000-0005-0000-0000-0000EAB20000}"/>
    <cellStyle name="SAPBEXexcBad9 2 2 2 2 3" xfId="45650" xr:uid="{00000000-0005-0000-0000-0000EBB20000}"/>
    <cellStyle name="SAPBEXexcBad9 2 2 2 3" xfId="45651" xr:uid="{00000000-0005-0000-0000-0000ECB20000}"/>
    <cellStyle name="SAPBEXexcBad9 2 2 2 3 2" xfId="45652" xr:uid="{00000000-0005-0000-0000-0000EDB20000}"/>
    <cellStyle name="SAPBEXexcBad9 2 2 2 4" xfId="45653" xr:uid="{00000000-0005-0000-0000-0000EEB20000}"/>
    <cellStyle name="SAPBEXexcBad9 2 2 3" xfId="45654" xr:uid="{00000000-0005-0000-0000-0000EFB20000}"/>
    <cellStyle name="SAPBEXexcBad9 2 2 3 2" xfId="45655" xr:uid="{00000000-0005-0000-0000-0000F0B20000}"/>
    <cellStyle name="SAPBEXexcBad9 2 2 3 2 2" xfId="45656" xr:uid="{00000000-0005-0000-0000-0000F1B20000}"/>
    <cellStyle name="SAPBEXexcBad9 2 2 3 3" xfId="45657" xr:uid="{00000000-0005-0000-0000-0000F2B20000}"/>
    <cellStyle name="SAPBEXexcBad9 2 2 4" xfId="45658" xr:uid="{00000000-0005-0000-0000-0000F3B20000}"/>
    <cellStyle name="SAPBEXexcBad9 2 2 4 2" xfId="45659" xr:uid="{00000000-0005-0000-0000-0000F4B20000}"/>
    <cellStyle name="SAPBEXexcBad9 2 2 4 2 2" xfId="45660" xr:uid="{00000000-0005-0000-0000-0000F5B20000}"/>
    <cellStyle name="SAPBEXexcBad9 2 2 4 3" xfId="45661" xr:uid="{00000000-0005-0000-0000-0000F6B20000}"/>
    <cellStyle name="SAPBEXexcBad9 2 2 5" xfId="45662" xr:uid="{00000000-0005-0000-0000-0000F7B20000}"/>
    <cellStyle name="SAPBEXexcBad9 2 2 5 2" xfId="45663" xr:uid="{00000000-0005-0000-0000-0000F8B20000}"/>
    <cellStyle name="SAPBEXexcBad9 2 2 6" xfId="45664" xr:uid="{00000000-0005-0000-0000-0000F9B20000}"/>
    <cellStyle name="SAPBEXexcBad9 2 3" xfId="45665" xr:uid="{00000000-0005-0000-0000-0000FAB20000}"/>
    <cellStyle name="SAPBEXexcBad9 2 3 2" xfId="45666" xr:uid="{00000000-0005-0000-0000-0000FBB20000}"/>
    <cellStyle name="SAPBEXexcBad9 2 3 2 2" xfId="45667" xr:uid="{00000000-0005-0000-0000-0000FCB20000}"/>
    <cellStyle name="SAPBEXexcBad9 2 3 3" xfId="45668" xr:uid="{00000000-0005-0000-0000-0000FDB20000}"/>
    <cellStyle name="SAPBEXexcBad9 2 4" xfId="45669" xr:uid="{00000000-0005-0000-0000-0000FEB20000}"/>
    <cellStyle name="SAPBEXexcBad9 2 4 2" xfId="45670" xr:uid="{00000000-0005-0000-0000-0000FFB20000}"/>
    <cellStyle name="SAPBEXexcBad9 2 4 2 2" xfId="45671" xr:uid="{00000000-0005-0000-0000-000000B30000}"/>
    <cellStyle name="SAPBEXexcBad9 2 4 3" xfId="45672" xr:uid="{00000000-0005-0000-0000-000001B30000}"/>
    <cellStyle name="SAPBEXexcBad9 2 5" xfId="45673" xr:uid="{00000000-0005-0000-0000-000002B30000}"/>
    <cellStyle name="SAPBEXexcBad9 2 5 2" xfId="45674" xr:uid="{00000000-0005-0000-0000-000003B30000}"/>
    <cellStyle name="SAPBEXexcBad9 2 5 2 2" xfId="45675" xr:uid="{00000000-0005-0000-0000-000004B30000}"/>
    <cellStyle name="SAPBEXexcBad9 2 5 3" xfId="45676" xr:uid="{00000000-0005-0000-0000-000005B30000}"/>
    <cellStyle name="SAPBEXexcBad9 2 6" xfId="45677" xr:uid="{00000000-0005-0000-0000-000006B30000}"/>
    <cellStyle name="SAPBEXexcBad9 2 6 2" xfId="45678" xr:uid="{00000000-0005-0000-0000-000007B30000}"/>
    <cellStyle name="SAPBEXexcBad9 2 7" xfId="45679" xr:uid="{00000000-0005-0000-0000-000008B30000}"/>
    <cellStyle name="SAPBEXexcBad9 3" xfId="45680" xr:uid="{00000000-0005-0000-0000-000009B30000}"/>
    <cellStyle name="SAPBEXexcBad9 3 2" xfId="45681" xr:uid="{00000000-0005-0000-0000-00000AB30000}"/>
    <cellStyle name="SAPBEXexcBad9 3 2 2" xfId="45682" xr:uid="{00000000-0005-0000-0000-00000BB30000}"/>
    <cellStyle name="SAPBEXexcBad9 3 3" xfId="45683" xr:uid="{00000000-0005-0000-0000-00000CB30000}"/>
    <cellStyle name="SAPBEXexcBad9 3 3 2" xfId="45684" xr:uid="{00000000-0005-0000-0000-00000DB30000}"/>
    <cellStyle name="SAPBEXexcBad9 3 3 2 2" xfId="45685" xr:uid="{00000000-0005-0000-0000-00000EB30000}"/>
    <cellStyle name="SAPBEXexcBad9 3 3 3" xfId="45686" xr:uid="{00000000-0005-0000-0000-00000FB30000}"/>
    <cellStyle name="SAPBEXexcBad9 3 4" xfId="45687" xr:uid="{00000000-0005-0000-0000-000010B30000}"/>
    <cellStyle name="SAPBEXexcBad9 3 4 2" xfId="45688" xr:uid="{00000000-0005-0000-0000-000011B30000}"/>
    <cellStyle name="SAPBEXexcBad9 3 4 2 2" xfId="45689" xr:uid="{00000000-0005-0000-0000-000012B30000}"/>
    <cellStyle name="SAPBEXexcBad9 3 4 3" xfId="45690" xr:uid="{00000000-0005-0000-0000-000013B30000}"/>
    <cellStyle name="SAPBEXexcBad9 3 5" xfId="45691" xr:uid="{00000000-0005-0000-0000-000014B30000}"/>
    <cellStyle name="SAPBEXexcBad9 4" xfId="45692" xr:uid="{00000000-0005-0000-0000-000015B30000}"/>
    <cellStyle name="SAPBEXexcBad9 4 2" xfId="45693" xr:uid="{00000000-0005-0000-0000-000016B30000}"/>
    <cellStyle name="SAPBEXexcBad9 4 2 2" xfId="45694" xr:uid="{00000000-0005-0000-0000-000017B30000}"/>
    <cellStyle name="SAPBEXexcBad9 4 2 2 2" xfId="45695" xr:uid="{00000000-0005-0000-0000-000018B30000}"/>
    <cellStyle name="SAPBEXexcBad9 4 2 3" xfId="45696" xr:uid="{00000000-0005-0000-0000-000019B30000}"/>
    <cellStyle name="SAPBEXexcBad9 4 2 3 2" xfId="45697" xr:uid="{00000000-0005-0000-0000-00001AB30000}"/>
    <cellStyle name="SAPBEXexcBad9 4 2 3 2 2" xfId="45698" xr:uid="{00000000-0005-0000-0000-00001BB30000}"/>
    <cellStyle name="SAPBEXexcBad9 4 2 3 3" xfId="45699" xr:uid="{00000000-0005-0000-0000-00001CB30000}"/>
    <cellStyle name="SAPBEXexcBad9 4 2 4" xfId="45700" xr:uid="{00000000-0005-0000-0000-00001DB30000}"/>
    <cellStyle name="SAPBEXexcBad9 4 3" xfId="45701" xr:uid="{00000000-0005-0000-0000-00001EB30000}"/>
    <cellStyle name="SAPBEXexcBad9 4 3 2" xfId="45702" xr:uid="{00000000-0005-0000-0000-00001FB30000}"/>
    <cellStyle name="SAPBEXexcBad9 4 3 2 2" xfId="45703" xr:uid="{00000000-0005-0000-0000-000020B30000}"/>
    <cellStyle name="SAPBEXexcBad9 4 3 3" xfId="45704" xr:uid="{00000000-0005-0000-0000-000021B30000}"/>
    <cellStyle name="SAPBEXexcBad9 4 4" xfId="45705" xr:uid="{00000000-0005-0000-0000-000022B30000}"/>
    <cellStyle name="SAPBEXexcBad9 4 4 2" xfId="45706" xr:uid="{00000000-0005-0000-0000-000023B30000}"/>
    <cellStyle name="SAPBEXexcBad9 4 4 2 2" xfId="45707" xr:uid="{00000000-0005-0000-0000-000024B30000}"/>
    <cellStyle name="SAPBEXexcBad9 4 4 3" xfId="45708" xr:uid="{00000000-0005-0000-0000-000025B30000}"/>
    <cellStyle name="SAPBEXexcBad9 4 5" xfId="45709" xr:uid="{00000000-0005-0000-0000-000026B30000}"/>
    <cellStyle name="SAPBEXexcBad9 4 5 2" xfId="45710" xr:uid="{00000000-0005-0000-0000-000027B30000}"/>
    <cellStyle name="SAPBEXexcBad9 4 5 2 2" xfId="45711" xr:uid="{00000000-0005-0000-0000-000028B30000}"/>
    <cellStyle name="SAPBEXexcBad9 4 5 3" xfId="45712" xr:uid="{00000000-0005-0000-0000-000029B30000}"/>
    <cellStyle name="SAPBEXexcBad9 4 6" xfId="45713" xr:uid="{00000000-0005-0000-0000-00002AB30000}"/>
    <cellStyle name="SAPBEXexcBad9 5" xfId="45714" xr:uid="{00000000-0005-0000-0000-00002BB30000}"/>
    <cellStyle name="SAPBEXexcBad9 5 2" xfId="45715" xr:uid="{00000000-0005-0000-0000-00002CB30000}"/>
    <cellStyle name="SAPBEXexcBad9 5 2 2" xfId="45716" xr:uid="{00000000-0005-0000-0000-00002DB30000}"/>
    <cellStyle name="SAPBEXexcBad9 5 3" xfId="45717" xr:uid="{00000000-0005-0000-0000-00002EB30000}"/>
    <cellStyle name="SAPBEXexcBad9 6" xfId="45718" xr:uid="{00000000-0005-0000-0000-00002FB30000}"/>
    <cellStyle name="SAPBEXexcBad9 6 2" xfId="45719" xr:uid="{00000000-0005-0000-0000-000030B30000}"/>
    <cellStyle name="SAPBEXexcBad9 6 2 2" xfId="45720" xr:uid="{00000000-0005-0000-0000-000031B30000}"/>
    <cellStyle name="SAPBEXexcBad9 6 3" xfId="45721" xr:uid="{00000000-0005-0000-0000-000032B30000}"/>
    <cellStyle name="SAPBEXexcBad9 7" xfId="45722" xr:uid="{00000000-0005-0000-0000-000033B30000}"/>
    <cellStyle name="SAPBEXexcBad9 7 2" xfId="45723" xr:uid="{00000000-0005-0000-0000-000034B30000}"/>
    <cellStyle name="SAPBEXexcBad9 7 2 2" xfId="45724" xr:uid="{00000000-0005-0000-0000-000035B30000}"/>
    <cellStyle name="SAPBEXexcBad9 7 3" xfId="45725" xr:uid="{00000000-0005-0000-0000-000036B30000}"/>
    <cellStyle name="SAPBEXexcBad9 8" xfId="45726" xr:uid="{00000000-0005-0000-0000-000037B30000}"/>
    <cellStyle name="SAPBEXexcBad9 8 2" xfId="45727" xr:uid="{00000000-0005-0000-0000-000038B30000}"/>
    <cellStyle name="SAPBEXexcBad9 9" xfId="45728" xr:uid="{00000000-0005-0000-0000-000039B30000}"/>
    <cellStyle name="SAPBEXexcBad9 9 2" xfId="45729" xr:uid="{00000000-0005-0000-0000-00003AB30000}"/>
    <cellStyle name="SAPBEXexcCritical4" xfId="48" xr:uid="{00000000-0005-0000-0000-00003BB30000}"/>
    <cellStyle name="SAPBEXexcCritical4 10" xfId="45730" xr:uid="{00000000-0005-0000-0000-00003CB30000}"/>
    <cellStyle name="SAPBEXexcCritical4 10 2" xfId="45731" xr:uid="{00000000-0005-0000-0000-00003DB30000}"/>
    <cellStyle name="SAPBEXexcCritical4 11" xfId="45732" xr:uid="{00000000-0005-0000-0000-00003EB30000}"/>
    <cellStyle name="SAPBEXexcCritical4 11 2" xfId="45733" xr:uid="{00000000-0005-0000-0000-00003FB30000}"/>
    <cellStyle name="SAPBEXexcCritical4 12" xfId="45734" xr:uid="{00000000-0005-0000-0000-000040B30000}"/>
    <cellStyle name="SAPBEXexcCritical4 12 2" xfId="45735" xr:uid="{00000000-0005-0000-0000-000041B30000}"/>
    <cellStyle name="SAPBEXexcCritical4 13" xfId="45736" xr:uid="{00000000-0005-0000-0000-000042B30000}"/>
    <cellStyle name="SAPBEXexcCritical4 14" xfId="45737" xr:uid="{00000000-0005-0000-0000-000043B30000}"/>
    <cellStyle name="SAPBEXexcCritical4 2" xfId="45738" xr:uid="{00000000-0005-0000-0000-000044B30000}"/>
    <cellStyle name="SAPBEXexcCritical4 2 2" xfId="45739" xr:uid="{00000000-0005-0000-0000-000045B30000}"/>
    <cellStyle name="SAPBEXexcCritical4 2 2 2" xfId="45740" xr:uid="{00000000-0005-0000-0000-000046B30000}"/>
    <cellStyle name="SAPBEXexcCritical4 2 2 2 2" xfId="45741" xr:uid="{00000000-0005-0000-0000-000047B30000}"/>
    <cellStyle name="SAPBEXexcCritical4 2 2 2 2 2" xfId="45742" xr:uid="{00000000-0005-0000-0000-000048B30000}"/>
    <cellStyle name="SAPBEXexcCritical4 2 2 2 2 2 2" xfId="45743" xr:uid="{00000000-0005-0000-0000-000049B30000}"/>
    <cellStyle name="SAPBEXexcCritical4 2 2 2 2 3" xfId="45744" xr:uid="{00000000-0005-0000-0000-00004AB30000}"/>
    <cellStyle name="SAPBEXexcCritical4 2 2 2 3" xfId="45745" xr:uid="{00000000-0005-0000-0000-00004BB30000}"/>
    <cellStyle name="SAPBEXexcCritical4 2 2 2 3 2" xfId="45746" xr:uid="{00000000-0005-0000-0000-00004CB30000}"/>
    <cellStyle name="SAPBEXexcCritical4 2 2 2 4" xfId="45747" xr:uid="{00000000-0005-0000-0000-00004DB30000}"/>
    <cellStyle name="SAPBEXexcCritical4 2 2 3" xfId="45748" xr:uid="{00000000-0005-0000-0000-00004EB30000}"/>
    <cellStyle name="SAPBEXexcCritical4 2 2 3 2" xfId="45749" xr:uid="{00000000-0005-0000-0000-00004FB30000}"/>
    <cellStyle name="SAPBEXexcCritical4 2 2 3 2 2" xfId="45750" xr:uid="{00000000-0005-0000-0000-000050B30000}"/>
    <cellStyle name="SAPBEXexcCritical4 2 2 3 3" xfId="45751" xr:uid="{00000000-0005-0000-0000-000051B30000}"/>
    <cellStyle name="SAPBEXexcCritical4 2 2 4" xfId="45752" xr:uid="{00000000-0005-0000-0000-000052B30000}"/>
    <cellStyle name="SAPBEXexcCritical4 2 2 4 2" xfId="45753" xr:uid="{00000000-0005-0000-0000-000053B30000}"/>
    <cellStyle name="SAPBEXexcCritical4 2 2 4 2 2" xfId="45754" xr:uid="{00000000-0005-0000-0000-000054B30000}"/>
    <cellStyle name="SAPBEXexcCritical4 2 2 4 3" xfId="45755" xr:uid="{00000000-0005-0000-0000-000055B30000}"/>
    <cellStyle name="SAPBEXexcCritical4 2 2 5" xfId="45756" xr:uid="{00000000-0005-0000-0000-000056B30000}"/>
    <cellStyle name="SAPBEXexcCritical4 2 2 5 2" xfId="45757" xr:uid="{00000000-0005-0000-0000-000057B30000}"/>
    <cellStyle name="SAPBEXexcCritical4 2 2 6" xfId="45758" xr:uid="{00000000-0005-0000-0000-000058B30000}"/>
    <cellStyle name="SAPBEXexcCritical4 2 3" xfId="45759" xr:uid="{00000000-0005-0000-0000-000059B30000}"/>
    <cellStyle name="SAPBEXexcCritical4 2 3 2" xfId="45760" xr:uid="{00000000-0005-0000-0000-00005AB30000}"/>
    <cellStyle name="SAPBEXexcCritical4 2 3 2 2" xfId="45761" xr:uid="{00000000-0005-0000-0000-00005BB30000}"/>
    <cellStyle name="SAPBEXexcCritical4 2 3 3" xfId="45762" xr:uid="{00000000-0005-0000-0000-00005CB30000}"/>
    <cellStyle name="SAPBEXexcCritical4 2 4" xfId="45763" xr:uid="{00000000-0005-0000-0000-00005DB30000}"/>
    <cellStyle name="SAPBEXexcCritical4 2 4 2" xfId="45764" xr:uid="{00000000-0005-0000-0000-00005EB30000}"/>
    <cellStyle name="SAPBEXexcCritical4 2 4 2 2" xfId="45765" xr:uid="{00000000-0005-0000-0000-00005FB30000}"/>
    <cellStyle name="SAPBEXexcCritical4 2 4 3" xfId="45766" xr:uid="{00000000-0005-0000-0000-000060B30000}"/>
    <cellStyle name="SAPBEXexcCritical4 2 5" xfId="45767" xr:uid="{00000000-0005-0000-0000-000061B30000}"/>
    <cellStyle name="SAPBEXexcCritical4 2 5 2" xfId="45768" xr:uid="{00000000-0005-0000-0000-000062B30000}"/>
    <cellStyle name="SAPBEXexcCritical4 2 5 2 2" xfId="45769" xr:uid="{00000000-0005-0000-0000-000063B30000}"/>
    <cellStyle name="SAPBEXexcCritical4 2 5 3" xfId="45770" xr:uid="{00000000-0005-0000-0000-000064B30000}"/>
    <cellStyle name="SAPBEXexcCritical4 2 6" xfId="45771" xr:uid="{00000000-0005-0000-0000-000065B30000}"/>
    <cellStyle name="SAPBEXexcCritical4 2 6 2" xfId="45772" xr:uid="{00000000-0005-0000-0000-000066B30000}"/>
    <cellStyle name="SAPBEXexcCritical4 2 7" xfId="45773" xr:uid="{00000000-0005-0000-0000-000067B30000}"/>
    <cellStyle name="SAPBEXexcCritical4 3" xfId="45774" xr:uid="{00000000-0005-0000-0000-000068B30000}"/>
    <cellStyle name="SAPBEXexcCritical4 3 2" xfId="45775" xr:uid="{00000000-0005-0000-0000-000069B30000}"/>
    <cellStyle name="SAPBEXexcCritical4 3 2 2" xfId="45776" xr:uid="{00000000-0005-0000-0000-00006AB30000}"/>
    <cellStyle name="SAPBEXexcCritical4 3 3" xfId="45777" xr:uid="{00000000-0005-0000-0000-00006BB30000}"/>
    <cellStyle name="SAPBEXexcCritical4 3 3 2" xfId="45778" xr:uid="{00000000-0005-0000-0000-00006CB30000}"/>
    <cellStyle name="SAPBEXexcCritical4 3 3 2 2" xfId="45779" xr:uid="{00000000-0005-0000-0000-00006DB30000}"/>
    <cellStyle name="SAPBEXexcCritical4 3 3 3" xfId="45780" xr:uid="{00000000-0005-0000-0000-00006EB30000}"/>
    <cellStyle name="SAPBEXexcCritical4 3 4" xfId="45781" xr:uid="{00000000-0005-0000-0000-00006FB30000}"/>
    <cellStyle name="SAPBEXexcCritical4 3 4 2" xfId="45782" xr:uid="{00000000-0005-0000-0000-000070B30000}"/>
    <cellStyle name="SAPBEXexcCritical4 3 4 2 2" xfId="45783" xr:uid="{00000000-0005-0000-0000-000071B30000}"/>
    <cellStyle name="SAPBEXexcCritical4 3 4 3" xfId="45784" xr:uid="{00000000-0005-0000-0000-000072B30000}"/>
    <cellStyle name="SAPBEXexcCritical4 3 5" xfId="45785" xr:uid="{00000000-0005-0000-0000-000073B30000}"/>
    <cellStyle name="SAPBEXexcCritical4 4" xfId="45786" xr:uid="{00000000-0005-0000-0000-000074B30000}"/>
    <cellStyle name="SAPBEXexcCritical4 4 2" xfId="45787" xr:uid="{00000000-0005-0000-0000-000075B30000}"/>
    <cellStyle name="SAPBEXexcCritical4 4 2 2" xfId="45788" xr:uid="{00000000-0005-0000-0000-000076B30000}"/>
    <cellStyle name="SAPBEXexcCritical4 4 2 2 2" xfId="45789" xr:uid="{00000000-0005-0000-0000-000077B30000}"/>
    <cellStyle name="SAPBEXexcCritical4 4 2 3" xfId="45790" xr:uid="{00000000-0005-0000-0000-000078B30000}"/>
    <cellStyle name="SAPBEXexcCritical4 4 2 3 2" xfId="45791" xr:uid="{00000000-0005-0000-0000-000079B30000}"/>
    <cellStyle name="SAPBEXexcCritical4 4 2 3 2 2" xfId="45792" xr:uid="{00000000-0005-0000-0000-00007AB30000}"/>
    <cellStyle name="SAPBEXexcCritical4 4 2 3 3" xfId="45793" xr:uid="{00000000-0005-0000-0000-00007BB30000}"/>
    <cellStyle name="SAPBEXexcCritical4 4 2 4" xfId="45794" xr:uid="{00000000-0005-0000-0000-00007CB30000}"/>
    <cellStyle name="SAPBEXexcCritical4 4 3" xfId="45795" xr:uid="{00000000-0005-0000-0000-00007DB30000}"/>
    <cellStyle name="SAPBEXexcCritical4 4 3 2" xfId="45796" xr:uid="{00000000-0005-0000-0000-00007EB30000}"/>
    <cellStyle name="SAPBEXexcCritical4 4 3 2 2" xfId="45797" xr:uid="{00000000-0005-0000-0000-00007FB30000}"/>
    <cellStyle name="SAPBEXexcCritical4 4 3 3" xfId="45798" xr:uid="{00000000-0005-0000-0000-000080B30000}"/>
    <cellStyle name="SAPBEXexcCritical4 4 4" xfId="45799" xr:uid="{00000000-0005-0000-0000-000081B30000}"/>
    <cellStyle name="SAPBEXexcCritical4 4 4 2" xfId="45800" xr:uid="{00000000-0005-0000-0000-000082B30000}"/>
    <cellStyle name="SAPBEXexcCritical4 4 4 2 2" xfId="45801" xr:uid="{00000000-0005-0000-0000-000083B30000}"/>
    <cellStyle name="SAPBEXexcCritical4 4 4 3" xfId="45802" xr:uid="{00000000-0005-0000-0000-000084B30000}"/>
    <cellStyle name="SAPBEXexcCritical4 4 5" xfId="45803" xr:uid="{00000000-0005-0000-0000-000085B30000}"/>
    <cellStyle name="SAPBEXexcCritical4 4 5 2" xfId="45804" xr:uid="{00000000-0005-0000-0000-000086B30000}"/>
    <cellStyle name="SAPBEXexcCritical4 4 5 2 2" xfId="45805" xr:uid="{00000000-0005-0000-0000-000087B30000}"/>
    <cellStyle name="SAPBEXexcCritical4 4 5 3" xfId="45806" xr:uid="{00000000-0005-0000-0000-000088B30000}"/>
    <cellStyle name="SAPBEXexcCritical4 4 6" xfId="45807" xr:uid="{00000000-0005-0000-0000-000089B30000}"/>
    <cellStyle name="SAPBEXexcCritical4 5" xfId="45808" xr:uid="{00000000-0005-0000-0000-00008AB30000}"/>
    <cellStyle name="SAPBEXexcCritical4 5 2" xfId="45809" xr:uid="{00000000-0005-0000-0000-00008BB30000}"/>
    <cellStyle name="SAPBEXexcCritical4 5 2 2" xfId="45810" xr:uid="{00000000-0005-0000-0000-00008CB30000}"/>
    <cellStyle name="SAPBEXexcCritical4 5 3" xfId="45811" xr:uid="{00000000-0005-0000-0000-00008DB30000}"/>
    <cellStyle name="SAPBEXexcCritical4 6" xfId="45812" xr:uid="{00000000-0005-0000-0000-00008EB30000}"/>
    <cellStyle name="SAPBEXexcCritical4 6 2" xfId="45813" xr:uid="{00000000-0005-0000-0000-00008FB30000}"/>
    <cellStyle name="SAPBEXexcCritical4 6 2 2" xfId="45814" xr:uid="{00000000-0005-0000-0000-000090B30000}"/>
    <cellStyle name="SAPBEXexcCritical4 6 3" xfId="45815" xr:uid="{00000000-0005-0000-0000-000091B30000}"/>
    <cellStyle name="SAPBEXexcCritical4 7" xfId="45816" xr:uid="{00000000-0005-0000-0000-000092B30000}"/>
    <cellStyle name="SAPBEXexcCritical4 7 2" xfId="45817" xr:uid="{00000000-0005-0000-0000-000093B30000}"/>
    <cellStyle name="SAPBEXexcCritical4 7 2 2" xfId="45818" xr:uid="{00000000-0005-0000-0000-000094B30000}"/>
    <cellStyle name="SAPBEXexcCritical4 7 3" xfId="45819" xr:uid="{00000000-0005-0000-0000-000095B30000}"/>
    <cellStyle name="SAPBEXexcCritical4 8" xfId="45820" xr:uid="{00000000-0005-0000-0000-000096B30000}"/>
    <cellStyle name="SAPBEXexcCritical4 8 2" xfId="45821" xr:uid="{00000000-0005-0000-0000-000097B30000}"/>
    <cellStyle name="SAPBEXexcCritical4 9" xfId="45822" xr:uid="{00000000-0005-0000-0000-000098B30000}"/>
    <cellStyle name="SAPBEXexcCritical4 9 2" xfId="45823" xr:uid="{00000000-0005-0000-0000-000099B30000}"/>
    <cellStyle name="SAPBEXexcCritical5" xfId="49" xr:uid="{00000000-0005-0000-0000-00009AB30000}"/>
    <cellStyle name="SAPBEXexcCritical5 10" xfId="45824" xr:uid="{00000000-0005-0000-0000-00009BB30000}"/>
    <cellStyle name="SAPBEXexcCritical5 10 2" xfId="45825" xr:uid="{00000000-0005-0000-0000-00009CB30000}"/>
    <cellStyle name="SAPBEXexcCritical5 11" xfId="45826" xr:uid="{00000000-0005-0000-0000-00009DB30000}"/>
    <cellStyle name="SAPBEXexcCritical5 11 2" xfId="45827" xr:uid="{00000000-0005-0000-0000-00009EB30000}"/>
    <cellStyle name="SAPBEXexcCritical5 12" xfId="45828" xr:uid="{00000000-0005-0000-0000-00009FB30000}"/>
    <cellStyle name="SAPBEXexcCritical5 12 2" xfId="45829" xr:uid="{00000000-0005-0000-0000-0000A0B30000}"/>
    <cellStyle name="SAPBEXexcCritical5 13" xfId="45830" xr:uid="{00000000-0005-0000-0000-0000A1B30000}"/>
    <cellStyle name="SAPBEXexcCritical5 14" xfId="45831" xr:uid="{00000000-0005-0000-0000-0000A2B30000}"/>
    <cellStyle name="SAPBEXexcCritical5 2" xfId="45832" xr:uid="{00000000-0005-0000-0000-0000A3B30000}"/>
    <cellStyle name="SAPBEXexcCritical5 2 2" xfId="45833" xr:uid="{00000000-0005-0000-0000-0000A4B30000}"/>
    <cellStyle name="SAPBEXexcCritical5 2 2 2" xfId="45834" xr:uid="{00000000-0005-0000-0000-0000A5B30000}"/>
    <cellStyle name="SAPBEXexcCritical5 2 2 2 2" xfId="45835" xr:uid="{00000000-0005-0000-0000-0000A6B30000}"/>
    <cellStyle name="SAPBEXexcCritical5 2 2 2 2 2" xfId="45836" xr:uid="{00000000-0005-0000-0000-0000A7B30000}"/>
    <cellStyle name="SAPBEXexcCritical5 2 2 2 2 2 2" xfId="45837" xr:uid="{00000000-0005-0000-0000-0000A8B30000}"/>
    <cellStyle name="SAPBEXexcCritical5 2 2 2 2 3" xfId="45838" xr:uid="{00000000-0005-0000-0000-0000A9B30000}"/>
    <cellStyle name="SAPBEXexcCritical5 2 2 2 3" xfId="45839" xr:uid="{00000000-0005-0000-0000-0000AAB30000}"/>
    <cellStyle name="SAPBEXexcCritical5 2 2 2 3 2" xfId="45840" xr:uid="{00000000-0005-0000-0000-0000ABB30000}"/>
    <cellStyle name="SAPBEXexcCritical5 2 2 2 4" xfId="45841" xr:uid="{00000000-0005-0000-0000-0000ACB30000}"/>
    <cellStyle name="SAPBEXexcCritical5 2 2 3" xfId="45842" xr:uid="{00000000-0005-0000-0000-0000ADB30000}"/>
    <cellStyle name="SAPBEXexcCritical5 2 2 3 2" xfId="45843" xr:uid="{00000000-0005-0000-0000-0000AEB30000}"/>
    <cellStyle name="SAPBEXexcCritical5 2 2 3 2 2" xfId="45844" xr:uid="{00000000-0005-0000-0000-0000AFB30000}"/>
    <cellStyle name="SAPBEXexcCritical5 2 2 3 3" xfId="45845" xr:uid="{00000000-0005-0000-0000-0000B0B30000}"/>
    <cellStyle name="SAPBEXexcCritical5 2 2 4" xfId="45846" xr:uid="{00000000-0005-0000-0000-0000B1B30000}"/>
    <cellStyle name="SAPBEXexcCritical5 2 2 4 2" xfId="45847" xr:uid="{00000000-0005-0000-0000-0000B2B30000}"/>
    <cellStyle name="SAPBEXexcCritical5 2 2 4 2 2" xfId="45848" xr:uid="{00000000-0005-0000-0000-0000B3B30000}"/>
    <cellStyle name="SAPBEXexcCritical5 2 2 4 3" xfId="45849" xr:uid="{00000000-0005-0000-0000-0000B4B30000}"/>
    <cellStyle name="SAPBEXexcCritical5 2 2 5" xfId="45850" xr:uid="{00000000-0005-0000-0000-0000B5B30000}"/>
    <cellStyle name="SAPBEXexcCritical5 2 2 5 2" xfId="45851" xr:uid="{00000000-0005-0000-0000-0000B6B30000}"/>
    <cellStyle name="SAPBEXexcCritical5 2 2 6" xfId="45852" xr:uid="{00000000-0005-0000-0000-0000B7B30000}"/>
    <cellStyle name="SAPBEXexcCritical5 2 3" xfId="45853" xr:uid="{00000000-0005-0000-0000-0000B8B30000}"/>
    <cellStyle name="SAPBEXexcCritical5 2 3 2" xfId="45854" xr:uid="{00000000-0005-0000-0000-0000B9B30000}"/>
    <cellStyle name="SAPBEXexcCritical5 2 3 2 2" xfId="45855" xr:uid="{00000000-0005-0000-0000-0000BAB30000}"/>
    <cellStyle name="SAPBEXexcCritical5 2 3 3" xfId="45856" xr:uid="{00000000-0005-0000-0000-0000BBB30000}"/>
    <cellStyle name="SAPBEXexcCritical5 2 4" xfId="45857" xr:uid="{00000000-0005-0000-0000-0000BCB30000}"/>
    <cellStyle name="SAPBEXexcCritical5 2 4 2" xfId="45858" xr:uid="{00000000-0005-0000-0000-0000BDB30000}"/>
    <cellStyle name="SAPBEXexcCritical5 2 4 2 2" xfId="45859" xr:uid="{00000000-0005-0000-0000-0000BEB30000}"/>
    <cellStyle name="SAPBEXexcCritical5 2 4 3" xfId="45860" xr:uid="{00000000-0005-0000-0000-0000BFB30000}"/>
    <cellStyle name="SAPBEXexcCritical5 2 5" xfId="45861" xr:uid="{00000000-0005-0000-0000-0000C0B30000}"/>
    <cellStyle name="SAPBEXexcCritical5 2 5 2" xfId="45862" xr:uid="{00000000-0005-0000-0000-0000C1B30000}"/>
    <cellStyle name="SAPBEXexcCritical5 2 5 2 2" xfId="45863" xr:uid="{00000000-0005-0000-0000-0000C2B30000}"/>
    <cellStyle name="SAPBEXexcCritical5 2 5 3" xfId="45864" xr:uid="{00000000-0005-0000-0000-0000C3B30000}"/>
    <cellStyle name="SAPBEXexcCritical5 2 6" xfId="45865" xr:uid="{00000000-0005-0000-0000-0000C4B30000}"/>
    <cellStyle name="SAPBEXexcCritical5 2 6 2" xfId="45866" xr:uid="{00000000-0005-0000-0000-0000C5B30000}"/>
    <cellStyle name="SAPBEXexcCritical5 2 7" xfId="45867" xr:uid="{00000000-0005-0000-0000-0000C6B30000}"/>
    <cellStyle name="SAPBEXexcCritical5 3" xfId="45868" xr:uid="{00000000-0005-0000-0000-0000C7B30000}"/>
    <cellStyle name="SAPBEXexcCritical5 3 2" xfId="45869" xr:uid="{00000000-0005-0000-0000-0000C8B30000}"/>
    <cellStyle name="SAPBEXexcCritical5 3 2 2" xfId="45870" xr:uid="{00000000-0005-0000-0000-0000C9B30000}"/>
    <cellStyle name="SAPBEXexcCritical5 3 3" xfId="45871" xr:uid="{00000000-0005-0000-0000-0000CAB30000}"/>
    <cellStyle name="SAPBEXexcCritical5 3 3 2" xfId="45872" xr:uid="{00000000-0005-0000-0000-0000CBB30000}"/>
    <cellStyle name="SAPBEXexcCritical5 3 3 2 2" xfId="45873" xr:uid="{00000000-0005-0000-0000-0000CCB30000}"/>
    <cellStyle name="SAPBEXexcCritical5 3 3 3" xfId="45874" xr:uid="{00000000-0005-0000-0000-0000CDB30000}"/>
    <cellStyle name="SAPBEXexcCritical5 3 4" xfId="45875" xr:uid="{00000000-0005-0000-0000-0000CEB30000}"/>
    <cellStyle name="SAPBEXexcCritical5 3 4 2" xfId="45876" xr:uid="{00000000-0005-0000-0000-0000CFB30000}"/>
    <cellStyle name="SAPBEXexcCritical5 3 4 2 2" xfId="45877" xr:uid="{00000000-0005-0000-0000-0000D0B30000}"/>
    <cellStyle name="SAPBEXexcCritical5 3 4 3" xfId="45878" xr:uid="{00000000-0005-0000-0000-0000D1B30000}"/>
    <cellStyle name="SAPBEXexcCritical5 3 5" xfId="45879" xr:uid="{00000000-0005-0000-0000-0000D2B30000}"/>
    <cellStyle name="SAPBEXexcCritical5 4" xfId="45880" xr:uid="{00000000-0005-0000-0000-0000D3B30000}"/>
    <cellStyle name="SAPBEXexcCritical5 4 2" xfId="45881" xr:uid="{00000000-0005-0000-0000-0000D4B30000}"/>
    <cellStyle name="SAPBEXexcCritical5 4 2 2" xfId="45882" xr:uid="{00000000-0005-0000-0000-0000D5B30000}"/>
    <cellStyle name="SAPBEXexcCritical5 4 2 2 2" xfId="45883" xr:uid="{00000000-0005-0000-0000-0000D6B30000}"/>
    <cellStyle name="SAPBEXexcCritical5 4 2 3" xfId="45884" xr:uid="{00000000-0005-0000-0000-0000D7B30000}"/>
    <cellStyle name="SAPBEXexcCritical5 4 2 3 2" xfId="45885" xr:uid="{00000000-0005-0000-0000-0000D8B30000}"/>
    <cellStyle name="SAPBEXexcCritical5 4 2 3 2 2" xfId="45886" xr:uid="{00000000-0005-0000-0000-0000D9B30000}"/>
    <cellStyle name="SAPBEXexcCritical5 4 2 3 3" xfId="45887" xr:uid="{00000000-0005-0000-0000-0000DAB30000}"/>
    <cellStyle name="SAPBEXexcCritical5 4 2 4" xfId="45888" xr:uid="{00000000-0005-0000-0000-0000DBB30000}"/>
    <cellStyle name="SAPBEXexcCritical5 4 3" xfId="45889" xr:uid="{00000000-0005-0000-0000-0000DCB30000}"/>
    <cellStyle name="SAPBEXexcCritical5 4 3 2" xfId="45890" xr:uid="{00000000-0005-0000-0000-0000DDB30000}"/>
    <cellStyle name="SAPBEXexcCritical5 4 3 2 2" xfId="45891" xr:uid="{00000000-0005-0000-0000-0000DEB30000}"/>
    <cellStyle name="SAPBEXexcCritical5 4 3 3" xfId="45892" xr:uid="{00000000-0005-0000-0000-0000DFB30000}"/>
    <cellStyle name="SAPBEXexcCritical5 4 4" xfId="45893" xr:uid="{00000000-0005-0000-0000-0000E0B30000}"/>
    <cellStyle name="SAPBEXexcCritical5 4 4 2" xfId="45894" xr:uid="{00000000-0005-0000-0000-0000E1B30000}"/>
    <cellStyle name="SAPBEXexcCritical5 4 4 2 2" xfId="45895" xr:uid="{00000000-0005-0000-0000-0000E2B30000}"/>
    <cellStyle name="SAPBEXexcCritical5 4 4 3" xfId="45896" xr:uid="{00000000-0005-0000-0000-0000E3B30000}"/>
    <cellStyle name="SAPBEXexcCritical5 4 5" xfId="45897" xr:uid="{00000000-0005-0000-0000-0000E4B30000}"/>
    <cellStyle name="SAPBEXexcCritical5 4 5 2" xfId="45898" xr:uid="{00000000-0005-0000-0000-0000E5B30000}"/>
    <cellStyle name="SAPBEXexcCritical5 4 5 2 2" xfId="45899" xr:uid="{00000000-0005-0000-0000-0000E6B30000}"/>
    <cellStyle name="SAPBEXexcCritical5 4 5 3" xfId="45900" xr:uid="{00000000-0005-0000-0000-0000E7B30000}"/>
    <cellStyle name="SAPBEXexcCritical5 4 6" xfId="45901" xr:uid="{00000000-0005-0000-0000-0000E8B30000}"/>
    <cellStyle name="SAPBEXexcCritical5 5" xfId="45902" xr:uid="{00000000-0005-0000-0000-0000E9B30000}"/>
    <cellStyle name="SAPBEXexcCritical5 5 2" xfId="45903" xr:uid="{00000000-0005-0000-0000-0000EAB30000}"/>
    <cellStyle name="SAPBEXexcCritical5 5 2 2" xfId="45904" xr:uid="{00000000-0005-0000-0000-0000EBB30000}"/>
    <cellStyle name="SAPBEXexcCritical5 5 3" xfId="45905" xr:uid="{00000000-0005-0000-0000-0000ECB30000}"/>
    <cellStyle name="SAPBEXexcCritical5 6" xfId="45906" xr:uid="{00000000-0005-0000-0000-0000EDB30000}"/>
    <cellStyle name="SAPBEXexcCritical5 6 2" xfId="45907" xr:uid="{00000000-0005-0000-0000-0000EEB30000}"/>
    <cellStyle name="SAPBEXexcCritical5 6 2 2" xfId="45908" xr:uid="{00000000-0005-0000-0000-0000EFB30000}"/>
    <cellStyle name="SAPBEXexcCritical5 6 3" xfId="45909" xr:uid="{00000000-0005-0000-0000-0000F0B30000}"/>
    <cellStyle name="SAPBEXexcCritical5 7" xfId="45910" xr:uid="{00000000-0005-0000-0000-0000F1B30000}"/>
    <cellStyle name="SAPBEXexcCritical5 7 2" xfId="45911" xr:uid="{00000000-0005-0000-0000-0000F2B30000}"/>
    <cellStyle name="SAPBEXexcCritical5 7 2 2" xfId="45912" xr:uid="{00000000-0005-0000-0000-0000F3B30000}"/>
    <cellStyle name="SAPBEXexcCritical5 7 3" xfId="45913" xr:uid="{00000000-0005-0000-0000-0000F4B30000}"/>
    <cellStyle name="SAPBEXexcCritical5 8" xfId="45914" xr:uid="{00000000-0005-0000-0000-0000F5B30000}"/>
    <cellStyle name="SAPBEXexcCritical5 8 2" xfId="45915" xr:uid="{00000000-0005-0000-0000-0000F6B30000}"/>
    <cellStyle name="SAPBEXexcCritical5 9" xfId="45916" xr:uid="{00000000-0005-0000-0000-0000F7B30000}"/>
    <cellStyle name="SAPBEXexcCritical5 9 2" xfId="45917" xr:uid="{00000000-0005-0000-0000-0000F8B30000}"/>
    <cellStyle name="SAPBEXexcCritical6" xfId="50" xr:uid="{00000000-0005-0000-0000-0000F9B30000}"/>
    <cellStyle name="SAPBEXexcCritical6 10" xfId="45918" xr:uid="{00000000-0005-0000-0000-0000FAB30000}"/>
    <cellStyle name="SAPBEXexcCritical6 10 2" xfId="45919" xr:uid="{00000000-0005-0000-0000-0000FBB30000}"/>
    <cellStyle name="SAPBEXexcCritical6 11" xfId="45920" xr:uid="{00000000-0005-0000-0000-0000FCB30000}"/>
    <cellStyle name="SAPBEXexcCritical6 11 2" xfId="45921" xr:uid="{00000000-0005-0000-0000-0000FDB30000}"/>
    <cellStyle name="SAPBEXexcCritical6 12" xfId="45922" xr:uid="{00000000-0005-0000-0000-0000FEB30000}"/>
    <cellStyle name="SAPBEXexcCritical6 12 2" xfId="45923" xr:uid="{00000000-0005-0000-0000-0000FFB30000}"/>
    <cellStyle name="SAPBEXexcCritical6 13" xfId="45924" xr:uid="{00000000-0005-0000-0000-000000B40000}"/>
    <cellStyle name="SAPBEXexcCritical6 14" xfId="45925" xr:uid="{00000000-0005-0000-0000-000001B40000}"/>
    <cellStyle name="SAPBEXexcCritical6 2" xfId="45926" xr:uid="{00000000-0005-0000-0000-000002B40000}"/>
    <cellStyle name="SAPBEXexcCritical6 2 2" xfId="45927" xr:uid="{00000000-0005-0000-0000-000003B40000}"/>
    <cellStyle name="SAPBEXexcCritical6 2 2 2" xfId="45928" xr:uid="{00000000-0005-0000-0000-000004B40000}"/>
    <cellStyle name="SAPBEXexcCritical6 2 2 2 2" xfId="45929" xr:uid="{00000000-0005-0000-0000-000005B40000}"/>
    <cellStyle name="SAPBEXexcCritical6 2 2 2 2 2" xfId="45930" xr:uid="{00000000-0005-0000-0000-000006B40000}"/>
    <cellStyle name="SAPBEXexcCritical6 2 2 2 2 2 2" xfId="45931" xr:uid="{00000000-0005-0000-0000-000007B40000}"/>
    <cellStyle name="SAPBEXexcCritical6 2 2 2 2 3" xfId="45932" xr:uid="{00000000-0005-0000-0000-000008B40000}"/>
    <cellStyle name="SAPBEXexcCritical6 2 2 2 3" xfId="45933" xr:uid="{00000000-0005-0000-0000-000009B40000}"/>
    <cellStyle name="SAPBEXexcCritical6 2 2 2 3 2" xfId="45934" xr:uid="{00000000-0005-0000-0000-00000AB40000}"/>
    <cellStyle name="SAPBEXexcCritical6 2 2 2 4" xfId="45935" xr:uid="{00000000-0005-0000-0000-00000BB40000}"/>
    <cellStyle name="SAPBEXexcCritical6 2 2 3" xfId="45936" xr:uid="{00000000-0005-0000-0000-00000CB40000}"/>
    <cellStyle name="SAPBEXexcCritical6 2 2 3 2" xfId="45937" xr:uid="{00000000-0005-0000-0000-00000DB40000}"/>
    <cellStyle name="SAPBEXexcCritical6 2 2 3 2 2" xfId="45938" xr:uid="{00000000-0005-0000-0000-00000EB40000}"/>
    <cellStyle name="SAPBEXexcCritical6 2 2 3 3" xfId="45939" xr:uid="{00000000-0005-0000-0000-00000FB40000}"/>
    <cellStyle name="SAPBEXexcCritical6 2 2 4" xfId="45940" xr:uid="{00000000-0005-0000-0000-000010B40000}"/>
    <cellStyle name="SAPBEXexcCritical6 2 2 4 2" xfId="45941" xr:uid="{00000000-0005-0000-0000-000011B40000}"/>
    <cellStyle name="SAPBEXexcCritical6 2 2 4 2 2" xfId="45942" xr:uid="{00000000-0005-0000-0000-000012B40000}"/>
    <cellStyle name="SAPBEXexcCritical6 2 2 4 3" xfId="45943" xr:uid="{00000000-0005-0000-0000-000013B40000}"/>
    <cellStyle name="SAPBEXexcCritical6 2 2 5" xfId="45944" xr:uid="{00000000-0005-0000-0000-000014B40000}"/>
    <cellStyle name="SAPBEXexcCritical6 2 2 5 2" xfId="45945" xr:uid="{00000000-0005-0000-0000-000015B40000}"/>
    <cellStyle name="SAPBEXexcCritical6 2 2 6" xfId="45946" xr:uid="{00000000-0005-0000-0000-000016B40000}"/>
    <cellStyle name="SAPBEXexcCritical6 2 3" xfId="45947" xr:uid="{00000000-0005-0000-0000-000017B40000}"/>
    <cellStyle name="SAPBEXexcCritical6 2 3 2" xfId="45948" xr:uid="{00000000-0005-0000-0000-000018B40000}"/>
    <cellStyle name="SAPBEXexcCritical6 2 3 2 2" xfId="45949" xr:uid="{00000000-0005-0000-0000-000019B40000}"/>
    <cellStyle name="SAPBEXexcCritical6 2 3 3" xfId="45950" xr:uid="{00000000-0005-0000-0000-00001AB40000}"/>
    <cellStyle name="SAPBEXexcCritical6 2 4" xfId="45951" xr:uid="{00000000-0005-0000-0000-00001BB40000}"/>
    <cellStyle name="SAPBEXexcCritical6 2 4 2" xfId="45952" xr:uid="{00000000-0005-0000-0000-00001CB40000}"/>
    <cellStyle name="SAPBEXexcCritical6 2 4 2 2" xfId="45953" xr:uid="{00000000-0005-0000-0000-00001DB40000}"/>
    <cellStyle name="SAPBEXexcCritical6 2 4 3" xfId="45954" xr:uid="{00000000-0005-0000-0000-00001EB40000}"/>
    <cellStyle name="SAPBEXexcCritical6 2 5" xfId="45955" xr:uid="{00000000-0005-0000-0000-00001FB40000}"/>
    <cellStyle name="SAPBEXexcCritical6 2 5 2" xfId="45956" xr:uid="{00000000-0005-0000-0000-000020B40000}"/>
    <cellStyle name="SAPBEXexcCritical6 2 5 2 2" xfId="45957" xr:uid="{00000000-0005-0000-0000-000021B40000}"/>
    <cellStyle name="SAPBEXexcCritical6 2 5 3" xfId="45958" xr:uid="{00000000-0005-0000-0000-000022B40000}"/>
    <cellStyle name="SAPBEXexcCritical6 2 6" xfId="45959" xr:uid="{00000000-0005-0000-0000-000023B40000}"/>
    <cellStyle name="SAPBEXexcCritical6 2 6 2" xfId="45960" xr:uid="{00000000-0005-0000-0000-000024B40000}"/>
    <cellStyle name="SAPBEXexcCritical6 2 7" xfId="45961" xr:uid="{00000000-0005-0000-0000-000025B40000}"/>
    <cellStyle name="SAPBEXexcCritical6 3" xfId="45962" xr:uid="{00000000-0005-0000-0000-000026B40000}"/>
    <cellStyle name="SAPBEXexcCritical6 3 2" xfId="45963" xr:uid="{00000000-0005-0000-0000-000027B40000}"/>
    <cellStyle name="SAPBEXexcCritical6 3 2 2" xfId="45964" xr:uid="{00000000-0005-0000-0000-000028B40000}"/>
    <cellStyle name="SAPBEXexcCritical6 3 3" xfId="45965" xr:uid="{00000000-0005-0000-0000-000029B40000}"/>
    <cellStyle name="SAPBEXexcCritical6 3 3 2" xfId="45966" xr:uid="{00000000-0005-0000-0000-00002AB40000}"/>
    <cellStyle name="SAPBEXexcCritical6 3 3 2 2" xfId="45967" xr:uid="{00000000-0005-0000-0000-00002BB40000}"/>
    <cellStyle name="SAPBEXexcCritical6 3 3 3" xfId="45968" xr:uid="{00000000-0005-0000-0000-00002CB40000}"/>
    <cellStyle name="SAPBEXexcCritical6 3 4" xfId="45969" xr:uid="{00000000-0005-0000-0000-00002DB40000}"/>
    <cellStyle name="SAPBEXexcCritical6 3 4 2" xfId="45970" xr:uid="{00000000-0005-0000-0000-00002EB40000}"/>
    <cellStyle name="SAPBEXexcCritical6 3 4 2 2" xfId="45971" xr:uid="{00000000-0005-0000-0000-00002FB40000}"/>
    <cellStyle name="SAPBEXexcCritical6 3 4 3" xfId="45972" xr:uid="{00000000-0005-0000-0000-000030B40000}"/>
    <cellStyle name="SAPBEXexcCritical6 3 5" xfId="45973" xr:uid="{00000000-0005-0000-0000-000031B40000}"/>
    <cellStyle name="SAPBEXexcCritical6 4" xfId="45974" xr:uid="{00000000-0005-0000-0000-000032B40000}"/>
    <cellStyle name="SAPBEXexcCritical6 4 2" xfId="45975" xr:uid="{00000000-0005-0000-0000-000033B40000}"/>
    <cellStyle name="SAPBEXexcCritical6 4 2 2" xfId="45976" xr:uid="{00000000-0005-0000-0000-000034B40000}"/>
    <cellStyle name="SAPBEXexcCritical6 4 2 2 2" xfId="45977" xr:uid="{00000000-0005-0000-0000-000035B40000}"/>
    <cellStyle name="SAPBEXexcCritical6 4 2 3" xfId="45978" xr:uid="{00000000-0005-0000-0000-000036B40000}"/>
    <cellStyle name="SAPBEXexcCritical6 4 2 3 2" xfId="45979" xr:uid="{00000000-0005-0000-0000-000037B40000}"/>
    <cellStyle name="SAPBEXexcCritical6 4 2 3 2 2" xfId="45980" xr:uid="{00000000-0005-0000-0000-000038B40000}"/>
    <cellStyle name="SAPBEXexcCritical6 4 2 3 3" xfId="45981" xr:uid="{00000000-0005-0000-0000-000039B40000}"/>
    <cellStyle name="SAPBEXexcCritical6 4 2 4" xfId="45982" xr:uid="{00000000-0005-0000-0000-00003AB40000}"/>
    <cellStyle name="SAPBEXexcCritical6 4 3" xfId="45983" xr:uid="{00000000-0005-0000-0000-00003BB40000}"/>
    <cellStyle name="SAPBEXexcCritical6 4 3 2" xfId="45984" xr:uid="{00000000-0005-0000-0000-00003CB40000}"/>
    <cellStyle name="SAPBEXexcCritical6 4 3 2 2" xfId="45985" xr:uid="{00000000-0005-0000-0000-00003DB40000}"/>
    <cellStyle name="SAPBEXexcCritical6 4 3 3" xfId="45986" xr:uid="{00000000-0005-0000-0000-00003EB40000}"/>
    <cellStyle name="SAPBEXexcCritical6 4 4" xfId="45987" xr:uid="{00000000-0005-0000-0000-00003FB40000}"/>
    <cellStyle name="SAPBEXexcCritical6 4 4 2" xfId="45988" xr:uid="{00000000-0005-0000-0000-000040B40000}"/>
    <cellStyle name="SAPBEXexcCritical6 4 4 2 2" xfId="45989" xr:uid="{00000000-0005-0000-0000-000041B40000}"/>
    <cellStyle name="SAPBEXexcCritical6 4 4 3" xfId="45990" xr:uid="{00000000-0005-0000-0000-000042B40000}"/>
    <cellStyle name="SAPBEXexcCritical6 4 5" xfId="45991" xr:uid="{00000000-0005-0000-0000-000043B40000}"/>
    <cellStyle name="SAPBEXexcCritical6 4 5 2" xfId="45992" xr:uid="{00000000-0005-0000-0000-000044B40000}"/>
    <cellStyle name="SAPBEXexcCritical6 4 5 2 2" xfId="45993" xr:uid="{00000000-0005-0000-0000-000045B40000}"/>
    <cellStyle name="SAPBEXexcCritical6 4 5 3" xfId="45994" xr:uid="{00000000-0005-0000-0000-000046B40000}"/>
    <cellStyle name="SAPBEXexcCritical6 4 6" xfId="45995" xr:uid="{00000000-0005-0000-0000-000047B40000}"/>
    <cellStyle name="SAPBEXexcCritical6 5" xfId="45996" xr:uid="{00000000-0005-0000-0000-000048B40000}"/>
    <cellStyle name="SAPBEXexcCritical6 5 2" xfId="45997" xr:uid="{00000000-0005-0000-0000-000049B40000}"/>
    <cellStyle name="SAPBEXexcCritical6 5 2 2" xfId="45998" xr:uid="{00000000-0005-0000-0000-00004AB40000}"/>
    <cellStyle name="SAPBEXexcCritical6 5 3" xfId="45999" xr:uid="{00000000-0005-0000-0000-00004BB40000}"/>
    <cellStyle name="SAPBEXexcCritical6 6" xfId="46000" xr:uid="{00000000-0005-0000-0000-00004CB40000}"/>
    <cellStyle name="SAPBEXexcCritical6 6 2" xfId="46001" xr:uid="{00000000-0005-0000-0000-00004DB40000}"/>
    <cellStyle name="SAPBEXexcCritical6 6 2 2" xfId="46002" xr:uid="{00000000-0005-0000-0000-00004EB40000}"/>
    <cellStyle name="SAPBEXexcCritical6 6 3" xfId="46003" xr:uid="{00000000-0005-0000-0000-00004FB40000}"/>
    <cellStyle name="SAPBEXexcCritical6 7" xfId="46004" xr:uid="{00000000-0005-0000-0000-000050B40000}"/>
    <cellStyle name="SAPBEXexcCritical6 7 2" xfId="46005" xr:uid="{00000000-0005-0000-0000-000051B40000}"/>
    <cellStyle name="SAPBEXexcCritical6 7 2 2" xfId="46006" xr:uid="{00000000-0005-0000-0000-000052B40000}"/>
    <cellStyle name="SAPBEXexcCritical6 7 3" xfId="46007" xr:uid="{00000000-0005-0000-0000-000053B40000}"/>
    <cellStyle name="SAPBEXexcCritical6 8" xfId="46008" xr:uid="{00000000-0005-0000-0000-000054B40000}"/>
    <cellStyle name="SAPBEXexcCritical6 8 2" xfId="46009" xr:uid="{00000000-0005-0000-0000-000055B40000}"/>
    <cellStyle name="SAPBEXexcCritical6 9" xfId="46010" xr:uid="{00000000-0005-0000-0000-000056B40000}"/>
    <cellStyle name="SAPBEXexcCritical6 9 2" xfId="46011" xr:uid="{00000000-0005-0000-0000-000057B40000}"/>
    <cellStyle name="SAPBEXexcGood1" xfId="51" xr:uid="{00000000-0005-0000-0000-000058B40000}"/>
    <cellStyle name="SAPBEXexcGood1 10" xfId="46012" xr:uid="{00000000-0005-0000-0000-000059B40000}"/>
    <cellStyle name="SAPBEXexcGood1 10 2" xfId="46013" xr:uid="{00000000-0005-0000-0000-00005AB40000}"/>
    <cellStyle name="SAPBEXexcGood1 11" xfId="46014" xr:uid="{00000000-0005-0000-0000-00005BB40000}"/>
    <cellStyle name="SAPBEXexcGood1 11 2" xfId="46015" xr:uid="{00000000-0005-0000-0000-00005CB40000}"/>
    <cellStyle name="SAPBEXexcGood1 12" xfId="46016" xr:uid="{00000000-0005-0000-0000-00005DB40000}"/>
    <cellStyle name="SAPBEXexcGood1 12 2" xfId="46017" xr:uid="{00000000-0005-0000-0000-00005EB40000}"/>
    <cellStyle name="SAPBEXexcGood1 13" xfId="46018" xr:uid="{00000000-0005-0000-0000-00005FB40000}"/>
    <cellStyle name="SAPBEXexcGood1 14" xfId="46019" xr:uid="{00000000-0005-0000-0000-000060B40000}"/>
    <cellStyle name="SAPBEXexcGood1 2" xfId="46020" xr:uid="{00000000-0005-0000-0000-000061B40000}"/>
    <cellStyle name="SAPBEXexcGood1 2 2" xfId="46021" xr:uid="{00000000-0005-0000-0000-000062B40000}"/>
    <cellStyle name="SAPBEXexcGood1 2 2 2" xfId="46022" xr:uid="{00000000-0005-0000-0000-000063B40000}"/>
    <cellStyle name="SAPBEXexcGood1 2 2 2 2" xfId="46023" xr:uid="{00000000-0005-0000-0000-000064B40000}"/>
    <cellStyle name="SAPBEXexcGood1 2 2 2 2 2" xfId="46024" xr:uid="{00000000-0005-0000-0000-000065B40000}"/>
    <cellStyle name="SAPBEXexcGood1 2 2 2 2 2 2" xfId="46025" xr:uid="{00000000-0005-0000-0000-000066B40000}"/>
    <cellStyle name="SAPBEXexcGood1 2 2 2 2 3" xfId="46026" xr:uid="{00000000-0005-0000-0000-000067B40000}"/>
    <cellStyle name="SAPBEXexcGood1 2 2 2 3" xfId="46027" xr:uid="{00000000-0005-0000-0000-000068B40000}"/>
    <cellStyle name="SAPBEXexcGood1 2 2 2 3 2" xfId="46028" xr:uid="{00000000-0005-0000-0000-000069B40000}"/>
    <cellStyle name="SAPBEXexcGood1 2 2 2 4" xfId="46029" xr:uid="{00000000-0005-0000-0000-00006AB40000}"/>
    <cellStyle name="SAPBEXexcGood1 2 2 3" xfId="46030" xr:uid="{00000000-0005-0000-0000-00006BB40000}"/>
    <cellStyle name="SAPBEXexcGood1 2 2 3 2" xfId="46031" xr:uid="{00000000-0005-0000-0000-00006CB40000}"/>
    <cellStyle name="SAPBEXexcGood1 2 2 3 2 2" xfId="46032" xr:uid="{00000000-0005-0000-0000-00006DB40000}"/>
    <cellStyle name="SAPBEXexcGood1 2 2 3 3" xfId="46033" xr:uid="{00000000-0005-0000-0000-00006EB40000}"/>
    <cellStyle name="SAPBEXexcGood1 2 2 4" xfId="46034" xr:uid="{00000000-0005-0000-0000-00006FB40000}"/>
    <cellStyle name="SAPBEXexcGood1 2 2 4 2" xfId="46035" xr:uid="{00000000-0005-0000-0000-000070B40000}"/>
    <cellStyle name="SAPBEXexcGood1 2 2 4 2 2" xfId="46036" xr:uid="{00000000-0005-0000-0000-000071B40000}"/>
    <cellStyle name="SAPBEXexcGood1 2 2 4 3" xfId="46037" xr:uid="{00000000-0005-0000-0000-000072B40000}"/>
    <cellStyle name="SAPBEXexcGood1 2 2 5" xfId="46038" xr:uid="{00000000-0005-0000-0000-000073B40000}"/>
    <cellStyle name="SAPBEXexcGood1 2 2 5 2" xfId="46039" xr:uid="{00000000-0005-0000-0000-000074B40000}"/>
    <cellStyle name="SAPBEXexcGood1 2 2 6" xfId="46040" xr:uid="{00000000-0005-0000-0000-000075B40000}"/>
    <cellStyle name="SAPBEXexcGood1 2 3" xfId="46041" xr:uid="{00000000-0005-0000-0000-000076B40000}"/>
    <cellStyle name="SAPBEXexcGood1 2 3 2" xfId="46042" xr:uid="{00000000-0005-0000-0000-000077B40000}"/>
    <cellStyle name="SAPBEXexcGood1 2 3 2 2" xfId="46043" xr:uid="{00000000-0005-0000-0000-000078B40000}"/>
    <cellStyle name="SAPBEXexcGood1 2 3 3" xfId="46044" xr:uid="{00000000-0005-0000-0000-000079B40000}"/>
    <cellStyle name="SAPBEXexcGood1 2 4" xfId="46045" xr:uid="{00000000-0005-0000-0000-00007AB40000}"/>
    <cellStyle name="SAPBEXexcGood1 2 4 2" xfId="46046" xr:uid="{00000000-0005-0000-0000-00007BB40000}"/>
    <cellStyle name="SAPBEXexcGood1 2 4 2 2" xfId="46047" xr:uid="{00000000-0005-0000-0000-00007CB40000}"/>
    <cellStyle name="SAPBEXexcGood1 2 4 3" xfId="46048" xr:uid="{00000000-0005-0000-0000-00007DB40000}"/>
    <cellStyle name="SAPBEXexcGood1 2 5" xfId="46049" xr:uid="{00000000-0005-0000-0000-00007EB40000}"/>
    <cellStyle name="SAPBEXexcGood1 2 5 2" xfId="46050" xr:uid="{00000000-0005-0000-0000-00007FB40000}"/>
    <cellStyle name="SAPBEXexcGood1 2 5 2 2" xfId="46051" xr:uid="{00000000-0005-0000-0000-000080B40000}"/>
    <cellStyle name="SAPBEXexcGood1 2 5 3" xfId="46052" xr:uid="{00000000-0005-0000-0000-000081B40000}"/>
    <cellStyle name="SAPBEXexcGood1 2 6" xfId="46053" xr:uid="{00000000-0005-0000-0000-000082B40000}"/>
    <cellStyle name="SAPBEXexcGood1 2 6 2" xfId="46054" xr:uid="{00000000-0005-0000-0000-000083B40000}"/>
    <cellStyle name="SAPBEXexcGood1 2 7" xfId="46055" xr:uid="{00000000-0005-0000-0000-000084B40000}"/>
    <cellStyle name="SAPBEXexcGood1 3" xfId="46056" xr:uid="{00000000-0005-0000-0000-000085B40000}"/>
    <cellStyle name="SAPBEXexcGood1 3 2" xfId="46057" xr:uid="{00000000-0005-0000-0000-000086B40000}"/>
    <cellStyle name="SAPBEXexcGood1 3 2 2" xfId="46058" xr:uid="{00000000-0005-0000-0000-000087B40000}"/>
    <cellStyle name="SAPBEXexcGood1 3 3" xfId="46059" xr:uid="{00000000-0005-0000-0000-000088B40000}"/>
    <cellStyle name="SAPBEXexcGood1 3 3 2" xfId="46060" xr:uid="{00000000-0005-0000-0000-000089B40000}"/>
    <cellStyle name="SAPBEXexcGood1 3 3 2 2" xfId="46061" xr:uid="{00000000-0005-0000-0000-00008AB40000}"/>
    <cellStyle name="SAPBEXexcGood1 3 3 3" xfId="46062" xr:uid="{00000000-0005-0000-0000-00008BB40000}"/>
    <cellStyle name="SAPBEXexcGood1 3 4" xfId="46063" xr:uid="{00000000-0005-0000-0000-00008CB40000}"/>
    <cellStyle name="SAPBEXexcGood1 3 4 2" xfId="46064" xr:uid="{00000000-0005-0000-0000-00008DB40000}"/>
    <cellStyle name="SAPBEXexcGood1 3 4 2 2" xfId="46065" xr:uid="{00000000-0005-0000-0000-00008EB40000}"/>
    <cellStyle name="SAPBEXexcGood1 3 4 3" xfId="46066" xr:uid="{00000000-0005-0000-0000-00008FB40000}"/>
    <cellStyle name="SAPBEXexcGood1 3 5" xfId="46067" xr:uid="{00000000-0005-0000-0000-000090B40000}"/>
    <cellStyle name="SAPBEXexcGood1 4" xfId="46068" xr:uid="{00000000-0005-0000-0000-000091B40000}"/>
    <cellStyle name="SAPBEXexcGood1 4 2" xfId="46069" xr:uid="{00000000-0005-0000-0000-000092B40000}"/>
    <cellStyle name="SAPBEXexcGood1 4 2 2" xfId="46070" xr:uid="{00000000-0005-0000-0000-000093B40000}"/>
    <cellStyle name="SAPBEXexcGood1 4 2 2 2" xfId="46071" xr:uid="{00000000-0005-0000-0000-000094B40000}"/>
    <cellStyle name="SAPBEXexcGood1 4 2 3" xfId="46072" xr:uid="{00000000-0005-0000-0000-000095B40000}"/>
    <cellStyle name="SAPBEXexcGood1 4 2 3 2" xfId="46073" xr:uid="{00000000-0005-0000-0000-000096B40000}"/>
    <cellStyle name="SAPBEXexcGood1 4 2 3 2 2" xfId="46074" xr:uid="{00000000-0005-0000-0000-000097B40000}"/>
    <cellStyle name="SAPBEXexcGood1 4 2 3 3" xfId="46075" xr:uid="{00000000-0005-0000-0000-000098B40000}"/>
    <cellStyle name="SAPBEXexcGood1 4 2 4" xfId="46076" xr:uid="{00000000-0005-0000-0000-000099B40000}"/>
    <cellStyle name="SAPBEXexcGood1 4 3" xfId="46077" xr:uid="{00000000-0005-0000-0000-00009AB40000}"/>
    <cellStyle name="SAPBEXexcGood1 4 3 2" xfId="46078" xr:uid="{00000000-0005-0000-0000-00009BB40000}"/>
    <cellStyle name="SAPBEXexcGood1 4 3 2 2" xfId="46079" xr:uid="{00000000-0005-0000-0000-00009CB40000}"/>
    <cellStyle name="SAPBEXexcGood1 4 3 3" xfId="46080" xr:uid="{00000000-0005-0000-0000-00009DB40000}"/>
    <cellStyle name="SAPBEXexcGood1 4 4" xfId="46081" xr:uid="{00000000-0005-0000-0000-00009EB40000}"/>
    <cellStyle name="SAPBEXexcGood1 4 4 2" xfId="46082" xr:uid="{00000000-0005-0000-0000-00009FB40000}"/>
    <cellStyle name="SAPBEXexcGood1 4 4 2 2" xfId="46083" xr:uid="{00000000-0005-0000-0000-0000A0B40000}"/>
    <cellStyle name="SAPBEXexcGood1 4 4 3" xfId="46084" xr:uid="{00000000-0005-0000-0000-0000A1B40000}"/>
    <cellStyle name="SAPBEXexcGood1 4 5" xfId="46085" xr:uid="{00000000-0005-0000-0000-0000A2B40000}"/>
    <cellStyle name="SAPBEXexcGood1 4 5 2" xfId="46086" xr:uid="{00000000-0005-0000-0000-0000A3B40000}"/>
    <cellStyle name="SAPBEXexcGood1 4 5 2 2" xfId="46087" xr:uid="{00000000-0005-0000-0000-0000A4B40000}"/>
    <cellStyle name="SAPBEXexcGood1 4 5 3" xfId="46088" xr:uid="{00000000-0005-0000-0000-0000A5B40000}"/>
    <cellStyle name="SAPBEXexcGood1 4 6" xfId="46089" xr:uid="{00000000-0005-0000-0000-0000A6B40000}"/>
    <cellStyle name="SAPBEXexcGood1 5" xfId="46090" xr:uid="{00000000-0005-0000-0000-0000A7B40000}"/>
    <cellStyle name="SAPBEXexcGood1 5 2" xfId="46091" xr:uid="{00000000-0005-0000-0000-0000A8B40000}"/>
    <cellStyle name="SAPBEXexcGood1 5 2 2" xfId="46092" xr:uid="{00000000-0005-0000-0000-0000A9B40000}"/>
    <cellStyle name="SAPBEXexcGood1 5 3" xfId="46093" xr:uid="{00000000-0005-0000-0000-0000AAB40000}"/>
    <cellStyle name="SAPBEXexcGood1 6" xfId="46094" xr:uid="{00000000-0005-0000-0000-0000ABB40000}"/>
    <cellStyle name="SAPBEXexcGood1 6 2" xfId="46095" xr:uid="{00000000-0005-0000-0000-0000ACB40000}"/>
    <cellStyle name="SAPBEXexcGood1 6 2 2" xfId="46096" xr:uid="{00000000-0005-0000-0000-0000ADB40000}"/>
    <cellStyle name="SAPBEXexcGood1 6 3" xfId="46097" xr:uid="{00000000-0005-0000-0000-0000AEB40000}"/>
    <cellStyle name="SAPBEXexcGood1 7" xfId="46098" xr:uid="{00000000-0005-0000-0000-0000AFB40000}"/>
    <cellStyle name="SAPBEXexcGood1 7 2" xfId="46099" xr:uid="{00000000-0005-0000-0000-0000B0B40000}"/>
    <cellStyle name="SAPBEXexcGood1 7 2 2" xfId="46100" xr:uid="{00000000-0005-0000-0000-0000B1B40000}"/>
    <cellStyle name="SAPBEXexcGood1 7 3" xfId="46101" xr:uid="{00000000-0005-0000-0000-0000B2B40000}"/>
    <cellStyle name="SAPBEXexcGood1 8" xfId="46102" xr:uid="{00000000-0005-0000-0000-0000B3B40000}"/>
    <cellStyle name="SAPBEXexcGood1 8 2" xfId="46103" xr:uid="{00000000-0005-0000-0000-0000B4B40000}"/>
    <cellStyle name="SAPBEXexcGood1 9" xfId="46104" xr:uid="{00000000-0005-0000-0000-0000B5B40000}"/>
    <cellStyle name="SAPBEXexcGood1 9 2" xfId="46105" xr:uid="{00000000-0005-0000-0000-0000B6B40000}"/>
    <cellStyle name="SAPBEXexcGood2" xfId="52" xr:uid="{00000000-0005-0000-0000-0000B7B40000}"/>
    <cellStyle name="SAPBEXexcGood2 10" xfId="46106" xr:uid="{00000000-0005-0000-0000-0000B8B40000}"/>
    <cellStyle name="SAPBEXexcGood2 10 2" xfId="46107" xr:uid="{00000000-0005-0000-0000-0000B9B40000}"/>
    <cellStyle name="SAPBEXexcGood2 11" xfId="46108" xr:uid="{00000000-0005-0000-0000-0000BAB40000}"/>
    <cellStyle name="SAPBEXexcGood2 11 2" xfId="46109" xr:uid="{00000000-0005-0000-0000-0000BBB40000}"/>
    <cellStyle name="SAPBEXexcGood2 12" xfId="46110" xr:uid="{00000000-0005-0000-0000-0000BCB40000}"/>
    <cellStyle name="SAPBEXexcGood2 12 2" xfId="46111" xr:uid="{00000000-0005-0000-0000-0000BDB40000}"/>
    <cellStyle name="SAPBEXexcGood2 13" xfId="46112" xr:uid="{00000000-0005-0000-0000-0000BEB40000}"/>
    <cellStyle name="SAPBEXexcGood2 14" xfId="46113" xr:uid="{00000000-0005-0000-0000-0000BFB40000}"/>
    <cellStyle name="SAPBEXexcGood2 2" xfId="46114" xr:uid="{00000000-0005-0000-0000-0000C0B40000}"/>
    <cellStyle name="SAPBEXexcGood2 2 2" xfId="46115" xr:uid="{00000000-0005-0000-0000-0000C1B40000}"/>
    <cellStyle name="SAPBEXexcGood2 2 2 2" xfId="46116" xr:uid="{00000000-0005-0000-0000-0000C2B40000}"/>
    <cellStyle name="SAPBEXexcGood2 2 2 2 2" xfId="46117" xr:uid="{00000000-0005-0000-0000-0000C3B40000}"/>
    <cellStyle name="SAPBEXexcGood2 2 2 2 2 2" xfId="46118" xr:uid="{00000000-0005-0000-0000-0000C4B40000}"/>
    <cellStyle name="SAPBEXexcGood2 2 2 2 2 2 2" xfId="46119" xr:uid="{00000000-0005-0000-0000-0000C5B40000}"/>
    <cellStyle name="SAPBEXexcGood2 2 2 2 2 3" xfId="46120" xr:uid="{00000000-0005-0000-0000-0000C6B40000}"/>
    <cellStyle name="SAPBEXexcGood2 2 2 2 3" xfId="46121" xr:uid="{00000000-0005-0000-0000-0000C7B40000}"/>
    <cellStyle name="SAPBEXexcGood2 2 2 2 3 2" xfId="46122" xr:uid="{00000000-0005-0000-0000-0000C8B40000}"/>
    <cellStyle name="SAPBEXexcGood2 2 2 2 4" xfId="46123" xr:uid="{00000000-0005-0000-0000-0000C9B40000}"/>
    <cellStyle name="SAPBEXexcGood2 2 2 3" xfId="46124" xr:uid="{00000000-0005-0000-0000-0000CAB40000}"/>
    <cellStyle name="SAPBEXexcGood2 2 2 3 2" xfId="46125" xr:uid="{00000000-0005-0000-0000-0000CBB40000}"/>
    <cellStyle name="SAPBEXexcGood2 2 2 3 2 2" xfId="46126" xr:uid="{00000000-0005-0000-0000-0000CCB40000}"/>
    <cellStyle name="SAPBEXexcGood2 2 2 3 3" xfId="46127" xr:uid="{00000000-0005-0000-0000-0000CDB40000}"/>
    <cellStyle name="SAPBEXexcGood2 2 2 4" xfId="46128" xr:uid="{00000000-0005-0000-0000-0000CEB40000}"/>
    <cellStyle name="SAPBEXexcGood2 2 2 4 2" xfId="46129" xr:uid="{00000000-0005-0000-0000-0000CFB40000}"/>
    <cellStyle name="SAPBEXexcGood2 2 2 4 2 2" xfId="46130" xr:uid="{00000000-0005-0000-0000-0000D0B40000}"/>
    <cellStyle name="SAPBEXexcGood2 2 2 4 3" xfId="46131" xr:uid="{00000000-0005-0000-0000-0000D1B40000}"/>
    <cellStyle name="SAPBEXexcGood2 2 2 5" xfId="46132" xr:uid="{00000000-0005-0000-0000-0000D2B40000}"/>
    <cellStyle name="SAPBEXexcGood2 2 2 5 2" xfId="46133" xr:uid="{00000000-0005-0000-0000-0000D3B40000}"/>
    <cellStyle name="SAPBEXexcGood2 2 2 6" xfId="46134" xr:uid="{00000000-0005-0000-0000-0000D4B40000}"/>
    <cellStyle name="SAPBEXexcGood2 2 3" xfId="46135" xr:uid="{00000000-0005-0000-0000-0000D5B40000}"/>
    <cellStyle name="SAPBEXexcGood2 2 3 2" xfId="46136" xr:uid="{00000000-0005-0000-0000-0000D6B40000}"/>
    <cellStyle name="SAPBEXexcGood2 2 3 2 2" xfId="46137" xr:uid="{00000000-0005-0000-0000-0000D7B40000}"/>
    <cellStyle name="SAPBEXexcGood2 2 3 3" xfId="46138" xr:uid="{00000000-0005-0000-0000-0000D8B40000}"/>
    <cellStyle name="SAPBEXexcGood2 2 4" xfId="46139" xr:uid="{00000000-0005-0000-0000-0000D9B40000}"/>
    <cellStyle name="SAPBEXexcGood2 2 4 2" xfId="46140" xr:uid="{00000000-0005-0000-0000-0000DAB40000}"/>
    <cellStyle name="SAPBEXexcGood2 2 4 2 2" xfId="46141" xr:uid="{00000000-0005-0000-0000-0000DBB40000}"/>
    <cellStyle name="SAPBEXexcGood2 2 4 3" xfId="46142" xr:uid="{00000000-0005-0000-0000-0000DCB40000}"/>
    <cellStyle name="SAPBEXexcGood2 2 5" xfId="46143" xr:uid="{00000000-0005-0000-0000-0000DDB40000}"/>
    <cellStyle name="SAPBEXexcGood2 2 5 2" xfId="46144" xr:uid="{00000000-0005-0000-0000-0000DEB40000}"/>
    <cellStyle name="SAPBEXexcGood2 2 5 2 2" xfId="46145" xr:uid="{00000000-0005-0000-0000-0000DFB40000}"/>
    <cellStyle name="SAPBEXexcGood2 2 5 3" xfId="46146" xr:uid="{00000000-0005-0000-0000-0000E0B40000}"/>
    <cellStyle name="SAPBEXexcGood2 2 6" xfId="46147" xr:uid="{00000000-0005-0000-0000-0000E1B40000}"/>
    <cellStyle name="SAPBEXexcGood2 2 6 2" xfId="46148" xr:uid="{00000000-0005-0000-0000-0000E2B40000}"/>
    <cellStyle name="SAPBEXexcGood2 2 7" xfId="46149" xr:uid="{00000000-0005-0000-0000-0000E3B40000}"/>
    <cellStyle name="SAPBEXexcGood2 3" xfId="46150" xr:uid="{00000000-0005-0000-0000-0000E4B40000}"/>
    <cellStyle name="SAPBEXexcGood2 3 2" xfId="46151" xr:uid="{00000000-0005-0000-0000-0000E5B40000}"/>
    <cellStyle name="SAPBEXexcGood2 3 2 2" xfId="46152" xr:uid="{00000000-0005-0000-0000-0000E6B40000}"/>
    <cellStyle name="SAPBEXexcGood2 3 3" xfId="46153" xr:uid="{00000000-0005-0000-0000-0000E7B40000}"/>
    <cellStyle name="SAPBEXexcGood2 3 3 2" xfId="46154" xr:uid="{00000000-0005-0000-0000-0000E8B40000}"/>
    <cellStyle name="SAPBEXexcGood2 3 3 2 2" xfId="46155" xr:uid="{00000000-0005-0000-0000-0000E9B40000}"/>
    <cellStyle name="SAPBEXexcGood2 3 3 3" xfId="46156" xr:uid="{00000000-0005-0000-0000-0000EAB40000}"/>
    <cellStyle name="SAPBEXexcGood2 3 4" xfId="46157" xr:uid="{00000000-0005-0000-0000-0000EBB40000}"/>
    <cellStyle name="SAPBEXexcGood2 3 4 2" xfId="46158" xr:uid="{00000000-0005-0000-0000-0000ECB40000}"/>
    <cellStyle name="SAPBEXexcGood2 3 4 2 2" xfId="46159" xr:uid="{00000000-0005-0000-0000-0000EDB40000}"/>
    <cellStyle name="SAPBEXexcGood2 3 4 3" xfId="46160" xr:uid="{00000000-0005-0000-0000-0000EEB40000}"/>
    <cellStyle name="SAPBEXexcGood2 3 5" xfId="46161" xr:uid="{00000000-0005-0000-0000-0000EFB40000}"/>
    <cellStyle name="SAPBEXexcGood2 4" xfId="46162" xr:uid="{00000000-0005-0000-0000-0000F0B40000}"/>
    <cellStyle name="SAPBEXexcGood2 4 2" xfId="46163" xr:uid="{00000000-0005-0000-0000-0000F1B40000}"/>
    <cellStyle name="SAPBEXexcGood2 4 2 2" xfId="46164" xr:uid="{00000000-0005-0000-0000-0000F2B40000}"/>
    <cellStyle name="SAPBEXexcGood2 4 2 2 2" xfId="46165" xr:uid="{00000000-0005-0000-0000-0000F3B40000}"/>
    <cellStyle name="SAPBEXexcGood2 4 2 3" xfId="46166" xr:uid="{00000000-0005-0000-0000-0000F4B40000}"/>
    <cellStyle name="SAPBEXexcGood2 4 2 3 2" xfId="46167" xr:uid="{00000000-0005-0000-0000-0000F5B40000}"/>
    <cellStyle name="SAPBEXexcGood2 4 2 3 2 2" xfId="46168" xr:uid="{00000000-0005-0000-0000-0000F6B40000}"/>
    <cellStyle name="SAPBEXexcGood2 4 2 3 3" xfId="46169" xr:uid="{00000000-0005-0000-0000-0000F7B40000}"/>
    <cellStyle name="SAPBEXexcGood2 4 2 4" xfId="46170" xr:uid="{00000000-0005-0000-0000-0000F8B40000}"/>
    <cellStyle name="SAPBEXexcGood2 4 3" xfId="46171" xr:uid="{00000000-0005-0000-0000-0000F9B40000}"/>
    <cellStyle name="SAPBEXexcGood2 4 3 2" xfId="46172" xr:uid="{00000000-0005-0000-0000-0000FAB40000}"/>
    <cellStyle name="SAPBEXexcGood2 4 3 2 2" xfId="46173" xr:uid="{00000000-0005-0000-0000-0000FBB40000}"/>
    <cellStyle name="SAPBEXexcGood2 4 3 3" xfId="46174" xr:uid="{00000000-0005-0000-0000-0000FCB40000}"/>
    <cellStyle name="SAPBEXexcGood2 4 4" xfId="46175" xr:uid="{00000000-0005-0000-0000-0000FDB40000}"/>
    <cellStyle name="SAPBEXexcGood2 4 4 2" xfId="46176" xr:uid="{00000000-0005-0000-0000-0000FEB40000}"/>
    <cellStyle name="SAPBEXexcGood2 4 4 2 2" xfId="46177" xr:uid="{00000000-0005-0000-0000-0000FFB40000}"/>
    <cellStyle name="SAPBEXexcGood2 4 4 3" xfId="46178" xr:uid="{00000000-0005-0000-0000-000000B50000}"/>
    <cellStyle name="SAPBEXexcGood2 4 5" xfId="46179" xr:uid="{00000000-0005-0000-0000-000001B50000}"/>
    <cellStyle name="SAPBEXexcGood2 4 5 2" xfId="46180" xr:uid="{00000000-0005-0000-0000-000002B50000}"/>
    <cellStyle name="SAPBEXexcGood2 4 5 2 2" xfId="46181" xr:uid="{00000000-0005-0000-0000-000003B50000}"/>
    <cellStyle name="SAPBEXexcGood2 4 5 3" xfId="46182" xr:uid="{00000000-0005-0000-0000-000004B50000}"/>
    <cellStyle name="SAPBEXexcGood2 4 6" xfId="46183" xr:uid="{00000000-0005-0000-0000-000005B50000}"/>
    <cellStyle name="SAPBEXexcGood2 5" xfId="46184" xr:uid="{00000000-0005-0000-0000-000006B50000}"/>
    <cellStyle name="SAPBEXexcGood2 5 2" xfId="46185" xr:uid="{00000000-0005-0000-0000-000007B50000}"/>
    <cellStyle name="SAPBEXexcGood2 5 2 2" xfId="46186" xr:uid="{00000000-0005-0000-0000-000008B50000}"/>
    <cellStyle name="SAPBEXexcGood2 5 3" xfId="46187" xr:uid="{00000000-0005-0000-0000-000009B50000}"/>
    <cellStyle name="SAPBEXexcGood2 6" xfId="46188" xr:uid="{00000000-0005-0000-0000-00000AB50000}"/>
    <cellStyle name="SAPBEXexcGood2 6 2" xfId="46189" xr:uid="{00000000-0005-0000-0000-00000BB50000}"/>
    <cellStyle name="SAPBEXexcGood2 6 2 2" xfId="46190" xr:uid="{00000000-0005-0000-0000-00000CB50000}"/>
    <cellStyle name="SAPBEXexcGood2 6 3" xfId="46191" xr:uid="{00000000-0005-0000-0000-00000DB50000}"/>
    <cellStyle name="SAPBEXexcGood2 7" xfId="46192" xr:uid="{00000000-0005-0000-0000-00000EB50000}"/>
    <cellStyle name="SAPBEXexcGood2 7 2" xfId="46193" xr:uid="{00000000-0005-0000-0000-00000FB50000}"/>
    <cellStyle name="SAPBEXexcGood2 7 2 2" xfId="46194" xr:uid="{00000000-0005-0000-0000-000010B50000}"/>
    <cellStyle name="SAPBEXexcGood2 7 3" xfId="46195" xr:uid="{00000000-0005-0000-0000-000011B50000}"/>
    <cellStyle name="SAPBEXexcGood2 8" xfId="46196" xr:uid="{00000000-0005-0000-0000-000012B50000}"/>
    <cellStyle name="SAPBEXexcGood2 8 2" xfId="46197" xr:uid="{00000000-0005-0000-0000-000013B50000}"/>
    <cellStyle name="SAPBEXexcGood2 9" xfId="46198" xr:uid="{00000000-0005-0000-0000-000014B50000}"/>
    <cellStyle name="SAPBEXexcGood2 9 2" xfId="46199" xr:uid="{00000000-0005-0000-0000-000015B50000}"/>
    <cellStyle name="SAPBEXexcGood3" xfId="53" xr:uid="{00000000-0005-0000-0000-000016B50000}"/>
    <cellStyle name="SAPBEXexcGood3 10" xfId="46200" xr:uid="{00000000-0005-0000-0000-000017B50000}"/>
    <cellStyle name="SAPBEXexcGood3 10 2" xfId="46201" xr:uid="{00000000-0005-0000-0000-000018B50000}"/>
    <cellStyle name="SAPBEXexcGood3 11" xfId="46202" xr:uid="{00000000-0005-0000-0000-000019B50000}"/>
    <cellStyle name="SAPBEXexcGood3 11 2" xfId="46203" xr:uid="{00000000-0005-0000-0000-00001AB50000}"/>
    <cellStyle name="SAPBEXexcGood3 12" xfId="46204" xr:uid="{00000000-0005-0000-0000-00001BB50000}"/>
    <cellStyle name="SAPBEXexcGood3 12 2" xfId="46205" xr:uid="{00000000-0005-0000-0000-00001CB50000}"/>
    <cellStyle name="SAPBEXexcGood3 13" xfId="46206" xr:uid="{00000000-0005-0000-0000-00001DB50000}"/>
    <cellStyle name="SAPBEXexcGood3 14" xfId="46207" xr:uid="{00000000-0005-0000-0000-00001EB50000}"/>
    <cellStyle name="SAPBEXexcGood3 2" xfId="46208" xr:uid="{00000000-0005-0000-0000-00001FB50000}"/>
    <cellStyle name="SAPBEXexcGood3 2 2" xfId="46209" xr:uid="{00000000-0005-0000-0000-000020B50000}"/>
    <cellStyle name="SAPBEXexcGood3 2 2 2" xfId="46210" xr:uid="{00000000-0005-0000-0000-000021B50000}"/>
    <cellStyle name="SAPBEXexcGood3 2 2 2 2" xfId="46211" xr:uid="{00000000-0005-0000-0000-000022B50000}"/>
    <cellStyle name="SAPBEXexcGood3 2 2 2 2 2" xfId="46212" xr:uid="{00000000-0005-0000-0000-000023B50000}"/>
    <cellStyle name="SAPBEXexcGood3 2 2 2 2 2 2" xfId="46213" xr:uid="{00000000-0005-0000-0000-000024B50000}"/>
    <cellStyle name="SAPBEXexcGood3 2 2 2 2 3" xfId="46214" xr:uid="{00000000-0005-0000-0000-000025B50000}"/>
    <cellStyle name="SAPBEXexcGood3 2 2 2 3" xfId="46215" xr:uid="{00000000-0005-0000-0000-000026B50000}"/>
    <cellStyle name="SAPBEXexcGood3 2 2 2 3 2" xfId="46216" xr:uid="{00000000-0005-0000-0000-000027B50000}"/>
    <cellStyle name="SAPBEXexcGood3 2 2 2 4" xfId="46217" xr:uid="{00000000-0005-0000-0000-000028B50000}"/>
    <cellStyle name="SAPBEXexcGood3 2 2 3" xfId="46218" xr:uid="{00000000-0005-0000-0000-000029B50000}"/>
    <cellStyle name="SAPBEXexcGood3 2 2 3 2" xfId="46219" xr:uid="{00000000-0005-0000-0000-00002AB50000}"/>
    <cellStyle name="SAPBEXexcGood3 2 2 3 2 2" xfId="46220" xr:uid="{00000000-0005-0000-0000-00002BB50000}"/>
    <cellStyle name="SAPBEXexcGood3 2 2 3 3" xfId="46221" xr:uid="{00000000-0005-0000-0000-00002CB50000}"/>
    <cellStyle name="SAPBEXexcGood3 2 2 4" xfId="46222" xr:uid="{00000000-0005-0000-0000-00002DB50000}"/>
    <cellStyle name="SAPBEXexcGood3 2 2 4 2" xfId="46223" xr:uid="{00000000-0005-0000-0000-00002EB50000}"/>
    <cellStyle name="SAPBEXexcGood3 2 2 4 2 2" xfId="46224" xr:uid="{00000000-0005-0000-0000-00002FB50000}"/>
    <cellStyle name="SAPBEXexcGood3 2 2 4 3" xfId="46225" xr:uid="{00000000-0005-0000-0000-000030B50000}"/>
    <cellStyle name="SAPBEXexcGood3 2 2 5" xfId="46226" xr:uid="{00000000-0005-0000-0000-000031B50000}"/>
    <cellStyle name="SAPBEXexcGood3 2 2 5 2" xfId="46227" xr:uid="{00000000-0005-0000-0000-000032B50000}"/>
    <cellStyle name="SAPBEXexcGood3 2 2 6" xfId="46228" xr:uid="{00000000-0005-0000-0000-000033B50000}"/>
    <cellStyle name="SAPBEXexcGood3 2 3" xfId="46229" xr:uid="{00000000-0005-0000-0000-000034B50000}"/>
    <cellStyle name="SAPBEXexcGood3 2 3 2" xfId="46230" xr:uid="{00000000-0005-0000-0000-000035B50000}"/>
    <cellStyle name="SAPBEXexcGood3 2 3 2 2" xfId="46231" xr:uid="{00000000-0005-0000-0000-000036B50000}"/>
    <cellStyle name="SAPBEXexcGood3 2 3 3" xfId="46232" xr:uid="{00000000-0005-0000-0000-000037B50000}"/>
    <cellStyle name="SAPBEXexcGood3 2 4" xfId="46233" xr:uid="{00000000-0005-0000-0000-000038B50000}"/>
    <cellStyle name="SAPBEXexcGood3 2 4 2" xfId="46234" xr:uid="{00000000-0005-0000-0000-000039B50000}"/>
    <cellStyle name="SAPBEXexcGood3 2 4 2 2" xfId="46235" xr:uid="{00000000-0005-0000-0000-00003AB50000}"/>
    <cellStyle name="SAPBEXexcGood3 2 4 3" xfId="46236" xr:uid="{00000000-0005-0000-0000-00003BB50000}"/>
    <cellStyle name="SAPBEXexcGood3 2 5" xfId="46237" xr:uid="{00000000-0005-0000-0000-00003CB50000}"/>
    <cellStyle name="SAPBEXexcGood3 2 5 2" xfId="46238" xr:uid="{00000000-0005-0000-0000-00003DB50000}"/>
    <cellStyle name="SAPBEXexcGood3 2 5 2 2" xfId="46239" xr:uid="{00000000-0005-0000-0000-00003EB50000}"/>
    <cellStyle name="SAPBEXexcGood3 2 5 3" xfId="46240" xr:uid="{00000000-0005-0000-0000-00003FB50000}"/>
    <cellStyle name="SAPBEXexcGood3 2 6" xfId="46241" xr:uid="{00000000-0005-0000-0000-000040B50000}"/>
    <cellStyle name="SAPBEXexcGood3 2 6 2" xfId="46242" xr:uid="{00000000-0005-0000-0000-000041B50000}"/>
    <cellStyle name="SAPBEXexcGood3 2 7" xfId="46243" xr:uid="{00000000-0005-0000-0000-000042B50000}"/>
    <cellStyle name="SAPBEXexcGood3 3" xfId="46244" xr:uid="{00000000-0005-0000-0000-000043B50000}"/>
    <cellStyle name="SAPBEXexcGood3 3 2" xfId="46245" xr:uid="{00000000-0005-0000-0000-000044B50000}"/>
    <cellStyle name="SAPBEXexcGood3 3 2 2" xfId="46246" xr:uid="{00000000-0005-0000-0000-000045B50000}"/>
    <cellStyle name="SAPBEXexcGood3 3 3" xfId="46247" xr:uid="{00000000-0005-0000-0000-000046B50000}"/>
    <cellStyle name="SAPBEXexcGood3 3 3 2" xfId="46248" xr:uid="{00000000-0005-0000-0000-000047B50000}"/>
    <cellStyle name="SAPBEXexcGood3 3 3 2 2" xfId="46249" xr:uid="{00000000-0005-0000-0000-000048B50000}"/>
    <cellStyle name="SAPBEXexcGood3 3 3 3" xfId="46250" xr:uid="{00000000-0005-0000-0000-000049B50000}"/>
    <cellStyle name="SAPBEXexcGood3 3 4" xfId="46251" xr:uid="{00000000-0005-0000-0000-00004AB50000}"/>
    <cellStyle name="SAPBEXexcGood3 3 4 2" xfId="46252" xr:uid="{00000000-0005-0000-0000-00004BB50000}"/>
    <cellStyle name="SAPBEXexcGood3 3 4 2 2" xfId="46253" xr:uid="{00000000-0005-0000-0000-00004CB50000}"/>
    <cellStyle name="SAPBEXexcGood3 3 4 3" xfId="46254" xr:uid="{00000000-0005-0000-0000-00004DB50000}"/>
    <cellStyle name="SAPBEXexcGood3 3 5" xfId="46255" xr:uid="{00000000-0005-0000-0000-00004EB50000}"/>
    <cellStyle name="SAPBEXexcGood3 4" xfId="46256" xr:uid="{00000000-0005-0000-0000-00004FB50000}"/>
    <cellStyle name="SAPBEXexcGood3 4 2" xfId="46257" xr:uid="{00000000-0005-0000-0000-000050B50000}"/>
    <cellStyle name="SAPBEXexcGood3 4 2 2" xfId="46258" xr:uid="{00000000-0005-0000-0000-000051B50000}"/>
    <cellStyle name="SAPBEXexcGood3 4 2 2 2" xfId="46259" xr:uid="{00000000-0005-0000-0000-000052B50000}"/>
    <cellStyle name="SAPBEXexcGood3 4 2 3" xfId="46260" xr:uid="{00000000-0005-0000-0000-000053B50000}"/>
    <cellStyle name="SAPBEXexcGood3 4 2 3 2" xfId="46261" xr:uid="{00000000-0005-0000-0000-000054B50000}"/>
    <cellStyle name="SAPBEXexcGood3 4 2 3 2 2" xfId="46262" xr:uid="{00000000-0005-0000-0000-000055B50000}"/>
    <cellStyle name="SAPBEXexcGood3 4 2 3 3" xfId="46263" xr:uid="{00000000-0005-0000-0000-000056B50000}"/>
    <cellStyle name="SAPBEXexcGood3 4 2 4" xfId="46264" xr:uid="{00000000-0005-0000-0000-000057B50000}"/>
    <cellStyle name="SAPBEXexcGood3 4 3" xfId="46265" xr:uid="{00000000-0005-0000-0000-000058B50000}"/>
    <cellStyle name="SAPBEXexcGood3 4 3 2" xfId="46266" xr:uid="{00000000-0005-0000-0000-000059B50000}"/>
    <cellStyle name="SAPBEXexcGood3 4 3 2 2" xfId="46267" xr:uid="{00000000-0005-0000-0000-00005AB50000}"/>
    <cellStyle name="SAPBEXexcGood3 4 3 3" xfId="46268" xr:uid="{00000000-0005-0000-0000-00005BB50000}"/>
    <cellStyle name="SAPBEXexcGood3 4 4" xfId="46269" xr:uid="{00000000-0005-0000-0000-00005CB50000}"/>
    <cellStyle name="SAPBEXexcGood3 4 4 2" xfId="46270" xr:uid="{00000000-0005-0000-0000-00005DB50000}"/>
    <cellStyle name="SAPBEXexcGood3 4 4 2 2" xfId="46271" xr:uid="{00000000-0005-0000-0000-00005EB50000}"/>
    <cellStyle name="SAPBEXexcGood3 4 4 3" xfId="46272" xr:uid="{00000000-0005-0000-0000-00005FB50000}"/>
    <cellStyle name="SAPBEXexcGood3 4 5" xfId="46273" xr:uid="{00000000-0005-0000-0000-000060B50000}"/>
    <cellStyle name="SAPBEXexcGood3 4 5 2" xfId="46274" xr:uid="{00000000-0005-0000-0000-000061B50000}"/>
    <cellStyle name="SAPBEXexcGood3 4 5 2 2" xfId="46275" xr:uid="{00000000-0005-0000-0000-000062B50000}"/>
    <cellStyle name="SAPBEXexcGood3 4 5 3" xfId="46276" xr:uid="{00000000-0005-0000-0000-000063B50000}"/>
    <cellStyle name="SAPBEXexcGood3 4 6" xfId="46277" xr:uid="{00000000-0005-0000-0000-000064B50000}"/>
    <cellStyle name="SAPBEXexcGood3 5" xfId="46278" xr:uid="{00000000-0005-0000-0000-000065B50000}"/>
    <cellStyle name="SAPBEXexcGood3 5 2" xfId="46279" xr:uid="{00000000-0005-0000-0000-000066B50000}"/>
    <cellStyle name="SAPBEXexcGood3 5 2 2" xfId="46280" xr:uid="{00000000-0005-0000-0000-000067B50000}"/>
    <cellStyle name="SAPBEXexcGood3 5 3" xfId="46281" xr:uid="{00000000-0005-0000-0000-000068B50000}"/>
    <cellStyle name="SAPBEXexcGood3 6" xfId="46282" xr:uid="{00000000-0005-0000-0000-000069B50000}"/>
    <cellStyle name="SAPBEXexcGood3 6 2" xfId="46283" xr:uid="{00000000-0005-0000-0000-00006AB50000}"/>
    <cellStyle name="SAPBEXexcGood3 6 2 2" xfId="46284" xr:uid="{00000000-0005-0000-0000-00006BB50000}"/>
    <cellStyle name="SAPBEXexcGood3 6 3" xfId="46285" xr:uid="{00000000-0005-0000-0000-00006CB50000}"/>
    <cellStyle name="SAPBEXexcGood3 7" xfId="46286" xr:uid="{00000000-0005-0000-0000-00006DB50000}"/>
    <cellStyle name="SAPBEXexcGood3 7 2" xfId="46287" xr:uid="{00000000-0005-0000-0000-00006EB50000}"/>
    <cellStyle name="SAPBEXexcGood3 7 2 2" xfId="46288" xr:uid="{00000000-0005-0000-0000-00006FB50000}"/>
    <cellStyle name="SAPBEXexcGood3 7 3" xfId="46289" xr:uid="{00000000-0005-0000-0000-000070B50000}"/>
    <cellStyle name="SAPBEXexcGood3 8" xfId="46290" xr:uid="{00000000-0005-0000-0000-000071B50000}"/>
    <cellStyle name="SAPBEXexcGood3 8 2" xfId="46291" xr:uid="{00000000-0005-0000-0000-000072B50000}"/>
    <cellStyle name="SAPBEXexcGood3 9" xfId="46292" xr:uid="{00000000-0005-0000-0000-000073B50000}"/>
    <cellStyle name="SAPBEXexcGood3 9 2" xfId="46293" xr:uid="{00000000-0005-0000-0000-000074B50000}"/>
    <cellStyle name="SAPBEXfilterDrill" xfId="54" xr:uid="{00000000-0005-0000-0000-000075B50000}"/>
    <cellStyle name="SAPBEXfilterDrill 10" xfId="46294" xr:uid="{00000000-0005-0000-0000-000076B50000}"/>
    <cellStyle name="SAPBEXfilterDrill 10 2" xfId="46295" xr:uid="{00000000-0005-0000-0000-000077B50000}"/>
    <cellStyle name="SAPBEXfilterDrill 11" xfId="46296" xr:uid="{00000000-0005-0000-0000-000078B50000}"/>
    <cellStyle name="SAPBEXfilterDrill 11 2" xfId="46297" xr:uid="{00000000-0005-0000-0000-000079B50000}"/>
    <cellStyle name="SAPBEXfilterDrill 12" xfId="46298" xr:uid="{00000000-0005-0000-0000-00007AB50000}"/>
    <cellStyle name="SAPBEXfilterDrill 12 2" xfId="46299" xr:uid="{00000000-0005-0000-0000-00007BB50000}"/>
    <cellStyle name="SAPBEXfilterDrill 13" xfId="46300" xr:uid="{00000000-0005-0000-0000-00007CB50000}"/>
    <cellStyle name="SAPBEXfilterDrill 2" xfId="46301" xr:uid="{00000000-0005-0000-0000-00007DB50000}"/>
    <cellStyle name="SAPBEXfilterDrill 2 2" xfId="46302" xr:uid="{00000000-0005-0000-0000-00007EB50000}"/>
    <cellStyle name="SAPBEXfilterDrill 2 2 2" xfId="46303" xr:uid="{00000000-0005-0000-0000-00007FB50000}"/>
    <cellStyle name="SAPBEXfilterDrill 2 2 2 2" xfId="46304" xr:uid="{00000000-0005-0000-0000-000080B50000}"/>
    <cellStyle name="SAPBEXfilterDrill 2 2 2 2 2" xfId="46305" xr:uid="{00000000-0005-0000-0000-000081B50000}"/>
    <cellStyle name="SAPBEXfilterDrill 2 2 2 2 2 2" xfId="46306" xr:uid="{00000000-0005-0000-0000-000082B50000}"/>
    <cellStyle name="SAPBEXfilterDrill 2 2 2 2 3" xfId="46307" xr:uid="{00000000-0005-0000-0000-000083B50000}"/>
    <cellStyle name="SAPBEXfilterDrill 2 2 2 3" xfId="46308" xr:uid="{00000000-0005-0000-0000-000084B50000}"/>
    <cellStyle name="SAPBEXfilterDrill 2 2 2 3 2" xfId="46309" xr:uid="{00000000-0005-0000-0000-000085B50000}"/>
    <cellStyle name="SAPBEXfilterDrill 2 2 2 4" xfId="46310" xr:uid="{00000000-0005-0000-0000-000086B50000}"/>
    <cellStyle name="SAPBEXfilterDrill 2 2 3" xfId="46311" xr:uid="{00000000-0005-0000-0000-000087B50000}"/>
    <cellStyle name="SAPBEXfilterDrill 2 2 3 2" xfId="46312" xr:uid="{00000000-0005-0000-0000-000088B50000}"/>
    <cellStyle name="SAPBEXfilterDrill 2 2 3 2 2" xfId="46313" xr:uid="{00000000-0005-0000-0000-000089B50000}"/>
    <cellStyle name="SAPBEXfilterDrill 2 2 3 3" xfId="46314" xr:uid="{00000000-0005-0000-0000-00008AB50000}"/>
    <cellStyle name="SAPBEXfilterDrill 2 2 4" xfId="46315" xr:uid="{00000000-0005-0000-0000-00008BB50000}"/>
    <cellStyle name="SAPBEXfilterDrill 2 2 4 2" xfId="46316" xr:uid="{00000000-0005-0000-0000-00008CB50000}"/>
    <cellStyle name="SAPBEXfilterDrill 2 2 4 2 2" xfId="46317" xr:uid="{00000000-0005-0000-0000-00008DB50000}"/>
    <cellStyle name="SAPBEXfilterDrill 2 2 4 3" xfId="46318" xr:uid="{00000000-0005-0000-0000-00008EB50000}"/>
    <cellStyle name="SAPBEXfilterDrill 2 2 5" xfId="46319" xr:uid="{00000000-0005-0000-0000-00008FB50000}"/>
    <cellStyle name="SAPBEXfilterDrill 2 2 5 2" xfId="46320" xr:uid="{00000000-0005-0000-0000-000090B50000}"/>
    <cellStyle name="SAPBEXfilterDrill 2 2 6" xfId="46321" xr:uid="{00000000-0005-0000-0000-000091B50000}"/>
    <cellStyle name="SAPBEXfilterDrill 2 3" xfId="46322" xr:uid="{00000000-0005-0000-0000-000092B50000}"/>
    <cellStyle name="SAPBEXfilterDrill 2 4" xfId="46323" xr:uid="{00000000-0005-0000-0000-000093B50000}"/>
    <cellStyle name="SAPBEXfilterDrill 2 4 2" xfId="46324" xr:uid="{00000000-0005-0000-0000-000094B50000}"/>
    <cellStyle name="SAPBEXfilterDrill 2 4 2 2" xfId="46325" xr:uid="{00000000-0005-0000-0000-000095B50000}"/>
    <cellStyle name="SAPBEXfilterDrill 2 4 3" xfId="46326" xr:uid="{00000000-0005-0000-0000-000096B50000}"/>
    <cellStyle name="SAPBEXfilterDrill 2 5" xfId="46327" xr:uid="{00000000-0005-0000-0000-000097B50000}"/>
    <cellStyle name="SAPBEXfilterDrill 2 5 2" xfId="46328" xr:uid="{00000000-0005-0000-0000-000098B50000}"/>
    <cellStyle name="SAPBEXfilterDrill 2 5 2 2" xfId="46329" xr:uid="{00000000-0005-0000-0000-000099B50000}"/>
    <cellStyle name="SAPBEXfilterDrill 2 5 3" xfId="46330" xr:uid="{00000000-0005-0000-0000-00009AB50000}"/>
    <cellStyle name="SAPBEXfilterDrill 3" xfId="46331" xr:uid="{00000000-0005-0000-0000-00009BB50000}"/>
    <cellStyle name="SAPBEXfilterDrill 3 2" xfId="46332" xr:uid="{00000000-0005-0000-0000-00009CB50000}"/>
    <cellStyle name="SAPBEXfilterDrill 3 2 2" xfId="46333" xr:uid="{00000000-0005-0000-0000-00009DB50000}"/>
    <cellStyle name="SAPBEXfilterDrill 3 3" xfId="46334" xr:uid="{00000000-0005-0000-0000-00009EB50000}"/>
    <cellStyle name="SAPBEXfilterDrill 3 3 2" xfId="46335" xr:uid="{00000000-0005-0000-0000-00009FB50000}"/>
    <cellStyle name="SAPBEXfilterDrill 3 3 2 2" xfId="46336" xr:uid="{00000000-0005-0000-0000-0000A0B50000}"/>
    <cellStyle name="SAPBEXfilterDrill 3 3 3" xfId="46337" xr:uid="{00000000-0005-0000-0000-0000A1B50000}"/>
    <cellStyle name="SAPBEXfilterDrill 3 4" xfId="46338" xr:uid="{00000000-0005-0000-0000-0000A2B50000}"/>
    <cellStyle name="SAPBEXfilterDrill 3 4 2" xfId="46339" xr:uid="{00000000-0005-0000-0000-0000A3B50000}"/>
    <cellStyle name="SAPBEXfilterDrill 3 4 2 2" xfId="46340" xr:uid="{00000000-0005-0000-0000-0000A4B50000}"/>
    <cellStyle name="SAPBEXfilterDrill 3 4 3" xfId="46341" xr:uid="{00000000-0005-0000-0000-0000A5B50000}"/>
    <cellStyle name="SAPBEXfilterDrill 3 5" xfId="46342" xr:uid="{00000000-0005-0000-0000-0000A6B50000}"/>
    <cellStyle name="SAPBEXfilterDrill 4" xfId="46343" xr:uid="{00000000-0005-0000-0000-0000A7B50000}"/>
    <cellStyle name="SAPBEXfilterDrill 4 2" xfId="46344" xr:uid="{00000000-0005-0000-0000-0000A8B50000}"/>
    <cellStyle name="SAPBEXfilterDrill 4 2 2" xfId="46345" xr:uid="{00000000-0005-0000-0000-0000A9B50000}"/>
    <cellStyle name="SAPBEXfilterDrill 4 2 2 2" xfId="46346" xr:uid="{00000000-0005-0000-0000-0000AAB50000}"/>
    <cellStyle name="SAPBEXfilterDrill 4 2 3" xfId="46347" xr:uid="{00000000-0005-0000-0000-0000ABB50000}"/>
    <cellStyle name="SAPBEXfilterDrill 4 2 3 2" xfId="46348" xr:uid="{00000000-0005-0000-0000-0000ACB50000}"/>
    <cellStyle name="SAPBEXfilterDrill 4 2 3 2 2" xfId="46349" xr:uid="{00000000-0005-0000-0000-0000ADB50000}"/>
    <cellStyle name="SAPBEXfilterDrill 4 2 3 3" xfId="46350" xr:uid="{00000000-0005-0000-0000-0000AEB50000}"/>
    <cellStyle name="SAPBEXfilterDrill 4 2 4" xfId="46351" xr:uid="{00000000-0005-0000-0000-0000AFB50000}"/>
    <cellStyle name="SAPBEXfilterDrill 4 3" xfId="46352" xr:uid="{00000000-0005-0000-0000-0000B0B50000}"/>
    <cellStyle name="SAPBEXfilterDrill 4 3 2" xfId="46353" xr:uid="{00000000-0005-0000-0000-0000B1B50000}"/>
    <cellStyle name="SAPBEXfilterDrill 4 3 2 2" xfId="46354" xr:uid="{00000000-0005-0000-0000-0000B2B50000}"/>
    <cellStyle name="SAPBEXfilterDrill 4 3 3" xfId="46355" xr:uid="{00000000-0005-0000-0000-0000B3B50000}"/>
    <cellStyle name="SAPBEXfilterDrill 4 4" xfId="46356" xr:uid="{00000000-0005-0000-0000-0000B4B50000}"/>
    <cellStyle name="SAPBEXfilterDrill 4 4 2" xfId="46357" xr:uid="{00000000-0005-0000-0000-0000B5B50000}"/>
    <cellStyle name="SAPBEXfilterDrill 4 4 2 2" xfId="46358" xr:uid="{00000000-0005-0000-0000-0000B6B50000}"/>
    <cellStyle name="SAPBEXfilterDrill 4 4 3" xfId="46359" xr:uid="{00000000-0005-0000-0000-0000B7B50000}"/>
    <cellStyle name="SAPBEXfilterDrill 4 5" xfId="46360" xr:uid="{00000000-0005-0000-0000-0000B8B50000}"/>
    <cellStyle name="SAPBEXfilterDrill 4 5 2" xfId="46361" xr:uid="{00000000-0005-0000-0000-0000B9B50000}"/>
    <cellStyle name="SAPBEXfilterDrill 4 5 2 2" xfId="46362" xr:uid="{00000000-0005-0000-0000-0000BAB50000}"/>
    <cellStyle name="SAPBEXfilterDrill 4 5 3" xfId="46363" xr:uid="{00000000-0005-0000-0000-0000BBB50000}"/>
    <cellStyle name="SAPBEXfilterDrill 4 6" xfId="46364" xr:uid="{00000000-0005-0000-0000-0000BCB50000}"/>
    <cellStyle name="SAPBEXfilterDrill 5" xfId="46365" xr:uid="{00000000-0005-0000-0000-0000BDB50000}"/>
    <cellStyle name="SAPBEXfilterDrill 5 2" xfId="46366" xr:uid="{00000000-0005-0000-0000-0000BEB50000}"/>
    <cellStyle name="SAPBEXfilterDrill 5 2 2" xfId="46367" xr:uid="{00000000-0005-0000-0000-0000BFB50000}"/>
    <cellStyle name="SAPBEXfilterDrill 5 3" xfId="46368" xr:uid="{00000000-0005-0000-0000-0000C0B50000}"/>
    <cellStyle name="SAPBEXfilterDrill 6" xfId="46369" xr:uid="{00000000-0005-0000-0000-0000C1B50000}"/>
    <cellStyle name="SAPBEXfilterDrill 6 2" xfId="46370" xr:uid="{00000000-0005-0000-0000-0000C2B50000}"/>
    <cellStyle name="SAPBEXfilterDrill 6 2 2" xfId="46371" xr:uid="{00000000-0005-0000-0000-0000C3B50000}"/>
    <cellStyle name="SAPBEXfilterDrill 6 3" xfId="46372" xr:uid="{00000000-0005-0000-0000-0000C4B50000}"/>
    <cellStyle name="SAPBEXfilterDrill 7" xfId="46373" xr:uid="{00000000-0005-0000-0000-0000C5B50000}"/>
    <cellStyle name="SAPBEXfilterDrill 7 2" xfId="46374" xr:uid="{00000000-0005-0000-0000-0000C6B50000}"/>
    <cellStyle name="SAPBEXfilterDrill 7 2 2" xfId="46375" xr:uid="{00000000-0005-0000-0000-0000C7B50000}"/>
    <cellStyle name="SAPBEXfilterDrill 7 3" xfId="46376" xr:uid="{00000000-0005-0000-0000-0000C8B50000}"/>
    <cellStyle name="SAPBEXfilterDrill 8" xfId="46377" xr:uid="{00000000-0005-0000-0000-0000C9B50000}"/>
    <cellStyle name="SAPBEXfilterDrill 8 2" xfId="46378" xr:uid="{00000000-0005-0000-0000-0000CAB50000}"/>
    <cellStyle name="SAPBEXfilterDrill 9" xfId="46379" xr:uid="{00000000-0005-0000-0000-0000CBB50000}"/>
    <cellStyle name="SAPBEXfilterDrill 9 2" xfId="46380" xr:uid="{00000000-0005-0000-0000-0000CCB50000}"/>
    <cellStyle name="SAPBEXfilterItem" xfId="55" xr:uid="{00000000-0005-0000-0000-0000CDB50000}"/>
    <cellStyle name="SAPBEXfilterItem 10" xfId="46381" xr:uid="{00000000-0005-0000-0000-0000CEB50000}"/>
    <cellStyle name="SAPBEXfilterItem 10 2" xfId="46382" xr:uid="{00000000-0005-0000-0000-0000CFB50000}"/>
    <cellStyle name="SAPBEXfilterItem 11" xfId="46383" xr:uid="{00000000-0005-0000-0000-0000D0B50000}"/>
    <cellStyle name="SAPBEXfilterItem 11 2" xfId="46384" xr:uid="{00000000-0005-0000-0000-0000D1B50000}"/>
    <cellStyle name="SAPBEXfilterItem 12" xfId="46385" xr:uid="{00000000-0005-0000-0000-0000D2B50000}"/>
    <cellStyle name="SAPBEXfilterItem 2" xfId="46386" xr:uid="{00000000-0005-0000-0000-0000D3B50000}"/>
    <cellStyle name="SAPBEXfilterItem 2 2" xfId="46387" xr:uid="{00000000-0005-0000-0000-0000D4B50000}"/>
    <cellStyle name="SAPBEXfilterItem 2 2 2" xfId="46388" xr:uid="{00000000-0005-0000-0000-0000D5B50000}"/>
    <cellStyle name="SAPBEXfilterItem 2 2 2 2" xfId="46389" xr:uid="{00000000-0005-0000-0000-0000D6B50000}"/>
    <cellStyle name="SAPBEXfilterItem 2 2 2 2 2" xfId="46390" xr:uid="{00000000-0005-0000-0000-0000D7B50000}"/>
    <cellStyle name="SAPBEXfilterItem 2 2 2 2 2 2" xfId="46391" xr:uid="{00000000-0005-0000-0000-0000D8B50000}"/>
    <cellStyle name="SAPBEXfilterItem 2 2 2 2 3" xfId="46392" xr:uid="{00000000-0005-0000-0000-0000D9B50000}"/>
    <cellStyle name="SAPBEXfilterItem 2 2 2 3" xfId="46393" xr:uid="{00000000-0005-0000-0000-0000DAB50000}"/>
    <cellStyle name="SAPBEXfilterItem 2 2 2 3 2" xfId="46394" xr:uid="{00000000-0005-0000-0000-0000DBB50000}"/>
    <cellStyle name="SAPBEXfilterItem 2 2 2 4" xfId="46395" xr:uid="{00000000-0005-0000-0000-0000DCB50000}"/>
    <cellStyle name="SAPBEXfilterItem 2 2 3" xfId="46396" xr:uid="{00000000-0005-0000-0000-0000DDB50000}"/>
    <cellStyle name="SAPBEXfilterItem 2 2 3 2" xfId="46397" xr:uid="{00000000-0005-0000-0000-0000DEB50000}"/>
    <cellStyle name="SAPBEXfilterItem 2 2 3 2 2" xfId="46398" xr:uid="{00000000-0005-0000-0000-0000DFB50000}"/>
    <cellStyle name="SAPBEXfilterItem 2 2 3 3" xfId="46399" xr:uid="{00000000-0005-0000-0000-0000E0B50000}"/>
    <cellStyle name="SAPBEXfilterItem 2 2 4" xfId="46400" xr:uid="{00000000-0005-0000-0000-0000E1B50000}"/>
    <cellStyle name="SAPBEXfilterItem 2 2 4 2" xfId="46401" xr:uid="{00000000-0005-0000-0000-0000E2B50000}"/>
    <cellStyle name="SAPBEXfilterItem 2 2 4 2 2" xfId="46402" xr:uid="{00000000-0005-0000-0000-0000E3B50000}"/>
    <cellStyle name="SAPBEXfilterItem 2 2 4 3" xfId="46403" xr:uid="{00000000-0005-0000-0000-0000E4B50000}"/>
    <cellStyle name="SAPBEXfilterItem 2 2 5" xfId="46404" xr:uid="{00000000-0005-0000-0000-0000E5B50000}"/>
    <cellStyle name="SAPBEXfilterItem 2 2 5 2" xfId="46405" xr:uid="{00000000-0005-0000-0000-0000E6B50000}"/>
    <cellStyle name="SAPBEXfilterItem 2 2 6" xfId="46406" xr:uid="{00000000-0005-0000-0000-0000E7B50000}"/>
    <cellStyle name="SAPBEXfilterItem 2 3" xfId="46407" xr:uid="{00000000-0005-0000-0000-0000E8B50000}"/>
    <cellStyle name="SAPBEXfilterItem 2 3 2" xfId="46408" xr:uid="{00000000-0005-0000-0000-0000E9B50000}"/>
    <cellStyle name="SAPBEXfilterItem 2 4" xfId="46409" xr:uid="{00000000-0005-0000-0000-0000EAB50000}"/>
    <cellStyle name="SAPBEXfilterItem 2 4 2" xfId="46410" xr:uid="{00000000-0005-0000-0000-0000EBB50000}"/>
    <cellStyle name="SAPBEXfilterItem 2 4 2 2" xfId="46411" xr:uid="{00000000-0005-0000-0000-0000ECB50000}"/>
    <cellStyle name="SAPBEXfilterItem 2 4 3" xfId="46412" xr:uid="{00000000-0005-0000-0000-0000EDB50000}"/>
    <cellStyle name="SAPBEXfilterItem 2 5" xfId="46413" xr:uid="{00000000-0005-0000-0000-0000EEB50000}"/>
    <cellStyle name="SAPBEXfilterItem 2 5 2" xfId="46414" xr:uid="{00000000-0005-0000-0000-0000EFB50000}"/>
    <cellStyle name="SAPBEXfilterItem 2 5 2 2" xfId="46415" xr:uid="{00000000-0005-0000-0000-0000F0B50000}"/>
    <cellStyle name="SAPBEXfilterItem 2 5 3" xfId="46416" xr:uid="{00000000-0005-0000-0000-0000F1B50000}"/>
    <cellStyle name="SAPBEXfilterItem 2 6" xfId="46417" xr:uid="{00000000-0005-0000-0000-0000F2B50000}"/>
    <cellStyle name="SAPBEXfilterItem 3" xfId="46418" xr:uid="{00000000-0005-0000-0000-0000F3B50000}"/>
    <cellStyle name="SAPBEXfilterItem 3 2" xfId="46419" xr:uid="{00000000-0005-0000-0000-0000F4B50000}"/>
    <cellStyle name="SAPBEXfilterItem 3 2 2" xfId="46420" xr:uid="{00000000-0005-0000-0000-0000F5B50000}"/>
    <cellStyle name="SAPBEXfilterItem 3 3" xfId="46421" xr:uid="{00000000-0005-0000-0000-0000F6B50000}"/>
    <cellStyle name="SAPBEXfilterItem 3 3 2" xfId="46422" xr:uid="{00000000-0005-0000-0000-0000F7B50000}"/>
    <cellStyle name="SAPBEXfilterItem 3 3 2 2" xfId="46423" xr:uid="{00000000-0005-0000-0000-0000F8B50000}"/>
    <cellStyle name="SAPBEXfilterItem 3 3 3" xfId="46424" xr:uid="{00000000-0005-0000-0000-0000F9B50000}"/>
    <cellStyle name="SAPBEXfilterItem 3 4" xfId="46425" xr:uid="{00000000-0005-0000-0000-0000FAB50000}"/>
    <cellStyle name="SAPBEXfilterItem 3 4 2" xfId="46426" xr:uid="{00000000-0005-0000-0000-0000FBB50000}"/>
    <cellStyle name="SAPBEXfilterItem 3 4 2 2" xfId="46427" xr:uid="{00000000-0005-0000-0000-0000FCB50000}"/>
    <cellStyle name="SAPBEXfilterItem 3 4 3" xfId="46428" xr:uid="{00000000-0005-0000-0000-0000FDB50000}"/>
    <cellStyle name="SAPBEXfilterItem 3 5" xfId="46429" xr:uid="{00000000-0005-0000-0000-0000FEB50000}"/>
    <cellStyle name="SAPBEXfilterItem 4" xfId="46430" xr:uid="{00000000-0005-0000-0000-0000FFB50000}"/>
    <cellStyle name="SAPBEXfilterItem 4 2" xfId="46431" xr:uid="{00000000-0005-0000-0000-000000B60000}"/>
    <cellStyle name="SAPBEXfilterItem 4 2 2" xfId="46432" xr:uid="{00000000-0005-0000-0000-000001B60000}"/>
    <cellStyle name="SAPBEXfilterItem 4 2 2 2" xfId="46433" xr:uid="{00000000-0005-0000-0000-000002B60000}"/>
    <cellStyle name="SAPBEXfilterItem 4 2 3" xfId="46434" xr:uid="{00000000-0005-0000-0000-000003B60000}"/>
    <cellStyle name="SAPBEXfilterItem 4 2 3 2" xfId="46435" xr:uid="{00000000-0005-0000-0000-000004B60000}"/>
    <cellStyle name="SAPBEXfilterItem 4 2 3 2 2" xfId="46436" xr:uid="{00000000-0005-0000-0000-000005B60000}"/>
    <cellStyle name="SAPBEXfilterItem 4 2 3 3" xfId="46437" xr:uid="{00000000-0005-0000-0000-000006B60000}"/>
    <cellStyle name="SAPBEXfilterItem 4 2 4" xfId="46438" xr:uid="{00000000-0005-0000-0000-000007B60000}"/>
    <cellStyle name="SAPBEXfilterItem 4 3" xfId="46439" xr:uid="{00000000-0005-0000-0000-000008B60000}"/>
    <cellStyle name="SAPBEXfilterItem 4 3 2" xfId="46440" xr:uid="{00000000-0005-0000-0000-000009B60000}"/>
    <cellStyle name="SAPBEXfilterItem 4 3 2 2" xfId="46441" xr:uid="{00000000-0005-0000-0000-00000AB60000}"/>
    <cellStyle name="SAPBEXfilterItem 4 3 3" xfId="46442" xr:uid="{00000000-0005-0000-0000-00000BB60000}"/>
    <cellStyle name="SAPBEXfilterItem 4 4" xfId="46443" xr:uid="{00000000-0005-0000-0000-00000CB60000}"/>
    <cellStyle name="SAPBEXfilterItem 4 4 2" xfId="46444" xr:uid="{00000000-0005-0000-0000-00000DB60000}"/>
    <cellStyle name="SAPBEXfilterItem 4 4 2 2" xfId="46445" xr:uid="{00000000-0005-0000-0000-00000EB60000}"/>
    <cellStyle name="SAPBEXfilterItem 4 4 3" xfId="46446" xr:uid="{00000000-0005-0000-0000-00000FB60000}"/>
    <cellStyle name="SAPBEXfilterItem 4 5" xfId="46447" xr:uid="{00000000-0005-0000-0000-000010B60000}"/>
    <cellStyle name="SAPBEXfilterItem 4 5 2" xfId="46448" xr:uid="{00000000-0005-0000-0000-000011B60000}"/>
    <cellStyle name="SAPBEXfilterItem 4 5 2 2" xfId="46449" xr:uid="{00000000-0005-0000-0000-000012B60000}"/>
    <cellStyle name="SAPBEXfilterItem 4 5 3" xfId="46450" xr:uid="{00000000-0005-0000-0000-000013B60000}"/>
    <cellStyle name="SAPBEXfilterItem 4 6" xfId="46451" xr:uid="{00000000-0005-0000-0000-000014B60000}"/>
    <cellStyle name="SAPBEXfilterItem 5" xfId="46452" xr:uid="{00000000-0005-0000-0000-000015B60000}"/>
    <cellStyle name="SAPBEXfilterItem 5 2" xfId="46453" xr:uid="{00000000-0005-0000-0000-000016B60000}"/>
    <cellStyle name="SAPBEXfilterItem 5 2 2" xfId="46454" xr:uid="{00000000-0005-0000-0000-000017B60000}"/>
    <cellStyle name="SAPBEXfilterItem 5 3" xfId="46455" xr:uid="{00000000-0005-0000-0000-000018B60000}"/>
    <cellStyle name="SAPBEXfilterItem 6" xfId="46456" xr:uid="{00000000-0005-0000-0000-000019B60000}"/>
    <cellStyle name="SAPBEXfilterItem 6 2" xfId="46457" xr:uid="{00000000-0005-0000-0000-00001AB60000}"/>
    <cellStyle name="SAPBEXfilterItem 6 2 2" xfId="46458" xr:uid="{00000000-0005-0000-0000-00001BB60000}"/>
    <cellStyle name="SAPBEXfilterItem 6 3" xfId="46459" xr:uid="{00000000-0005-0000-0000-00001CB60000}"/>
    <cellStyle name="SAPBEXfilterItem 7" xfId="46460" xr:uid="{00000000-0005-0000-0000-00001DB60000}"/>
    <cellStyle name="SAPBEXfilterItem 7 2" xfId="46461" xr:uid="{00000000-0005-0000-0000-00001EB60000}"/>
    <cellStyle name="SAPBEXfilterItem 7 2 2" xfId="46462" xr:uid="{00000000-0005-0000-0000-00001FB60000}"/>
    <cellStyle name="SAPBEXfilterItem 7 3" xfId="46463" xr:uid="{00000000-0005-0000-0000-000020B60000}"/>
    <cellStyle name="SAPBEXfilterItem 8" xfId="46464" xr:uid="{00000000-0005-0000-0000-000021B60000}"/>
    <cellStyle name="SAPBEXfilterItem 8 2" xfId="46465" xr:uid="{00000000-0005-0000-0000-000022B60000}"/>
    <cellStyle name="SAPBEXfilterItem 9" xfId="46466" xr:uid="{00000000-0005-0000-0000-000023B60000}"/>
    <cellStyle name="SAPBEXfilterItem 9 2" xfId="46467" xr:uid="{00000000-0005-0000-0000-000024B60000}"/>
    <cellStyle name="SAPBEXfilterText" xfId="56" xr:uid="{00000000-0005-0000-0000-000025B60000}"/>
    <cellStyle name="SAPBEXfilterText 10" xfId="46468" xr:uid="{00000000-0005-0000-0000-000026B60000}"/>
    <cellStyle name="SAPBEXfilterText 10 2" xfId="46469" xr:uid="{00000000-0005-0000-0000-000027B60000}"/>
    <cellStyle name="SAPBEXfilterText 11" xfId="46470" xr:uid="{00000000-0005-0000-0000-000028B60000}"/>
    <cellStyle name="SAPBEXfilterText 11 2" xfId="46471" xr:uid="{00000000-0005-0000-0000-000029B60000}"/>
    <cellStyle name="SAPBEXfilterText 12" xfId="46472" xr:uid="{00000000-0005-0000-0000-00002AB60000}"/>
    <cellStyle name="SAPBEXfilterText 2" xfId="46473" xr:uid="{00000000-0005-0000-0000-00002BB60000}"/>
    <cellStyle name="SAPBEXfilterText 2 2" xfId="46474" xr:uid="{00000000-0005-0000-0000-00002CB60000}"/>
    <cellStyle name="SAPBEXfilterText 2 2 2" xfId="46475" xr:uid="{00000000-0005-0000-0000-00002DB60000}"/>
    <cellStyle name="SAPBEXfilterText 2 2 2 2" xfId="46476" xr:uid="{00000000-0005-0000-0000-00002EB60000}"/>
    <cellStyle name="SAPBEXfilterText 2 2 2 2 2" xfId="46477" xr:uid="{00000000-0005-0000-0000-00002FB60000}"/>
    <cellStyle name="SAPBEXfilterText 2 2 2 2 2 2" xfId="46478" xr:uid="{00000000-0005-0000-0000-000030B60000}"/>
    <cellStyle name="SAPBEXfilterText 2 2 2 2 3" xfId="46479" xr:uid="{00000000-0005-0000-0000-000031B60000}"/>
    <cellStyle name="SAPBEXfilterText 2 2 2 3" xfId="46480" xr:uid="{00000000-0005-0000-0000-000032B60000}"/>
    <cellStyle name="SAPBEXfilterText 2 2 2 3 2" xfId="46481" xr:uid="{00000000-0005-0000-0000-000033B60000}"/>
    <cellStyle name="SAPBEXfilterText 2 2 2 4" xfId="46482" xr:uid="{00000000-0005-0000-0000-000034B60000}"/>
    <cellStyle name="SAPBEXfilterText 2 2 3" xfId="46483" xr:uid="{00000000-0005-0000-0000-000035B60000}"/>
    <cellStyle name="SAPBEXfilterText 2 2 3 2" xfId="46484" xr:uid="{00000000-0005-0000-0000-000036B60000}"/>
    <cellStyle name="SAPBEXfilterText 2 2 3 2 2" xfId="46485" xr:uid="{00000000-0005-0000-0000-000037B60000}"/>
    <cellStyle name="SAPBEXfilterText 2 2 3 3" xfId="46486" xr:uid="{00000000-0005-0000-0000-000038B60000}"/>
    <cellStyle name="SAPBEXfilterText 2 2 4" xfId="46487" xr:uid="{00000000-0005-0000-0000-000039B60000}"/>
    <cellStyle name="SAPBEXfilterText 2 2 4 2" xfId="46488" xr:uid="{00000000-0005-0000-0000-00003AB60000}"/>
    <cellStyle name="SAPBEXfilterText 2 2 4 2 2" xfId="46489" xr:uid="{00000000-0005-0000-0000-00003BB60000}"/>
    <cellStyle name="SAPBEXfilterText 2 2 4 3" xfId="46490" xr:uid="{00000000-0005-0000-0000-00003CB60000}"/>
    <cellStyle name="SAPBEXfilterText 2 2 5" xfId="46491" xr:uid="{00000000-0005-0000-0000-00003DB60000}"/>
    <cellStyle name="SAPBEXfilterText 2 2 5 2" xfId="46492" xr:uid="{00000000-0005-0000-0000-00003EB60000}"/>
    <cellStyle name="SAPBEXfilterText 2 2 6" xfId="46493" xr:uid="{00000000-0005-0000-0000-00003FB60000}"/>
    <cellStyle name="SAPBEXfilterText 2 3" xfId="46494" xr:uid="{00000000-0005-0000-0000-000040B60000}"/>
    <cellStyle name="SAPBEXfilterText 2 4" xfId="46495" xr:uid="{00000000-0005-0000-0000-000041B60000}"/>
    <cellStyle name="SAPBEXfilterText 2 4 2" xfId="46496" xr:uid="{00000000-0005-0000-0000-000042B60000}"/>
    <cellStyle name="SAPBEXfilterText 2 4 2 2" xfId="46497" xr:uid="{00000000-0005-0000-0000-000043B60000}"/>
    <cellStyle name="SAPBEXfilterText 2 4 3" xfId="46498" xr:uid="{00000000-0005-0000-0000-000044B60000}"/>
    <cellStyle name="SAPBEXfilterText 2 5" xfId="46499" xr:uid="{00000000-0005-0000-0000-000045B60000}"/>
    <cellStyle name="SAPBEXfilterText 2 5 2" xfId="46500" xr:uid="{00000000-0005-0000-0000-000046B60000}"/>
    <cellStyle name="SAPBEXfilterText 2 5 2 2" xfId="46501" xr:uid="{00000000-0005-0000-0000-000047B60000}"/>
    <cellStyle name="SAPBEXfilterText 2 5 3" xfId="46502" xr:uid="{00000000-0005-0000-0000-000048B60000}"/>
    <cellStyle name="SAPBEXfilterText 3" xfId="46503" xr:uid="{00000000-0005-0000-0000-000049B60000}"/>
    <cellStyle name="SAPBEXfilterText 3 2" xfId="46504" xr:uid="{00000000-0005-0000-0000-00004AB60000}"/>
    <cellStyle name="SAPBEXfilterText 3 2 2" xfId="46505" xr:uid="{00000000-0005-0000-0000-00004BB60000}"/>
    <cellStyle name="SAPBEXfilterText 3 3" xfId="46506" xr:uid="{00000000-0005-0000-0000-00004CB60000}"/>
    <cellStyle name="SAPBEXfilterText 3 3 2" xfId="46507" xr:uid="{00000000-0005-0000-0000-00004DB60000}"/>
    <cellStyle name="SAPBEXfilterText 3 3 2 2" xfId="46508" xr:uid="{00000000-0005-0000-0000-00004EB60000}"/>
    <cellStyle name="SAPBEXfilterText 3 3 3" xfId="46509" xr:uid="{00000000-0005-0000-0000-00004FB60000}"/>
    <cellStyle name="SAPBEXfilterText 3 4" xfId="46510" xr:uid="{00000000-0005-0000-0000-000050B60000}"/>
    <cellStyle name="SAPBEXfilterText 3 4 2" xfId="46511" xr:uid="{00000000-0005-0000-0000-000051B60000}"/>
    <cellStyle name="SAPBEXfilterText 3 4 2 2" xfId="46512" xr:uid="{00000000-0005-0000-0000-000052B60000}"/>
    <cellStyle name="SAPBEXfilterText 3 4 3" xfId="46513" xr:uid="{00000000-0005-0000-0000-000053B60000}"/>
    <cellStyle name="SAPBEXfilterText 3 5" xfId="46514" xr:uid="{00000000-0005-0000-0000-000054B60000}"/>
    <cellStyle name="SAPBEXfilterText 4" xfId="46515" xr:uid="{00000000-0005-0000-0000-000055B60000}"/>
    <cellStyle name="SAPBEXfilterText 4 2" xfId="46516" xr:uid="{00000000-0005-0000-0000-000056B60000}"/>
    <cellStyle name="SAPBEXfilterText 4 2 2" xfId="46517" xr:uid="{00000000-0005-0000-0000-000057B60000}"/>
    <cellStyle name="SAPBEXfilterText 4 2 2 2" xfId="46518" xr:uid="{00000000-0005-0000-0000-000058B60000}"/>
    <cellStyle name="SAPBEXfilterText 4 2 3" xfId="46519" xr:uid="{00000000-0005-0000-0000-000059B60000}"/>
    <cellStyle name="SAPBEXfilterText 4 2 3 2" xfId="46520" xr:uid="{00000000-0005-0000-0000-00005AB60000}"/>
    <cellStyle name="SAPBEXfilterText 4 2 3 2 2" xfId="46521" xr:uid="{00000000-0005-0000-0000-00005BB60000}"/>
    <cellStyle name="SAPBEXfilterText 4 2 3 3" xfId="46522" xr:uid="{00000000-0005-0000-0000-00005CB60000}"/>
    <cellStyle name="SAPBEXfilterText 4 2 4" xfId="46523" xr:uid="{00000000-0005-0000-0000-00005DB60000}"/>
    <cellStyle name="SAPBEXfilterText 4 3" xfId="46524" xr:uid="{00000000-0005-0000-0000-00005EB60000}"/>
    <cellStyle name="SAPBEXfilterText 4 3 2" xfId="46525" xr:uid="{00000000-0005-0000-0000-00005FB60000}"/>
    <cellStyle name="SAPBEXfilterText 4 3 2 2" xfId="46526" xr:uid="{00000000-0005-0000-0000-000060B60000}"/>
    <cellStyle name="SAPBEXfilterText 4 3 3" xfId="46527" xr:uid="{00000000-0005-0000-0000-000061B60000}"/>
    <cellStyle name="SAPBEXfilterText 4 4" xfId="46528" xr:uid="{00000000-0005-0000-0000-000062B60000}"/>
    <cellStyle name="SAPBEXfilterText 4 4 2" xfId="46529" xr:uid="{00000000-0005-0000-0000-000063B60000}"/>
    <cellStyle name="SAPBEXfilterText 4 4 2 2" xfId="46530" xr:uid="{00000000-0005-0000-0000-000064B60000}"/>
    <cellStyle name="SAPBEXfilterText 4 4 3" xfId="46531" xr:uid="{00000000-0005-0000-0000-000065B60000}"/>
    <cellStyle name="SAPBEXfilterText 4 5" xfId="46532" xr:uid="{00000000-0005-0000-0000-000066B60000}"/>
    <cellStyle name="SAPBEXfilterText 4 5 2" xfId="46533" xr:uid="{00000000-0005-0000-0000-000067B60000}"/>
    <cellStyle name="SAPBEXfilterText 4 5 2 2" xfId="46534" xr:uid="{00000000-0005-0000-0000-000068B60000}"/>
    <cellStyle name="SAPBEXfilterText 4 5 3" xfId="46535" xr:uid="{00000000-0005-0000-0000-000069B60000}"/>
    <cellStyle name="SAPBEXfilterText 4 6" xfId="46536" xr:uid="{00000000-0005-0000-0000-00006AB60000}"/>
    <cellStyle name="SAPBEXfilterText 5" xfId="46537" xr:uid="{00000000-0005-0000-0000-00006BB60000}"/>
    <cellStyle name="SAPBEXfilterText 5 2" xfId="46538" xr:uid="{00000000-0005-0000-0000-00006CB60000}"/>
    <cellStyle name="SAPBEXfilterText 5 2 2" xfId="46539" xr:uid="{00000000-0005-0000-0000-00006DB60000}"/>
    <cellStyle name="SAPBEXfilterText 5 3" xfId="46540" xr:uid="{00000000-0005-0000-0000-00006EB60000}"/>
    <cellStyle name="SAPBEXfilterText 6" xfId="46541" xr:uid="{00000000-0005-0000-0000-00006FB60000}"/>
    <cellStyle name="SAPBEXfilterText 6 2" xfId="46542" xr:uid="{00000000-0005-0000-0000-000070B60000}"/>
    <cellStyle name="SAPBEXfilterText 6 2 2" xfId="46543" xr:uid="{00000000-0005-0000-0000-000071B60000}"/>
    <cellStyle name="SAPBEXfilterText 6 3" xfId="46544" xr:uid="{00000000-0005-0000-0000-000072B60000}"/>
    <cellStyle name="SAPBEXfilterText 7" xfId="46545" xr:uid="{00000000-0005-0000-0000-000073B60000}"/>
    <cellStyle name="SAPBEXfilterText 7 2" xfId="46546" xr:uid="{00000000-0005-0000-0000-000074B60000}"/>
    <cellStyle name="SAPBEXfilterText 7 2 2" xfId="46547" xr:uid="{00000000-0005-0000-0000-000075B60000}"/>
    <cellStyle name="SAPBEXfilterText 7 3" xfId="46548" xr:uid="{00000000-0005-0000-0000-000076B60000}"/>
    <cellStyle name="SAPBEXfilterText 8" xfId="46549" xr:uid="{00000000-0005-0000-0000-000077B60000}"/>
    <cellStyle name="SAPBEXfilterText 8 2" xfId="46550" xr:uid="{00000000-0005-0000-0000-000078B60000}"/>
    <cellStyle name="SAPBEXfilterText 9" xfId="46551" xr:uid="{00000000-0005-0000-0000-000079B60000}"/>
    <cellStyle name="SAPBEXfilterText 9 2" xfId="46552" xr:uid="{00000000-0005-0000-0000-00007AB60000}"/>
    <cellStyle name="SAPBEXformats" xfId="57" xr:uid="{00000000-0005-0000-0000-00007BB60000}"/>
    <cellStyle name="SAPBEXformats 10" xfId="46553" xr:uid="{00000000-0005-0000-0000-00007CB60000}"/>
    <cellStyle name="SAPBEXformats 10 2" xfId="46554" xr:uid="{00000000-0005-0000-0000-00007DB60000}"/>
    <cellStyle name="SAPBEXformats 11" xfId="46555" xr:uid="{00000000-0005-0000-0000-00007EB60000}"/>
    <cellStyle name="SAPBEXformats 11 2" xfId="46556" xr:uid="{00000000-0005-0000-0000-00007FB60000}"/>
    <cellStyle name="SAPBEXformats 12" xfId="46557" xr:uid="{00000000-0005-0000-0000-000080B60000}"/>
    <cellStyle name="SAPBEXformats 12 2" xfId="46558" xr:uid="{00000000-0005-0000-0000-000081B60000}"/>
    <cellStyle name="SAPBEXformats 13" xfId="46559" xr:uid="{00000000-0005-0000-0000-000082B60000}"/>
    <cellStyle name="SAPBEXformats 14" xfId="46560" xr:uid="{00000000-0005-0000-0000-000083B60000}"/>
    <cellStyle name="SAPBEXformats 2" xfId="46561" xr:uid="{00000000-0005-0000-0000-000084B60000}"/>
    <cellStyle name="SAPBEXformats 2 2" xfId="46562" xr:uid="{00000000-0005-0000-0000-000085B60000}"/>
    <cellStyle name="SAPBEXformats 2 2 2" xfId="46563" xr:uid="{00000000-0005-0000-0000-000086B60000}"/>
    <cellStyle name="SAPBEXformats 2 2 2 2" xfId="46564" xr:uid="{00000000-0005-0000-0000-000087B60000}"/>
    <cellStyle name="SAPBEXformats 2 2 2 2 2" xfId="46565" xr:uid="{00000000-0005-0000-0000-000088B60000}"/>
    <cellStyle name="SAPBEXformats 2 2 2 2 2 2" xfId="46566" xr:uid="{00000000-0005-0000-0000-000089B60000}"/>
    <cellStyle name="SAPBEXformats 2 2 2 2 3" xfId="46567" xr:uid="{00000000-0005-0000-0000-00008AB60000}"/>
    <cellStyle name="SAPBEXformats 2 2 2 3" xfId="46568" xr:uid="{00000000-0005-0000-0000-00008BB60000}"/>
    <cellStyle name="SAPBEXformats 2 2 2 3 2" xfId="46569" xr:uid="{00000000-0005-0000-0000-00008CB60000}"/>
    <cellStyle name="SAPBEXformats 2 2 2 4" xfId="46570" xr:uid="{00000000-0005-0000-0000-00008DB60000}"/>
    <cellStyle name="SAPBEXformats 2 2 3" xfId="46571" xr:uid="{00000000-0005-0000-0000-00008EB60000}"/>
    <cellStyle name="SAPBEXformats 2 2 3 2" xfId="46572" xr:uid="{00000000-0005-0000-0000-00008FB60000}"/>
    <cellStyle name="SAPBEXformats 2 2 3 2 2" xfId="46573" xr:uid="{00000000-0005-0000-0000-000090B60000}"/>
    <cellStyle name="SAPBEXformats 2 2 3 3" xfId="46574" xr:uid="{00000000-0005-0000-0000-000091B60000}"/>
    <cellStyle name="SAPBEXformats 2 2 4" xfId="46575" xr:uid="{00000000-0005-0000-0000-000092B60000}"/>
    <cellStyle name="SAPBEXformats 2 2 4 2" xfId="46576" xr:uid="{00000000-0005-0000-0000-000093B60000}"/>
    <cellStyle name="SAPBEXformats 2 2 4 2 2" xfId="46577" xr:uid="{00000000-0005-0000-0000-000094B60000}"/>
    <cellStyle name="SAPBEXformats 2 2 4 3" xfId="46578" xr:uid="{00000000-0005-0000-0000-000095B60000}"/>
    <cellStyle name="SAPBEXformats 2 2 5" xfId="46579" xr:uid="{00000000-0005-0000-0000-000096B60000}"/>
    <cellStyle name="SAPBEXformats 2 2 5 2" xfId="46580" xr:uid="{00000000-0005-0000-0000-000097B60000}"/>
    <cellStyle name="SAPBEXformats 2 2 6" xfId="46581" xr:uid="{00000000-0005-0000-0000-000098B60000}"/>
    <cellStyle name="SAPBEXformats 2 3" xfId="46582" xr:uid="{00000000-0005-0000-0000-000099B60000}"/>
    <cellStyle name="SAPBEXformats 2 3 2" xfId="46583" xr:uid="{00000000-0005-0000-0000-00009AB60000}"/>
    <cellStyle name="SAPBEXformats 2 3 2 2" xfId="46584" xr:uid="{00000000-0005-0000-0000-00009BB60000}"/>
    <cellStyle name="SAPBEXformats 2 3 3" xfId="46585" xr:uid="{00000000-0005-0000-0000-00009CB60000}"/>
    <cellStyle name="SAPBEXformats 2 4" xfId="46586" xr:uid="{00000000-0005-0000-0000-00009DB60000}"/>
    <cellStyle name="SAPBEXformats 2 4 2" xfId="46587" xr:uid="{00000000-0005-0000-0000-00009EB60000}"/>
    <cellStyle name="SAPBEXformats 2 4 2 2" xfId="46588" xr:uid="{00000000-0005-0000-0000-00009FB60000}"/>
    <cellStyle name="SAPBEXformats 2 4 3" xfId="46589" xr:uid="{00000000-0005-0000-0000-0000A0B60000}"/>
    <cellStyle name="SAPBEXformats 2 5" xfId="46590" xr:uid="{00000000-0005-0000-0000-0000A1B60000}"/>
    <cellStyle name="SAPBEXformats 2 5 2" xfId="46591" xr:uid="{00000000-0005-0000-0000-0000A2B60000}"/>
    <cellStyle name="SAPBEXformats 2 5 2 2" xfId="46592" xr:uid="{00000000-0005-0000-0000-0000A3B60000}"/>
    <cellStyle name="SAPBEXformats 2 5 3" xfId="46593" xr:uid="{00000000-0005-0000-0000-0000A4B60000}"/>
    <cellStyle name="SAPBEXformats 2 6" xfId="46594" xr:uid="{00000000-0005-0000-0000-0000A5B60000}"/>
    <cellStyle name="SAPBEXformats 2 6 2" xfId="46595" xr:uid="{00000000-0005-0000-0000-0000A6B60000}"/>
    <cellStyle name="SAPBEXformats 2 7" xfId="46596" xr:uid="{00000000-0005-0000-0000-0000A7B60000}"/>
    <cellStyle name="SAPBEXformats 3" xfId="46597" xr:uid="{00000000-0005-0000-0000-0000A8B60000}"/>
    <cellStyle name="SAPBEXformats 3 2" xfId="46598" xr:uid="{00000000-0005-0000-0000-0000A9B60000}"/>
    <cellStyle name="SAPBEXformats 3 2 2" xfId="46599" xr:uid="{00000000-0005-0000-0000-0000AAB60000}"/>
    <cellStyle name="SAPBEXformats 3 3" xfId="46600" xr:uid="{00000000-0005-0000-0000-0000ABB60000}"/>
    <cellStyle name="SAPBEXformats 3 3 2" xfId="46601" xr:uid="{00000000-0005-0000-0000-0000ACB60000}"/>
    <cellStyle name="SAPBEXformats 3 3 2 2" xfId="46602" xr:uid="{00000000-0005-0000-0000-0000ADB60000}"/>
    <cellStyle name="SAPBEXformats 3 3 3" xfId="46603" xr:uid="{00000000-0005-0000-0000-0000AEB60000}"/>
    <cellStyle name="SAPBEXformats 3 4" xfId="46604" xr:uid="{00000000-0005-0000-0000-0000AFB60000}"/>
    <cellStyle name="SAPBEXformats 3 4 2" xfId="46605" xr:uid="{00000000-0005-0000-0000-0000B0B60000}"/>
    <cellStyle name="SAPBEXformats 3 4 2 2" xfId="46606" xr:uid="{00000000-0005-0000-0000-0000B1B60000}"/>
    <cellStyle name="SAPBEXformats 3 4 3" xfId="46607" xr:uid="{00000000-0005-0000-0000-0000B2B60000}"/>
    <cellStyle name="SAPBEXformats 3 5" xfId="46608" xr:uid="{00000000-0005-0000-0000-0000B3B60000}"/>
    <cellStyle name="SAPBEXformats 4" xfId="46609" xr:uid="{00000000-0005-0000-0000-0000B4B60000}"/>
    <cellStyle name="SAPBEXformats 4 2" xfId="46610" xr:uid="{00000000-0005-0000-0000-0000B5B60000}"/>
    <cellStyle name="SAPBEXformats 4 2 2" xfId="46611" xr:uid="{00000000-0005-0000-0000-0000B6B60000}"/>
    <cellStyle name="SAPBEXformats 4 2 2 2" xfId="46612" xr:uid="{00000000-0005-0000-0000-0000B7B60000}"/>
    <cellStyle name="SAPBEXformats 4 2 3" xfId="46613" xr:uid="{00000000-0005-0000-0000-0000B8B60000}"/>
    <cellStyle name="SAPBEXformats 4 2 3 2" xfId="46614" xr:uid="{00000000-0005-0000-0000-0000B9B60000}"/>
    <cellStyle name="SAPBEXformats 4 2 3 2 2" xfId="46615" xr:uid="{00000000-0005-0000-0000-0000BAB60000}"/>
    <cellStyle name="SAPBEXformats 4 2 3 3" xfId="46616" xr:uid="{00000000-0005-0000-0000-0000BBB60000}"/>
    <cellStyle name="SAPBEXformats 4 2 4" xfId="46617" xr:uid="{00000000-0005-0000-0000-0000BCB60000}"/>
    <cellStyle name="SAPBEXformats 4 3" xfId="46618" xr:uid="{00000000-0005-0000-0000-0000BDB60000}"/>
    <cellStyle name="SAPBEXformats 4 3 2" xfId="46619" xr:uid="{00000000-0005-0000-0000-0000BEB60000}"/>
    <cellStyle name="SAPBEXformats 4 3 2 2" xfId="46620" xr:uid="{00000000-0005-0000-0000-0000BFB60000}"/>
    <cellStyle name="SAPBEXformats 4 3 3" xfId="46621" xr:uid="{00000000-0005-0000-0000-0000C0B60000}"/>
    <cellStyle name="SAPBEXformats 4 4" xfId="46622" xr:uid="{00000000-0005-0000-0000-0000C1B60000}"/>
    <cellStyle name="SAPBEXformats 4 4 2" xfId="46623" xr:uid="{00000000-0005-0000-0000-0000C2B60000}"/>
    <cellStyle name="SAPBEXformats 4 4 2 2" xfId="46624" xr:uid="{00000000-0005-0000-0000-0000C3B60000}"/>
    <cellStyle name="SAPBEXformats 4 4 3" xfId="46625" xr:uid="{00000000-0005-0000-0000-0000C4B60000}"/>
    <cellStyle name="SAPBEXformats 4 5" xfId="46626" xr:uid="{00000000-0005-0000-0000-0000C5B60000}"/>
    <cellStyle name="SAPBEXformats 4 5 2" xfId="46627" xr:uid="{00000000-0005-0000-0000-0000C6B60000}"/>
    <cellStyle name="SAPBEXformats 4 5 2 2" xfId="46628" xr:uid="{00000000-0005-0000-0000-0000C7B60000}"/>
    <cellStyle name="SAPBEXformats 4 5 3" xfId="46629" xr:uid="{00000000-0005-0000-0000-0000C8B60000}"/>
    <cellStyle name="SAPBEXformats 4 6" xfId="46630" xr:uid="{00000000-0005-0000-0000-0000C9B60000}"/>
    <cellStyle name="SAPBEXformats 5" xfId="46631" xr:uid="{00000000-0005-0000-0000-0000CAB60000}"/>
    <cellStyle name="SAPBEXformats 5 2" xfId="46632" xr:uid="{00000000-0005-0000-0000-0000CBB60000}"/>
    <cellStyle name="SAPBEXformats 5 2 2" xfId="46633" xr:uid="{00000000-0005-0000-0000-0000CCB60000}"/>
    <cellStyle name="SAPBEXformats 5 3" xfId="46634" xr:uid="{00000000-0005-0000-0000-0000CDB60000}"/>
    <cellStyle name="SAPBEXformats 6" xfId="46635" xr:uid="{00000000-0005-0000-0000-0000CEB60000}"/>
    <cellStyle name="SAPBEXformats 6 2" xfId="46636" xr:uid="{00000000-0005-0000-0000-0000CFB60000}"/>
    <cellStyle name="SAPBEXformats 6 2 2" xfId="46637" xr:uid="{00000000-0005-0000-0000-0000D0B60000}"/>
    <cellStyle name="SAPBEXformats 6 3" xfId="46638" xr:uid="{00000000-0005-0000-0000-0000D1B60000}"/>
    <cellStyle name="SAPBEXformats 7" xfId="46639" xr:uid="{00000000-0005-0000-0000-0000D2B60000}"/>
    <cellStyle name="SAPBEXformats 7 2" xfId="46640" xr:uid="{00000000-0005-0000-0000-0000D3B60000}"/>
    <cellStyle name="SAPBEXformats 7 2 2" xfId="46641" xr:uid="{00000000-0005-0000-0000-0000D4B60000}"/>
    <cellStyle name="SAPBEXformats 7 3" xfId="46642" xr:uid="{00000000-0005-0000-0000-0000D5B60000}"/>
    <cellStyle name="SAPBEXformats 8" xfId="46643" xr:uid="{00000000-0005-0000-0000-0000D6B60000}"/>
    <cellStyle name="SAPBEXformats 8 2" xfId="46644" xr:uid="{00000000-0005-0000-0000-0000D7B60000}"/>
    <cellStyle name="SAPBEXformats 9" xfId="46645" xr:uid="{00000000-0005-0000-0000-0000D8B60000}"/>
    <cellStyle name="SAPBEXformats 9 2" xfId="46646" xr:uid="{00000000-0005-0000-0000-0000D9B60000}"/>
    <cellStyle name="SAPBEXheaderItem" xfId="58" xr:uid="{00000000-0005-0000-0000-0000DAB60000}"/>
    <cellStyle name="SAPBEXheaderItem 10" xfId="46647" xr:uid="{00000000-0005-0000-0000-0000DBB60000}"/>
    <cellStyle name="SAPBEXheaderItem 10 2" xfId="46648" xr:uid="{00000000-0005-0000-0000-0000DCB60000}"/>
    <cellStyle name="SAPBEXheaderItem 11" xfId="46649" xr:uid="{00000000-0005-0000-0000-0000DDB60000}"/>
    <cellStyle name="SAPBEXheaderItem 11 2" xfId="46650" xr:uid="{00000000-0005-0000-0000-0000DEB60000}"/>
    <cellStyle name="SAPBEXheaderItem 12" xfId="46651" xr:uid="{00000000-0005-0000-0000-0000DFB60000}"/>
    <cellStyle name="SAPBEXheaderItem 12 2" xfId="46652" xr:uid="{00000000-0005-0000-0000-0000E0B60000}"/>
    <cellStyle name="SAPBEXheaderItem 13" xfId="46653" xr:uid="{00000000-0005-0000-0000-0000E1B60000}"/>
    <cellStyle name="SAPBEXheaderItem 13 2" xfId="46654" xr:uid="{00000000-0005-0000-0000-0000E2B60000}"/>
    <cellStyle name="SAPBEXheaderItem 14" xfId="46655" xr:uid="{00000000-0005-0000-0000-0000E3B60000}"/>
    <cellStyle name="SAPBEXheaderItem 2" xfId="46656" xr:uid="{00000000-0005-0000-0000-0000E4B60000}"/>
    <cellStyle name="SAPBEXheaderItem 2 2" xfId="46657" xr:uid="{00000000-0005-0000-0000-0000E5B60000}"/>
    <cellStyle name="SAPBEXheaderItem 2 2 2" xfId="46658" xr:uid="{00000000-0005-0000-0000-0000E6B60000}"/>
    <cellStyle name="SAPBEXheaderItem 2 2 2 2" xfId="46659" xr:uid="{00000000-0005-0000-0000-0000E7B60000}"/>
    <cellStyle name="SAPBEXheaderItem 2 2 2 2 2" xfId="46660" xr:uid="{00000000-0005-0000-0000-0000E8B60000}"/>
    <cellStyle name="SAPBEXheaderItem 2 2 2 2 2 2" xfId="46661" xr:uid="{00000000-0005-0000-0000-0000E9B60000}"/>
    <cellStyle name="SAPBEXheaderItem 2 2 2 2 3" xfId="46662" xr:uid="{00000000-0005-0000-0000-0000EAB60000}"/>
    <cellStyle name="SAPBEXheaderItem 2 2 2 3" xfId="46663" xr:uid="{00000000-0005-0000-0000-0000EBB60000}"/>
    <cellStyle name="SAPBEXheaderItem 2 2 2 3 2" xfId="46664" xr:uid="{00000000-0005-0000-0000-0000ECB60000}"/>
    <cellStyle name="SAPBEXheaderItem 2 2 2 4" xfId="46665" xr:uid="{00000000-0005-0000-0000-0000EDB60000}"/>
    <cellStyle name="SAPBEXheaderItem 2 2 3" xfId="46666" xr:uid="{00000000-0005-0000-0000-0000EEB60000}"/>
    <cellStyle name="SAPBEXheaderItem 2 2 3 2" xfId="46667" xr:uid="{00000000-0005-0000-0000-0000EFB60000}"/>
    <cellStyle name="SAPBEXheaderItem 2 2 3 2 2" xfId="46668" xr:uid="{00000000-0005-0000-0000-0000F0B60000}"/>
    <cellStyle name="SAPBEXheaderItem 2 2 3 3" xfId="46669" xr:uid="{00000000-0005-0000-0000-0000F1B60000}"/>
    <cellStyle name="SAPBEXheaderItem 2 2 4" xfId="46670" xr:uid="{00000000-0005-0000-0000-0000F2B60000}"/>
    <cellStyle name="SAPBEXheaderItem 2 2 4 2" xfId="46671" xr:uid="{00000000-0005-0000-0000-0000F3B60000}"/>
    <cellStyle name="SAPBEXheaderItem 2 2 4 2 2" xfId="46672" xr:uid="{00000000-0005-0000-0000-0000F4B60000}"/>
    <cellStyle name="SAPBEXheaderItem 2 2 4 3" xfId="46673" xr:uid="{00000000-0005-0000-0000-0000F5B60000}"/>
    <cellStyle name="SAPBEXheaderItem 2 2 5" xfId="46674" xr:uid="{00000000-0005-0000-0000-0000F6B60000}"/>
    <cellStyle name="SAPBEXheaderItem 2 2 5 2" xfId="46675" xr:uid="{00000000-0005-0000-0000-0000F7B60000}"/>
    <cellStyle name="SAPBEXheaderItem 2 2 6" xfId="46676" xr:uid="{00000000-0005-0000-0000-0000F8B60000}"/>
    <cellStyle name="SAPBEXheaderItem 2 3" xfId="46677" xr:uid="{00000000-0005-0000-0000-0000F9B60000}"/>
    <cellStyle name="SAPBEXheaderItem 2 3 2" xfId="46678" xr:uid="{00000000-0005-0000-0000-0000FAB60000}"/>
    <cellStyle name="SAPBEXheaderItem 2 4" xfId="46679" xr:uid="{00000000-0005-0000-0000-0000FBB60000}"/>
    <cellStyle name="SAPBEXheaderItem 2 4 2" xfId="46680" xr:uid="{00000000-0005-0000-0000-0000FCB60000}"/>
    <cellStyle name="SAPBEXheaderItem 2 4 2 2" xfId="46681" xr:uid="{00000000-0005-0000-0000-0000FDB60000}"/>
    <cellStyle name="SAPBEXheaderItem 2 4 3" xfId="46682" xr:uid="{00000000-0005-0000-0000-0000FEB60000}"/>
    <cellStyle name="SAPBEXheaderItem 2 5" xfId="46683" xr:uid="{00000000-0005-0000-0000-0000FFB60000}"/>
    <cellStyle name="SAPBEXheaderItem 2 5 2" xfId="46684" xr:uid="{00000000-0005-0000-0000-000000B70000}"/>
    <cellStyle name="SAPBEXheaderItem 2 5 2 2" xfId="46685" xr:uid="{00000000-0005-0000-0000-000001B70000}"/>
    <cellStyle name="SAPBEXheaderItem 2 5 3" xfId="46686" xr:uid="{00000000-0005-0000-0000-000002B70000}"/>
    <cellStyle name="SAPBEXheaderItem 2 6" xfId="46687" xr:uid="{00000000-0005-0000-0000-000003B70000}"/>
    <cellStyle name="SAPBEXheaderItem 3" xfId="46688" xr:uid="{00000000-0005-0000-0000-000004B70000}"/>
    <cellStyle name="SAPBEXheaderItem 3 2" xfId="46689" xr:uid="{00000000-0005-0000-0000-000005B70000}"/>
    <cellStyle name="SAPBEXheaderItem 3 2 2" xfId="46690" xr:uid="{00000000-0005-0000-0000-000006B70000}"/>
    <cellStyle name="SAPBEXheaderItem 3 3" xfId="46691" xr:uid="{00000000-0005-0000-0000-000007B70000}"/>
    <cellStyle name="SAPBEXheaderItem 3 3 2" xfId="46692" xr:uid="{00000000-0005-0000-0000-000008B70000}"/>
    <cellStyle name="SAPBEXheaderItem 3 3 2 2" xfId="46693" xr:uid="{00000000-0005-0000-0000-000009B70000}"/>
    <cellStyle name="SAPBEXheaderItem 3 3 3" xfId="46694" xr:uid="{00000000-0005-0000-0000-00000AB70000}"/>
    <cellStyle name="SAPBEXheaderItem 3 4" xfId="46695" xr:uid="{00000000-0005-0000-0000-00000BB70000}"/>
    <cellStyle name="SAPBEXheaderItem 3 4 2" xfId="46696" xr:uid="{00000000-0005-0000-0000-00000CB70000}"/>
    <cellStyle name="SAPBEXheaderItem 3 4 2 2" xfId="46697" xr:uid="{00000000-0005-0000-0000-00000DB70000}"/>
    <cellStyle name="SAPBEXheaderItem 3 4 3" xfId="46698" xr:uid="{00000000-0005-0000-0000-00000EB70000}"/>
    <cellStyle name="SAPBEXheaderItem 3 5" xfId="46699" xr:uid="{00000000-0005-0000-0000-00000FB70000}"/>
    <cellStyle name="SAPBEXheaderItem 4" xfId="46700" xr:uid="{00000000-0005-0000-0000-000010B70000}"/>
    <cellStyle name="SAPBEXheaderItem 4 2" xfId="46701" xr:uid="{00000000-0005-0000-0000-000011B70000}"/>
    <cellStyle name="SAPBEXheaderItem 4 2 2" xfId="46702" xr:uid="{00000000-0005-0000-0000-000012B70000}"/>
    <cellStyle name="SAPBEXheaderItem 4 3" xfId="46703" xr:uid="{00000000-0005-0000-0000-000013B70000}"/>
    <cellStyle name="SAPBEXheaderItem 4 3 2" xfId="46704" xr:uid="{00000000-0005-0000-0000-000014B70000}"/>
    <cellStyle name="SAPBEXheaderItem 4 3 2 2" xfId="46705" xr:uid="{00000000-0005-0000-0000-000015B70000}"/>
    <cellStyle name="SAPBEXheaderItem 4 3 3" xfId="46706" xr:uid="{00000000-0005-0000-0000-000016B70000}"/>
    <cellStyle name="SAPBEXheaderItem 4 4" xfId="46707" xr:uid="{00000000-0005-0000-0000-000017B70000}"/>
    <cellStyle name="SAPBEXheaderItem 4 4 2" xfId="46708" xr:uid="{00000000-0005-0000-0000-000018B70000}"/>
    <cellStyle name="SAPBEXheaderItem 4 4 2 2" xfId="46709" xr:uid="{00000000-0005-0000-0000-000019B70000}"/>
    <cellStyle name="SAPBEXheaderItem 4 4 3" xfId="46710" xr:uid="{00000000-0005-0000-0000-00001AB70000}"/>
    <cellStyle name="SAPBEXheaderItem 4 5" xfId="46711" xr:uid="{00000000-0005-0000-0000-00001BB70000}"/>
    <cellStyle name="SAPBEXheaderItem 5" xfId="46712" xr:uid="{00000000-0005-0000-0000-00001CB70000}"/>
    <cellStyle name="SAPBEXheaderItem 5 2" xfId="46713" xr:uid="{00000000-0005-0000-0000-00001DB70000}"/>
    <cellStyle name="SAPBEXheaderItem 5 2 2" xfId="46714" xr:uid="{00000000-0005-0000-0000-00001EB70000}"/>
    <cellStyle name="SAPBEXheaderItem 5 2 2 2" xfId="46715" xr:uid="{00000000-0005-0000-0000-00001FB70000}"/>
    <cellStyle name="SAPBEXheaderItem 5 2 3" xfId="46716" xr:uid="{00000000-0005-0000-0000-000020B70000}"/>
    <cellStyle name="SAPBEXheaderItem 5 2 3 2" xfId="46717" xr:uid="{00000000-0005-0000-0000-000021B70000}"/>
    <cellStyle name="SAPBEXheaderItem 5 2 3 2 2" xfId="46718" xr:uid="{00000000-0005-0000-0000-000022B70000}"/>
    <cellStyle name="SAPBEXheaderItem 5 2 3 3" xfId="46719" xr:uid="{00000000-0005-0000-0000-000023B70000}"/>
    <cellStyle name="SAPBEXheaderItem 5 2 4" xfId="46720" xr:uid="{00000000-0005-0000-0000-000024B70000}"/>
    <cellStyle name="SAPBEXheaderItem 5 3" xfId="46721" xr:uid="{00000000-0005-0000-0000-000025B70000}"/>
    <cellStyle name="SAPBEXheaderItem 5 3 2" xfId="46722" xr:uid="{00000000-0005-0000-0000-000026B70000}"/>
    <cellStyle name="SAPBEXheaderItem 5 3 2 2" xfId="46723" xr:uid="{00000000-0005-0000-0000-000027B70000}"/>
    <cellStyle name="SAPBEXheaderItem 5 3 3" xfId="46724" xr:uid="{00000000-0005-0000-0000-000028B70000}"/>
    <cellStyle name="SAPBEXheaderItem 5 4" xfId="46725" xr:uid="{00000000-0005-0000-0000-000029B70000}"/>
    <cellStyle name="SAPBEXheaderItem 5 4 2" xfId="46726" xr:uid="{00000000-0005-0000-0000-00002AB70000}"/>
    <cellStyle name="SAPBEXheaderItem 5 4 2 2" xfId="46727" xr:uid="{00000000-0005-0000-0000-00002BB70000}"/>
    <cellStyle name="SAPBEXheaderItem 5 4 3" xfId="46728" xr:uid="{00000000-0005-0000-0000-00002CB70000}"/>
    <cellStyle name="SAPBEXheaderItem 5 5" xfId="46729" xr:uid="{00000000-0005-0000-0000-00002DB70000}"/>
    <cellStyle name="SAPBEXheaderItem 5 5 2" xfId="46730" xr:uid="{00000000-0005-0000-0000-00002EB70000}"/>
    <cellStyle name="SAPBEXheaderItem 5 5 2 2" xfId="46731" xr:uid="{00000000-0005-0000-0000-00002FB70000}"/>
    <cellStyle name="SAPBEXheaderItem 5 5 3" xfId="46732" xr:uid="{00000000-0005-0000-0000-000030B70000}"/>
    <cellStyle name="SAPBEXheaderItem 5 6" xfId="46733" xr:uid="{00000000-0005-0000-0000-000031B70000}"/>
    <cellStyle name="SAPBEXheaderItem 6" xfId="46734" xr:uid="{00000000-0005-0000-0000-000032B70000}"/>
    <cellStyle name="SAPBEXheaderItem 6 2" xfId="46735" xr:uid="{00000000-0005-0000-0000-000033B70000}"/>
    <cellStyle name="SAPBEXheaderItem 6 2 2" xfId="46736" xr:uid="{00000000-0005-0000-0000-000034B70000}"/>
    <cellStyle name="SAPBEXheaderItem 6 3" xfId="46737" xr:uid="{00000000-0005-0000-0000-000035B70000}"/>
    <cellStyle name="SAPBEXheaderItem 7" xfId="46738" xr:uid="{00000000-0005-0000-0000-000036B70000}"/>
    <cellStyle name="SAPBEXheaderItem 7 2" xfId="46739" xr:uid="{00000000-0005-0000-0000-000037B70000}"/>
    <cellStyle name="SAPBEXheaderItem 7 2 2" xfId="46740" xr:uid="{00000000-0005-0000-0000-000038B70000}"/>
    <cellStyle name="SAPBEXheaderItem 7 3" xfId="46741" xr:uid="{00000000-0005-0000-0000-000039B70000}"/>
    <cellStyle name="SAPBEXheaderItem 8" xfId="46742" xr:uid="{00000000-0005-0000-0000-00003AB70000}"/>
    <cellStyle name="SAPBEXheaderItem 8 2" xfId="46743" xr:uid="{00000000-0005-0000-0000-00003BB70000}"/>
    <cellStyle name="SAPBEXheaderItem 8 2 2" xfId="46744" xr:uid="{00000000-0005-0000-0000-00003CB70000}"/>
    <cellStyle name="SAPBEXheaderItem 8 3" xfId="46745" xr:uid="{00000000-0005-0000-0000-00003DB70000}"/>
    <cellStyle name="SAPBEXheaderItem 9" xfId="46746" xr:uid="{00000000-0005-0000-0000-00003EB70000}"/>
    <cellStyle name="SAPBEXheaderItem 9 2" xfId="46747" xr:uid="{00000000-0005-0000-0000-00003FB70000}"/>
    <cellStyle name="SAPBEXheaderText" xfId="59" xr:uid="{00000000-0005-0000-0000-000040B70000}"/>
    <cellStyle name="SAPBEXheaderText 10" xfId="46748" xr:uid="{00000000-0005-0000-0000-000041B70000}"/>
    <cellStyle name="SAPBEXheaderText 10 2" xfId="46749" xr:uid="{00000000-0005-0000-0000-000042B70000}"/>
    <cellStyle name="SAPBEXheaderText 11" xfId="46750" xr:uid="{00000000-0005-0000-0000-000043B70000}"/>
    <cellStyle name="SAPBEXheaderText 11 2" xfId="46751" xr:uid="{00000000-0005-0000-0000-000044B70000}"/>
    <cellStyle name="SAPBEXheaderText 12" xfId="46752" xr:uid="{00000000-0005-0000-0000-000045B70000}"/>
    <cellStyle name="SAPBEXheaderText 12 2" xfId="46753" xr:uid="{00000000-0005-0000-0000-000046B70000}"/>
    <cellStyle name="SAPBEXheaderText 13" xfId="46754" xr:uid="{00000000-0005-0000-0000-000047B70000}"/>
    <cellStyle name="SAPBEXheaderText 13 2" xfId="46755" xr:uid="{00000000-0005-0000-0000-000048B70000}"/>
    <cellStyle name="SAPBEXheaderText 14" xfId="46756" xr:uid="{00000000-0005-0000-0000-000049B70000}"/>
    <cellStyle name="SAPBEXheaderText 2" xfId="46757" xr:uid="{00000000-0005-0000-0000-00004AB70000}"/>
    <cellStyle name="SAPBEXheaderText 2 2" xfId="46758" xr:uid="{00000000-0005-0000-0000-00004BB70000}"/>
    <cellStyle name="SAPBEXheaderText 2 2 2" xfId="46759" xr:uid="{00000000-0005-0000-0000-00004CB70000}"/>
    <cellStyle name="SAPBEXheaderText 2 2 2 2" xfId="46760" xr:uid="{00000000-0005-0000-0000-00004DB70000}"/>
    <cellStyle name="SAPBEXheaderText 2 2 2 2 2" xfId="46761" xr:uid="{00000000-0005-0000-0000-00004EB70000}"/>
    <cellStyle name="SAPBEXheaderText 2 2 2 2 2 2" xfId="46762" xr:uid="{00000000-0005-0000-0000-00004FB70000}"/>
    <cellStyle name="SAPBEXheaderText 2 2 2 2 3" xfId="46763" xr:uid="{00000000-0005-0000-0000-000050B70000}"/>
    <cellStyle name="SAPBEXheaderText 2 2 2 3" xfId="46764" xr:uid="{00000000-0005-0000-0000-000051B70000}"/>
    <cellStyle name="SAPBEXheaderText 2 2 2 3 2" xfId="46765" xr:uid="{00000000-0005-0000-0000-000052B70000}"/>
    <cellStyle name="SAPBEXheaderText 2 2 2 4" xfId="46766" xr:uid="{00000000-0005-0000-0000-000053B70000}"/>
    <cellStyle name="SAPBEXheaderText 2 2 3" xfId="46767" xr:uid="{00000000-0005-0000-0000-000054B70000}"/>
    <cellStyle name="SAPBEXheaderText 2 2 3 2" xfId="46768" xr:uid="{00000000-0005-0000-0000-000055B70000}"/>
    <cellStyle name="SAPBEXheaderText 2 2 3 2 2" xfId="46769" xr:uid="{00000000-0005-0000-0000-000056B70000}"/>
    <cellStyle name="SAPBEXheaderText 2 2 3 3" xfId="46770" xr:uid="{00000000-0005-0000-0000-000057B70000}"/>
    <cellStyle name="SAPBEXheaderText 2 2 4" xfId="46771" xr:uid="{00000000-0005-0000-0000-000058B70000}"/>
    <cellStyle name="SAPBEXheaderText 2 2 4 2" xfId="46772" xr:uid="{00000000-0005-0000-0000-000059B70000}"/>
    <cellStyle name="SAPBEXheaderText 2 2 4 2 2" xfId="46773" xr:uid="{00000000-0005-0000-0000-00005AB70000}"/>
    <cellStyle name="SAPBEXheaderText 2 2 4 3" xfId="46774" xr:uid="{00000000-0005-0000-0000-00005BB70000}"/>
    <cellStyle name="SAPBEXheaderText 2 2 5" xfId="46775" xr:uid="{00000000-0005-0000-0000-00005CB70000}"/>
    <cellStyle name="SAPBEXheaderText 2 2 5 2" xfId="46776" xr:uid="{00000000-0005-0000-0000-00005DB70000}"/>
    <cellStyle name="SAPBEXheaderText 2 2 6" xfId="46777" xr:uid="{00000000-0005-0000-0000-00005EB70000}"/>
    <cellStyle name="SAPBEXheaderText 2 3" xfId="46778" xr:uid="{00000000-0005-0000-0000-00005FB70000}"/>
    <cellStyle name="SAPBEXheaderText 2 3 2" xfId="46779" xr:uid="{00000000-0005-0000-0000-000060B70000}"/>
    <cellStyle name="SAPBEXheaderText 2 4" xfId="46780" xr:uid="{00000000-0005-0000-0000-000061B70000}"/>
    <cellStyle name="SAPBEXheaderText 2 4 2" xfId="46781" xr:uid="{00000000-0005-0000-0000-000062B70000}"/>
    <cellStyle name="SAPBEXheaderText 2 4 2 2" xfId="46782" xr:uid="{00000000-0005-0000-0000-000063B70000}"/>
    <cellStyle name="SAPBEXheaderText 2 4 3" xfId="46783" xr:uid="{00000000-0005-0000-0000-000064B70000}"/>
    <cellStyle name="SAPBEXheaderText 2 5" xfId="46784" xr:uid="{00000000-0005-0000-0000-000065B70000}"/>
    <cellStyle name="SAPBEXheaderText 2 5 2" xfId="46785" xr:uid="{00000000-0005-0000-0000-000066B70000}"/>
    <cellStyle name="SAPBEXheaderText 2 5 2 2" xfId="46786" xr:uid="{00000000-0005-0000-0000-000067B70000}"/>
    <cellStyle name="SAPBEXheaderText 2 5 3" xfId="46787" xr:uid="{00000000-0005-0000-0000-000068B70000}"/>
    <cellStyle name="SAPBEXheaderText 2 6" xfId="46788" xr:uid="{00000000-0005-0000-0000-000069B70000}"/>
    <cellStyle name="SAPBEXheaderText 3" xfId="46789" xr:uid="{00000000-0005-0000-0000-00006AB70000}"/>
    <cellStyle name="SAPBEXheaderText 3 2" xfId="46790" xr:uid="{00000000-0005-0000-0000-00006BB70000}"/>
    <cellStyle name="SAPBEXheaderText 3 2 2" xfId="46791" xr:uid="{00000000-0005-0000-0000-00006CB70000}"/>
    <cellStyle name="SAPBEXheaderText 3 3" xfId="46792" xr:uid="{00000000-0005-0000-0000-00006DB70000}"/>
    <cellStyle name="SAPBEXheaderText 3 3 2" xfId="46793" xr:uid="{00000000-0005-0000-0000-00006EB70000}"/>
    <cellStyle name="SAPBEXheaderText 3 3 2 2" xfId="46794" xr:uid="{00000000-0005-0000-0000-00006FB70000}"/>
    <cellStyle name="SAPBEXheaderText 3 3 3" xfId="46795" xr:uid="{00000000-0005-0000-0000-000070B70000}"/>
    <cellStyle name="SAPBEXheaderText 3 4" xfId="46796" xr:uid="{00000000-0005-0000-0000-000071B70000}"/>
    <cellStyle name="SAPBEXheaderText 3 4 2" xfId="46797" xr:uid="{00000000-0005-0000-0000-000072B70000}"/>
    <cellStyle name="SAPBEXheaderText 3 4 2 2" xfId="46798" xr:uid="{00000000-0005-0000-0000-000073B70000}"/>
    <cellStyle name="SAPBEXheaderText 3 4 3" xfId="46799" xr:uid="{00000000-0005-0000-0000-000074B70000}"/>
    <cellStyle name="SAPBEXheaderText 3 5" xfId="46800" xr:uid="{00000000-0005-0000-0000-000075B70000}"/>
    <cellStyle name="SAPBEXheaderText 4" xfId="46801" xr:uid="{00000000-0005-0000-0000-000076B70000}"/>
    <cellStyle name="SAPBEXheaderText 4 2" xfId="46802" xr:uid="{00000000-0005-0000-0000-000077B70000}"/>
    <cellStyle name="SAPBEXheaderText 4 2 2" xfId="46803" xr:uid="{00000000-0005-0000-0000-000078B70000}"/>
    <cellStyle name="SAPBEXheaderText 4 3" xfId="46804" xr:uid="{00000000-0005-0000-0000-000079B70000}"/>
    <cellStyle name="SAPBEXheaderText 4 3 2" xfId="46805" xr:uid="{00000000-0005-0000-0000-00007AB70000}"/>
    <cellStyle name="SAPBEXheaderText 4 3 2 2" xfId="46806" xr:uid="{00000000-0005-0000-0000-00007BB70000}"/>
    <cellStyle name="SAPBEXheaderText 4 3 3" xfId="46807" xr:uid="{00000000-0005-0000-0000-00007CB70000}"/>
    <cellStyle name="SAPBEXheaderText 4 4" xfId="46808" xr:uid="{00000000-0005-0000-0000-00007DB70000}"/>
    <cellStyle name="SAPBEXheaderText 4 4 2" xfId="46809" xr:uid="{00000000-0005-0000-0000-00007EB70000}"/>
    <cellStyle name="SAPBEXheaderText 4 4 2 2" xfId="46810" xr:uid="{00000000-0005-0000-0000-00007FB70000}"/>
    <cellStyle name="SAPBEXheaderText 4 4 3" xfId="46811" xr:uid="{00000000-0005-0000-0000-000080B70000}"/>
    <cellStyle name="SAPBEXheaderText 4 5" xfId="46812" xr:uid="{00000000-0005-0000-0000-000081B70000}"/>
    <cellStyle name="SAPBEXheaderText 5" xfId="46813" xr:uid="{00000000-0005-0000-0000-000082B70000}"/>
    <cellStyle name="SAPBEXheaderText 5 2" xfId="46814" xr:uid="{00000000-0005-0000-0000-000083B70000}"/>
    <cellStyle name="SAPBEXheaderText 5 2 2" xfId="46815" xr:uid="{00000000-0005-0000-0000-000084B70000}"/>
    <cellStyle name="SAPBEXheaderText 5 2 2 2" xfId="46816" xr:uid="{00000000-0005-0000-0000-000085B70000}"/>
    <cellStyle name="SAPBEXheaderText 5 2 3" xfId="46817" xr:uid="{00000000-0005-0000-0000-000086B70000}"/>
    <cellStyle name="SAPBEXheaderText 5 2 3 2" xfId="46818" xr:uid="{00000000-0005-0000-0000-000087B70000}"/>
    <cellStyle name="SAPBEXheaderText 5 2 3 2 2" xfId="46819" xr:uid="{00000000-0005-0000-0000-000088B70000}"/>
    <cellStyle name="SAPBEXheaderText 5 2 3 3" xfId="46820" xr:uid="{00000000-0005-0000-0000-000089B70000}"/>
    <cellStyle name="SAPBEXheaderText 5 2 4" xfId="46821" xr:uid="{00000000-0005-0000-0000-00008AB70000}"/>
    <cellStyle name="SAPBEXheaderText 5 3" xfId="46822" xr:uid="{00000000-0005-0000-0000-00008BB70000}"/>
    <cellStyle name="SAPBEXheaderText 5 3 2" xfId="46823" xr:uid="{00000000-0005-0000-0000-00008CB70000}"/>
    <cellStyle name="SAPBEXheaderText 5 3 2 2" xfId="46824" xr:uid="{00000000-0005-0000-0000-00008DB70000}"/>
    <cellStyle name="SAPBEXheaderText 5 3 3" xfId="46825" xr:uid="{00000000-0005-0000-0000-00008EB70000}"/>
    <cellStyle name="SAPBEXheaderText 5 4" xfId="46826" xr:uid="{00000000-0005-0000-0000-00008FB70000}"/>
    <cellStyle name="SAPBEXheaderText 5 4 2" xfId="46827" xr:uid="{00000000-0005-0000-0000-000090B70000}"/>
    <cellStyle name="SAPBEXheaderText 5 4 2 2" xfId="46828" xr:uid="{00000000-0005-0000-0000-000091B70000}"/>
    <cellStyle name="SAPBEXheaderText 5 4 3" xfId="46829" xr:uid="{00000000-0005-0000-0000-000092B70000}"/>
    <cellStyle name="SAPBEXheaderText 5 5" xfId="46830" xr:uid="{00000000-0005-0000-0000-000093B70000}"/>
    <cellStyle name="SAPBEXheaderText 5 5 2" xfId="46831" xr:uid="{00000000-0005-0000-0000-000094B70000}"/>
    <cellStyle name="SAPBEXheaderText 5 5 2 2" xfId="46832" xr:uid="{00000000-0005-0000-0000-000095B70000}"/>
    <cellStyle name="SAPBEXheaderText 5 5 3" xfId="46833" xr:uid="{00000000-0005-0000-0000-000096B70000}"/>
    <cellStyle name="SAPBEXheaderText 5 6" xfId="46834" xr:uid="{00000000-0005-0000-0000-000097B70000}"/>
    <cellStyle name="SAPBEXheaderText 6" xfId="46835" xr:uid="{00000000-0005-0000-0000-000098B70000}"/>
    <cellStyle name="SAPBEXheaderText 6 2" xfId="46836" xr:uid="{00000000-0005-0000-0000-000099B70000}"/>
    <cellStyle name="SAPBEXheaderText 6 2 2" xfId="46837" xr:uid="{00000000-0005-0000-0000-00009AB70000}"/>
    <cellStyle name="SAPBEXheaderText 6 3" xfId="46838" xr:uid="{00000000-0005-0000-0000-00009BB70000}"/>
    <cellStyle name="SAPBEXheaderText 7" xfId="46839" xr:uid="{00000000-0005-0000-0000-00009CB70000}"/>
    <cellStyle name="SAPBEXheaderText 7 2" xfId="46840" xr:uid="{00000000-0005-0000-0000-00009DB70000}"/>
    <cellStyle name="SAPBEXheaderText 7 2 2" xfId="46841" xr:uid="{00000000-0005-0000-0000-00009EB70000}"/>
    <cellStyle name="SAPBEXheaderText 7 3" xfId="46842" xr:uid="{00000000-0005-0000-0000-00009FB70000}"/>
    <cellStyle name="SAPBEXheaderText 8" xfId="46843" xr:uid="{00000000-0005-0000-0000-0000A0B70000}"/>
    <cellStyle name="SAPBEXheaderText 8 2" xfId="46844" xr:uid="{00000000-0005-0000-0000-0000A1B70000}"/>
    <cellStyle name="SAPBEXheaderText 8 2 2" xfId="46845" xr:uid="{00000000-0005-0000-0000-0000A2B70000}"/>
    <cellStyle name="SAPBEXheaderText 8 3" xfId="46846" xr:uid="{00000000-0005-0000-0000-0000A3B70000}"/>
    <cellStyle name="SAPBEXheaderText 9" xfId="46847" xr:uid="{00000000-0005-0000-0000-0000A4B70000}"/>
    <cellStyle name="SAPBEXheaderText 9 2" xfId="46848" xr:uid="{00000000-0005-0000-0000-0000A5B70000}"/>
    <cellStyle name="SAPBEXHLevel0" xfId="60" xr:uid="{00000000-0005-0000-0000-0000A6B70000}"/>
    <cellStyle name="SAPBEXHLevel0 10" xfId="46849" xr:uid="{00000000-0005-0000-0000-0000A7B70000}"/>
    <cellStyle name="SAPBEXHLevel0 10 2" xfId="46850" xr:uid="{00000000-0005-0000-0000-0000A8B70000}"/>
    <cellStyle name="SAPBEXHLevel0 10 2 2" xfId="46851" xr:uid="{00000000-0005-0000-0000-0000A9B70000}"/>
    <cellStyle name="SAPBEXHLevel0 10 3" xfId="46852" xr:uid="{00000000-0005-0000-0000-0000AAB70000}"/>
    <cellStyle name="SAPBEXHLevel0 11" xfId="46853" xr:uid="{00000000-0005-0000-0000-0000ABB70000}"/>
    <cellStyle name="SAPBEXHLevel0 11 2" xfId="46854" xr:uid="{00000000-0005-0000-0000-0000ACB70000}"/>
    <cellStyle name="SAPBEXHLevel0 12" xfId="46855" xr:uid="{00000000-0005-0000-0000-0000ADB70000}"/>
    <cellStyle name="SAPBEXHLevel0 12 2" xfId="46856" xr:uid="{00000000-0005-0000-0000-0000AEB70000}"/>
    <cellStyle name="SAPBEXHLevel0 12 2 2" xfId="46857" xr:uid="{00000000-0005-0000-0000-0000AFB70000}"/>
    <cellStyle name="SAPBEXHLevel0 12 3" xfId="46858" xr:uid="{00000000-0005-0000-0000-0000B0B70000}"/>
    <cellStyle name="SAPBEXHLevel0 12 3 2" xfId="46859" xr:uid="{00000000-0005-0000-0000-0000B1B70000}"/>
    <cellStyle name="SAPBEXHLevel0 12 4" xfId="46860" xr:uid="{00000000-0005-0000-0000-0000B2B70000}"/>
    <cellStyle name="SAPBEXHLevel0 13" xfId="46861" xr:uid="{00000000-0005-0000-0000-0000B3B70000}"/>
    <cellStyle name="SAPBEXHLevel0 13 2" xfId="46862" xr:uid="{00000000-0005-0000-0000-0000B4B70000}"/>
    <cellStyle name="SAPBEXHLevel0 14" xfId="46863" xr:uid="{00000000-0005-0000-0000-0000B5B70000}"/>
    <cellStyle name="SAPBEXHLevel0 14 2" xfId="46864" xr:uid="{00000000-0005-0000-0000-0000B6B70000}"/>
    <cellStyle name="SAPBEXHLevel0 14 3" xfId="46865" xr:uid="{00000000-0005-0000-0000-0000B7B70000}"/>
    <cellStyle name="SAPBEXHLevel0 15" xfId="46866" xr:uid="{00000000-0005-0000-0000-0000B8B70000}"/>
    <cellStyle name="SAPBEXHLevel0 15 2" xfId="46867" xr:uid="{00000000-0005-0000-0000-0000B9B70000}"/>
    <cellStyle name="SAPBEXHLevel0 16" xfId="46868" xr:uid="{00000000-0005-0000-0000-0000BAB70000}"/>
    <cellStyle name="SAPBEXHLevel0 16 2" xfId="46869" xr:uid="{00000000-0005-0000-0000-0000BBB70000}"/>
    <cellStyle name="SAPBEXHLevel0 17" xfId="46870" xr:uid="{00000000-0005-0000-0000-0000BCB70000}"/>
    <cellStyle name="SAPBEXHLevel0 18" xfId="46871" xr:uid="{00000000-0005-0000-0000-0000BDB70000}"/>
    <cellStyle name="SAPBEXHLevel0 2" xfId="84" xr:uid="{00000000-0005-0000-0000-0000BEB70000}"/>
    <cellStyle name="SAPBEXHLevel0 2 10" xfId="46872" xr:uid="{00000000-0005-0000-0000-0000BFB70000}"/>
    <cellStyle name="SAPBEXHLevel0 2 2" xfId="46873" xr:uid="{00000000-0005-0000-0000-0000C0B70000}"/>
    <cellStyle name="SAPBEXHLevel0 2 2 2" xfId="46874" xr:uid="{00000000-0005-0000-0000-0000C1B70000}"/>
    <cellStyle name="SAPBEXHLevel0 2 2 2 2" xfId="46875" xr:uid="{00000000-0005-0000-0000-0000C2B70000}"/>
    <cellStyle name="SAPBEXHLevel0 2 2 2 2 2" xfId="46876" xr:uid="{00000000-0005-0000-0000-0000C3B70000}"/>
    <cellStyle name="SAPBEXHLevel0 2 2 2 3" xfId="46877" xr:uid="{00000000-0005-0000-0000-0000C4B70000}"/>
    <cellStyle name="SAPBEXHLevel0 2 2 3" xfId="46878" xr:uid="{00000000-0005-0000-0000-0000C5B70000}"/>
    <cellStyle name="SAPBEXHLevel0 2 2 3 2" xfId="46879" xr:uid="{00000000-0005-0000-0000-0000C6B70000}"/>
    <cellStyle name="SAPBEXHLevel0 2 2 3 2 2" xfId="46880" xr:uid="{00000000-0005-0000-0000-0000C7B70000}"/>
    <cellStyle name="SAPBEXHLevel0 2 2 3 3" xfId="46881" xr:uid="{00000000-0005-0000-0000-0000C8B70000}"/>
    <cellStyle name="SAPBEXHLevel0 2 2 4" xfId="46882" xr:uid="{00000000-0005-0000-0000-0000C9B70000}"/>
    <cellStyle name="SAPBEXHLevel0 2 2 4 2" xfId="46883" xr:uid="{00000000-0005-0000-0000-0000CAB70000}"/>
    <cellStyle name="SAPBEXHLevel0 2 2 4 2 2" xfId="46884" xr:uid="{00000000-0005-0000-0000-0000CBB70000}"/>
    <cellStyle name="SAPBEXHLevel0 2 2 4 3" xfId="46885" xr:uid="{00000000-0005-0000-0000-0000CCB70000}"/>
    <cellStyle name="SAPBEXHLevel0 2 2 5" xfId="46886" xr:uid="{00000000-0005-0000-0000-0000CDB70000}"/>
    <cellStyle name="SAPBEXHLevel0 2 2 5 2" xfId="46887" xr:uid="{00000000-0005-0000-0000-0000CEB70000}"/>
    <cellStyle name="SAPBEXHLevel0 2 2 6" xfId="46888" xr:uid="{00000000-0005-0000-0000-0000CFB70000}"/>
    <cellStyle name="SAPBEXHLevel0 2 3" xfId="46889" xr:uid="{00000000-0005-0000-0000-0000D0B70000}"/>
    <cellStyle name="SAPBEXHLevel0 2 3 2" xfId="46890" xr:uid="{00000000-0005-0000-0000-0000D1B70000}"/>
    <cellStyle name="SAPBEXHLevel0 2 3 2 2" xfId="46891" xr:uid="{00000000-0005-0000-0000-0000D2B70000}"/>
    <cellStyle name="SAPBEXHLevel0 2 3 2 2 2" xfId="46892" xr:uid="{00000000-0005-0000-0000-0000D3B70000}"/>
    <cellStyle name="SAPBEXHLevel0 2 3 2 2 2 2" xfId="46893" xr:uid="{00000000-0005-0000-0000-0000D4B70000}"/>
    <cellStyle name="SAPBEXHLevel0 2 3 2 2 3" xfId="46894" xr:uid="{00000000-0005-0000-0000-0000D5B70000}"/>
    <cellStyle name="SAPBEXHLevel0 2 3 2 3" xfId="46895" xr:uid="{00000000-0005-0000-0000-0000D6B70000}"/>
    <cellStyle name="SAPBEXHLevel0 2 3 2 3 2" xfId="46896" xr:uid="{00000000-0005-0000-0000-0000D7B70000}"/>
    <cellStyle name="SAPBEXHLevel0 2 3 2 3 2 2" xfId="46897" xr:uid="{00000000-0005-0000-0000-0000D8B70000}"/>
    <cellStyle name="SAPBEXHLevel0 2 3 2 3 3" xfId="46898" xr:uid="{00000000-0005-0000-0000-0000D9B70000}"/>
    <cellStyle name="SAPBEXHLevel0 2 3 2 4" xfId="46899" xr:uid="{00000000-0005-0000-0000-0000DAB70000}"/>
    <cellStyle name="SAPBEXHLevel0 2 3 2 4 2" xfId="46900" xr:uid="{00000000-0005-0000-0000-0000DBB70000}"/>
    <cellStyle name="SAPBEXHLevel0 2 3 2 5" xfId="46901" xr:uid="{00000000-0005-0000-0000-0000DCB70000}"/>
    <cellStyle name="SAPBEXHLevel0 2 3 3" xfId="46902" xr:uid="{00000000-0005-0000-0000-0000DDB70000}"/>
    <cellStyle name="SAPBEXHLevel0 2 3 3 2" xfId="46903" xr:uid="{00000000-0005-0000-0000-0000DEB70000}"/>
    <cellStyle name="SAPBEXHLevel0 2 3 3 2 2" xfId="46904" xr:uid="{00000000-0005-0000-0000-0000DFB70000}"/>
    <cellStyle name="SAPBEXHLevel0 2 3 3 2 2 2" xfId="46905" xr:uid="{00000000-0005-0000-0000-0000E0B70000}"/>
    <cellStyle name="SAPBEXHLevel0 2 3 3 2 3" xfId="46906" xr:uid="{00000000-0005-0000-0000-0000E1B70000}"/>
    <cellStyle name="SAPBEXHLevel0 2 3 3 3" xfId="46907" xr:uid="{00000000-0005-0000-0000-0000E2B70000}"/>
    <cellStyle name="SAPBEXHLevel0 2 3 3 3 2" xfId="46908" xr:uid="{00000000-0005-0000-0000-0000E3B70000}"/>
    <cellStyle name="SAPBEXHLevel0 2 3 3 4" xfId="46909" xr:uid="{00000000-0005-0000-0000-0000E4B70000}"/>
    <cellStyle name="SAPBEXHLevel0 2 3 4" xfId="46910" xr:uid="{00000000-0005-0000-0000-0000E5B70000}"/>
    <cellStyle name="SAPBEXHLevel0 2 3 4 2" xfId="46911" xr:uid="{00000000-0005-0000-0000-0000E6B70000}"/>
    <cellStyle name="SAPBEXHLevel0 2 3 4 2 2" xfId="46912" xr:uid="{00000000-0005-0000-0000-0000E7B70000}"/>
    <cellStyle name="SAPBEXHLevel0 2 3 4 3" xfId="46913" xr:uid="{00000000-0005-0000-0000-0000E8B70000}"/>
    <cellStyle name="SAPBEXHLevel0 2 3 5" xfId="46914" xr:uid="{00000000-0005-0000-0000-0000E9B70000}"/>
    <cellStyle name="SAPBEXHLevel0 2 3 5 2" xfId="46915" xr:uid="{00000000-0005-0000-0000-0000EAB70000}"/>
    <cellStyle name="SAPBEXHLevel0 2 3 5 2 2" xfId="46916" xr:uid="{00000000-0005-0000-0000-0000EBB70000}"/>
    <cellStyle name="SAPBEXHLevel0 2 3 5 3" xfId="46917" xr:uid="{00000000-0005-0000-0000-0000ECB70000}"/>
    <cellStyle name="SAPBEXHLevel0 2 3 6" xfId="46918" xr:uid="{00000000-0005-0000-0000-0000EDB70000}"/>
    <cellStyle name="SAPBEXHLevel0 2 3 6 2" xfId="46919" xr:uid="{00000000-0005-0000-0000-0000EEB70000}"/>
    <cellStyle name="SAPBEXHLevel0 2 3 7" xfId="46920" xr:uid="{00000000-0005-0000-0000-0000EFB70000}"/>
    <cellStyle name="SAPBEXHLevel0 2 4" xfId="46921" xr:uid="{00000000-0005-0000-0000-0000F0B70000}"/>
    <cellStyle name="SAPBEXHLevel0 2 4 2" xfId="46922" xr:uid="{00000000-0005-0000-0000-0000F1B70000}"/>
    <cellStyle name="SAPBEXHLevel0 2 4 2 2" xfId="46923" xr:uid="{00000000-0005-0000-0000-0000F2B70000}"/>
    <cellStyle name="SAPBEXHLevel0 2 4 2 2 2" xfId="46924" xr:uid="{00000000-0005-0000-0000-0000F3B70000}"/>
    <cellStyle name="SAPBEXHLevel0 2 4 2 2 2 2" xfId="46925" xr:uid="{00000000-0005-0000-0000-0000F4B70000}"/>
    <cellStyle name="SAPBEXHLevel0 2 4 2 2 2 2 2" xfId="46926" xr:uid="{00000000-0005-0000-0000-0000F5B70000}"/>
    <cellStyle name="SAPBEXHLevel0 2 4 2 2 2 2 2 2" xfId="46927" xr:uid="{00000000-0005-0000-0000-0000F6B70000}"/>
    <cellStyle name="SAPBEXHLevel0 2 4 2 2 2 2 3" xfId="46928" xr:uid="{00000000-0005-0000-0000-0000F7B70000}"/>
    <cellStyle name="SAPBEXHLevel0 2 4 2 2 2 3" xfId="46929" xr:uid="{00000000-0005-0000-0000-0000F8B70000}"/>
    <cellStyle name="SAPBEXHLevel0 2 4 2 2 2 3 2" xfId="46930" xr:uid="{00000000-0005-0000-0000-0000F9B70000}"/>
    <cellStyle name="SAPBEXHLevel0 2 4 2 2 2 4" xfId="46931" xr:uid="{00000000-0005-0000-0000-0000FAB70000}"/>
    <cellStyle name="SAPBEXHLevel0 2 4 2 2 3" xfId="46932" xr:uid="{00000000-0005-0000-0000-0000FBB70000}"/>
    <cellStyle name="SAPBEXHLevel0 2 4 2 2 3 2" xfId="46933" xr:uid="{00000000-0005-0000-0000-0000FCB70000}"/>
    <cellStyle name="SAPBEXHLevel0 2 4 2 2 3 2 2" xfId="46934" xr:uid="{00000000-0005-0000-0000-0000FDB70000}"/>
    <cellStyle name="SAPBEXHLevel0 2 4 2 2 3 3" xfId="46935" xr:uid="{00000000-0005-0000-0000-0000FEB70000}"/>
    <cellStyle name="SAPBEXHLevel0 2 4 2 2 4" xfId="46936" xr:uid="{00000000-0005-0000-0000-0000FFB70000}"/>
    <cellStyle name="SAPBEXHLevel0 2 4 2 2 4 2" xfId="46937" xr:uid="{00000000-0005-0000-0000-000000B80000}"/>
    <cellStyle name="SAPBEXHLevel0 2 4 2 2 5" xfId="46938" xr:uid="{00000000-0005-0000-0000-000001B80000}"/>
    <cellStyle name="SAPBEXHLevel0 2 4 2 3" xfId="46939" xr:uid="{00000000-0005-0000-0000-000002B80000}"/>
    <cellStyle name="SAPBEXHLevel0 2 4 2 3 2" xfId="46940" xr:uid="{00000000-0005-0000-0000-000003B80000}"/>
    <cellStyle name="SAPBEXHLevel0 2 4 2 3 2 2" xfId="46941" xr:uid="{00000000-0005-0000-0000-000004B80000}"/>
    <cellStyle name="SAPBEXHLevel0 2 4 2 3 3" xfId="46942" xr:uid="{00000000-0005-0000-0000-000005B80000}"/>
    <cellStyle name="SAPBEXHLevel0 2 4 2 4" xfId="46943" xr:uid="{00000000-0005-0000-0000-000006B80000}"/>
    <cellStyle name="SAPBEXHLevel0 2 4 2 4 2" xfId="46944" xr:uid="{00000000-0005-0000-0000-000007B80000}"/>
    <cellStyle name="SAPBEXHLevel0 2 4 2 4 2 2" xfId="46945" xr:uid="{00000000-0005-0000-0000-000008B80000}"/>
    <cellStyle name="SAPBEXHLevel0 2 4 2 4 2 2 2" xfId="46946" xr:uid="{00000000-0005-0000-0000-000009B80000}"/>
    <cellStyle name="SAPBEXHLevel0 2 4 2 4 2 3" xfId="46947" xr:uid="{00000000-0005-0000-0000-00000AB80000}"/>
    <cellStyle name="SAPBEXHLevel0 2 4 2 4 3" xfId="46948" xr:uid="{00000000-0005-0000-0000-00000BB80000}"/>
    <cellStyle name="SAPBEXHLevel0 2 4 2 4 3 2" xfId="46949" xr:uid="{00000000-0005-0000-0000-00000CB80000}"/>
    <cellStyle name="SAPBEXHLevel0 2 4 2 4 4" xfId="46950" xr:uid="{00000000-0005-0000-0000-00000DB80000}"/>
    <cellStyle name="SAPBEXHLevel0 2 4 2 5" xfId="46951" xr:uid="{00000000-0005-0000-0000-00000EB80000}"/>
    <cellStyle name="SAPBEXHLevel0 2 4 2 5 2" xfId="46952" xr:uid="{00000000-0005-0000-0000-00000FB80000}"/>
    <cellStyle name="SAPBEXHLevel0 2 4 2 5 2 2" xfId="46953" xr:uid="{00000000-0005-0000-0000-000010B80000}"/>
    <cellStyle name="SAPBEXHLevel0 2 4 2 5 3" xfId="46954" xr:uid="{00000000-0005-0000-0000-000011B80000}"/>
    <cellStyle name="SAPBEXHLevel0 2 4 2 6" xfId="46955" xr:uid="{00000000-0005-0000-0000-000012B80000}"/>
    <cellStyle name="SAPBEXHLevel0 2 4 2 6 2" xfId="46956" xr:uid="{00000000-0005-0000-0000-000013B80000}"/>
    <cellStyle name="SAPBEXHLevel0 2 4 2 7" xfId="46957" xr:uid="{00000000-0005-0000-0000-000014B80000}"/>
    <cellStyle name="SAPBEXHLevel0 2 4 3" xfId="46958" xr:uid="{00000000-0005-0000-0000-000015B80000}"/>
    <cellStyle name="SAPBEXHLevel0 2 4 3 2" xfId="46959" xr:uid="{00000000-0005-0000-0000-000016B80000}"/>
    <cellStyle name="SAPBEXHLevel0 2 4 3 2 2" xfId="46960" xr:uid="{00000000-0005-0000-0000-000017B80000}"/>
    <cellStyle name="SAPBEXHLevel0 2 4 3 2 2 2" xfId="46961" xr:uid="{00000000-0005-0000-0000-000018B80000}"/>
    <cellStyle name="SAPBEXHLevel0 2 4 3 2 2 2 2" xfId="46962" xr:uid="{00000000-0005-0000-0000-000019B80000}"/>
    <cellStyle name="SAPBEXHLevel0 2 4 3 2 2 2 2 2" xfId="46963" xr:uid="{00000000-0005-0000-0000-00001AB80000}"/>
    <cellStyle name="SAPBEXHLevel0 2 4 3 2 2 2 3" xfId="46964" xr:uid="{00000000-0005-0000-0000-00001BB80000}"/>
    <cellStyle name="SAPBEXHLevel0 2 4 3 2 2 3" xfId="46965" xr:uid="{00000000-0005-0000-0000-00001CB80000}"/>
    <cellStyle name="SAPBEXHLevel0 2 4 3 2 2 3 2" xfId="46966" xr:uid="{00000000-0005-0000-0000-00001DB80000}"/>
    <cellStyle name="SAPBEXHLevel0 2 4 3 2 2 4" xfId="46967" xr:uid="{00000000-0005-0000-0000-00001EB80000}"/>
    <cellStyle name="SAPBEXHLevel0 2 4 3 2 3" xfId="46968" xr:uid="{00000000-0005-0000-0000-00001FB80000}"/>
    <cellStyle name="SAPBEXHLevel0 2 4 3 2 3 2" xfId="46969" xr:uid="{00000000-0005-0000-0000-000020B80000}"/>
    <cellStyle name="SAPBEXHLevel0 2 4 3 2 3 2 2" xfId="46970" xr:uid="{00000000-0005-0000-0000-000021B80000}"/>
    <cellStyle name="SAPBEXHLevel0 2 4 3 2 3 3" xfId="46971" xr:uid="{00000000-0005-0000-0000-000022B80000}"/>
    <cellStyle name="SAPBEXHLevel0 2 4 3 2 4" xfId="46972" xr:uid="{00000000-0005-0000-0000-000023B80000}"/>
    <cellStyle name="SAPBEXHLevel0 2 4 3 2 4 2" xfId="46973" xr:uid="{00000000-0005-0000-0000-000024B80000}"/>
    <cellStyle name="SAPBEXHLevel0 2 4 3 2 5" xfId="46974" xr:uid="{00000000-0005-0000-0000-000025B80000}"/>
    <cellStyle name="SAPBEXHLevel0 2 4 3 3" xfId="46975" xr:uid="{00000000-0005-0000-0000-000026B80000}"/>
    <cellStyle name="SAPBEXHLevel0 2 4 3 3 2" xfId="46976" xr:uid="{00000000-0005-0000-0000-000027B80000}"/>
    <cellStyle name="SAPBEXHLevel0 2 4 3 3 2 2" xfId="46977" xr:uid="{00000000-0005-0000-0000-000028B80000}"/>
    <cellStyle name="SAPBEXHLevel0 2 4 3 3 2 2 2" xfId="46978" xr:uid="{00000000-0005-0000-0000-000029B80000}"/>
    <cellStyle name="SAPBEXHLevel0 2 4 3 3 2 3" xfId="46979" xr:uid="{00000000-0005-0000-0000-00002AB80000}"/>
    <cellStyle name="SAPBEXHLevel0 2 4 3 3 3" xfId="46980" xr:uid="{00000000-0005-0000-0000-00002BB80000}"/>
    <cellStyle name="SAPBEXHLevel0 2 4 3 3 3 2" xfId="46981" xr:uid="{00000000-0005-0000-0000-00002CB80000}"/>
    <cellStyle name="SAPBEXHLevel0 2 4 3 3 4" xfId="46982" xr:uid="{00000000-0005-0000-0000-00002DB80000}"/>
    <cellStyle name="SAPBEXHLevel0 2 4 3 4" xfId="46983" xr:uid="{00000000-0005-0000-0000-00002EB80000}"/>
    <cellStyle name="SAPBEXHLevel0 2 4 3 4 2" xfId="46984" xr:uid="{00000000-0005-0000-0000-00002FB80000}"/>
    <cellStyle name="SAPBEXHLevel0 2 4 3 4 2 2" xfId="46985" xr:uid="{00000000-0005-0000-0000-000030B80000}"/>
    <cellStyle name="SAPBEXHLevel0 2 4 3 4 3" xfId="46986" xr:uid="{00000000-0005-0000-0000-000031B80000}"/>
    <cellStyle name="SAPBEXHLevel0 2 4 3 5" xfId="46987" xr:uid="{00000000-0005-0000-0000-000032B80000}"/>
    <cellStyle name="SAPBEXHLevel0 2 4 3 5 2" xfId="46988" xr:uid="{00000000-0005-0000-0000-000033B80000}"/>
    <cellStyle name="SAPBEXHLevel0 2 4 3 6" xfId="46989" xr:uid="{00000000-0005-0000-0000-000034B80000}"/>
    <cellStyle name="SAPBEXHLevel0 2 4 4" xfId="46990" xr:uid="{00000000-0005-0000-0000-000035B80000}"/>
    <cellStyle name="SAPBEXHLevel0 2 4 4 2" xfId="46991" xr:uid="{00000000-0005-0000-0000-000036B80000}"/>
    <cellStyle name="SAPBEXHLevel0 2 4 4 2 2" xfId="46992" xr:uid="{00000000-0005-0000-0000-000037B80000}"/>
    <cellStyle name="SAPBEXHLevel0 2 4 4 3" xfId="46993" xr:uid="{00000000-0005-0000-0000-000038B80000}"/>
    <cellStyle name="SAPBEXHLevel0 2 4 5" xfId="46994" xr:uid="{00000000-0005-0000-0000-000039B80000}"/>
    <cellStyle name="SAPBEXHLevel0 2 4 5 2" xfId="46995" xr:uid="{00000000-0005-0000-0000-00003AB80000}"/>
    <cellStyle name="SAPBEXHLevel0 2 4 5 2 2" xfId="46996" xr:uid="{00000000-0005-0000-0000-00003BB80000}"/>
    <cellStyle name="SAPBEXHLevel0 2 4 5 2 2 2" xfId="46997" xr:uid="{00000000-0005-0000-0000-00003CB80000}"/>
    <cellStyle name="SAPBEXHLevel0 2 4 5 2 3" xfId="46998" xr:uid="{00000000-0005-0000-0000-00003DB80000}"/>
    <cellStyle name="SAPBEXHLevel0 2 4 5 3" xfId="46999" xr:uid="{00000000-0005-0000-0000-00003EB80000}"/>
    <cellStyle name="SAPBEXHLevel0 2 4 5 3 2" xfId="47000" xr:uid="{00000000-0005-0000-0000-00003FB80000}"/>
    <cellStyle name="SAPBEXHLevel0 2 4 5 4" xfId="47001" xr:uid="{00000000-0005-0000-0000-000040B80000}"/>
    <cellStyle name="SAPBEXHLevel0 2 4 6" xfId="47002" xr:uid="{00000000-0005-0000-0000-000041B80000}"/>
    <cellStyle name="SAPBEXHLevel0 2 4 6 2" xfId="47003" xr:uid="{00000000-0005-0000-0000-000042B80000}"/>
    <cellStyle name="SAPBEXHLevel0 2 4 6 2 2" xfId="47004" xr:uid="{00000000-0005-0000-0000-000043B80000}"/>
    <cellStyle name="SAPBEXHLevel0 2 4 6 3" xfId="47005" xr:uid="{00000000-0005-0000-0000-000044B80000}"/>
    <cellStyle name="SAPBEXHLevel0 2 4 7" xfId="47006" xr:uid="{00000000-0005-0000-0000-000045B80000}"/>
    <cellStyle name="SAPBEXHLevel0 2 4 7 2" xfId="47007" xr:uid="{00000000-0005-0000-0000-000046B80000}"/>
    <cellStyle name="SAPBEXHLevel0 2 4 8" xfId="47008" xr:uid="{00000000-0005-0000-0000-000047B80000}"/>
    <cellStyle name="SAPBEXHLevel0 2 5" xfId="47009" xr:uid="{00000000-0005-0000-0000-000048B80000}"/>
    <cellStyle name="SAPBEXHLevel0 2 5 2" xfId="47010" xr:uid="{00000000-0005-0000-0000-000049B80000}"/>
    <cellStyle name="SAPBEXHLevel0 2 5 2 2" xfId="47011" xr:uid="{00000000-0005-0000-0000-00004AB80000}"/>
    <cellStyle name="SAPBEXHLevel0 2 5 2 2 2" xfId="47012" xr:uid="{00000000-0005-0000-0000-00004BB80000}"/>
    <cellStyle name="SAPBEXHLevel0 2 5 2 3" xfId="47013" xr:uid="{00000000-0005-0000-0000-00004CB80000}"/>
    <cellStyle name="SAPBEXHLevel0 2 5 3" xfId="47014" xr:uid="{00000000-0005-0000-0000-00004DB80000}"/>
    <cellStyle name="SAPBEXHLevel0 2 5 3 2" xfId="47015" xr:uid="{00000000-0005-0000-0000-00004EB80000}"/>
    <cellStyle name="SAPBEXHLevel0 2 5 4" xfId="47016" xr:uid="{00000000-0005-0000-0000-00004FB80000}"/>
    <cellStyle name="SAPBEXHLevel0 2 6" xfId="47017" xr:uid="{00000000-0005-0000-0000-000050B80000}"/>
    <cellStyle name="SAPBEXHLevel0 2 6 2" xfId="47018" xr:uid="{00000000-0005-0000-0000-000051B80000}"/>
    <cellStyle name="SAPBEXHLevel0 2 6 2 2" xfId="47019" xr:uid="{00000000-0005-0000-0000-000052B80000}"/>
    <cellStyle name="SAPBEXHLevel0 2 6 3" xfId="47020" xr:uid="{00000000-0005-0000-0000-000053B80000}"/>
    <cellStyle name="SAPBEXHLevel0 2 7" xfId="47021" xr:uid="{00000000-0005-0000-0000-000054B80000}"/>
    <cellStyle name="SAPBEXHLevel0 2 7 2" xfId="47022" xr:uid="{00000000-0005-0000-0000-000055B80000}"/>
    <cellStyle name="SAPBEXHLevel0 2 7 2 2" xfId="47023" xr:uid="{00000000-0005-0000-0000-000056B80000}"/>
    <cellStyle name="SAPBEXHLevel0 2 7 3" xfId="47024" xr:uid="{00000000-0005-0000-0000-000057B80000}"/>
    <cellStyle name="SAPBEXHLevel0 2 8" xfId="47025" xr:uid="{00000000-0005-0000-0000-000058B80000}"/>
    <cellStyle name="SAPBEXHLevel0 2 8 2" xfId="47026" xr:uid="{00000000-0005-0000-0000-000059B80000}"/>
    <cellStyle name="SAPBEXHLevel0 2 8 2 2" xfId="47027" xr:uid="{00000000-0005-0000-0000-00005AB80000}"/>
    <cellStyle name="SAPBEXHLevel0 2 8 2 2 2" xfId="47028" xr:uid="{00000000-0005-0000-0000-00005BB80000}"/>
    <cellStyle name="SAPBEXHLevel0 2 8 2 2 2 2" xfId="47029" xr:uid="{00000000-0005-0000-0000-00005CB80000}"/>
    <cellStyle name="SAPBEXHLevel0 2 8 2 2 3" xfId="47030" xr:uid="{00000000-0005-0000-0000-00005DB80000}"/>
    <cellStyle name="SAPBEXHLevel0 2 8 2 3" xfId="47031" xr:uid="{00000000-0005-0000-0000-00005EB80000}"/>
    <cellStyle name="SAPBEXHLevel0 2 8 2 3 2" xfId="47032" xr:uid="{00000000-0005-0000-0000-00005FB80000}"/>
    <cellStyle name="SAPBEXHLevel0 2 8 2 4" xfId="47033" xr:uid="{00000000-0005-0000-0000-000060B80000}"/>
    <cellStyle name="SAPBEXHLevel0 2 8 3" xfId="47034" xr:uid="{00000000-0005-0000-0000-000061B80000}"/>
    <cellStyle name="SAPBEXHLevel0 2 8 3 2" xfId="47035" xr:uid="{00000000-0005-0000-0000-000062B80000}"/>
    <cellStyle name="SAPBEXHLevel0 2 8 3 2 2" xfId="47036" xr:uid="{00000000-0005-0000-0000-000063B80000}"/>
    <cellStyle name="SAPBEXHLevel0 2 8 3 3" xfId="47037" xr:uid="{00000000-0005-0000-0000-000064B80000}"/>
    <cellStyle name="SAPBEXHLevel0 2 8 4" xfId="47038" xr:uid="{00000000-0005-0000-0000-000065B80000}"/>
    <cellStyle name="SAPBEXHLevel0 2 8 4 2" xfId="47039" xr:uid="{00000000-0005-0000-0000-000066B80000}"/>
    <cellStyle name="SAPBEXHLevel0 2 8 5" xfId="47040" xr:uid="{00000000-0005-0000-0000-000067B80000}"/>
    <cellStyle name="SAPBEXHLevel0 2 9" xfId="47041" xr:uid="{00000000-0005-0000-0000-000068B80000}"/>
    <cellStyle name="SAPBEXHLevel0 2 9 2" xfId="47042" xr:uid="{00000000-0005-0000-0000-000069B80000}"/>
    <cellStyle name="SAPBEXHLevel0 3" xfId="47043" xr:uid="{00000000-0005-0000-0000-00006AB80000}"/>
    <cellStyle name="SAPBEXHLevel0 3 2" xfId="47044" xr:uid="{00000000-0005-0000-0000-00006BB80000}"/>
    <cellStyle name="SAPBEXHLevel0 3 2 2" xfId="47045" xr:uid="{00000000-0005-0000-0000-00006CB80000}"/>
    <cellStyle name="SAPBEXHLevel0 3 2 2 2" xfId="47046" xr:uid="{00000000-0005-0000-0000-00006DB80000}"/>
    <cellStyle name="SAPBEXHLevel0 3 2 2 2 2" xfId="47047" xr:uid="{00000000-0005-0000-0000-00006EB80000}"/>
    <cellStyle name="SAPBEXHLevel0 3 2 2 3" xfId="47048" xr:uid="{00000000-0005-0000-0000-00006FB80000}"/>
    <cellStyle name="SAPBEXHLevel0 3 2 3" xfId="47049" xr:uid="{00000000-0005-0000-0000-000070B80000}"/>
    <cellStyle name="SAPBEXHLevel0 3 2 3 2" xfId="47050" xr:uid="{00000000-0005-0000-0000-000071B80000}"/>
    <cellStyle name="SAPBEXHLevel0 3 2 3 2 2" xfId="47051" xr:uid="{00000000-0005-0000-0000-000072B80000}"/>
    <cellStyle name="SAPBEXHLevel0 3 2 3 3" xfId="47052" xr:uid="{00000000-0005-0000-0000-000073B80000}"/>
    <cellStyle name="SAPBEXHLevel0 3 2 4" xfId="47053" xr:uid="{00000000-0005-0000-0000-000074B80000}"/>
    <cellStyle name="SAPBEXHLevel0 3 2 4 2" xfId="47054" xr:uid="{00000000-0005-0000-0000-000075B80000}"/>
    <cellStyle name="SAPBEXHLevel0 3 2 4 2 2" xfId="47055" xr:uid="{00000000-0005-0000-0000-000076B80000}"/>
    <cellStyle name="SAPBEXHLevel0 3 2 4 3" xfId="47056" xr:uid="{00000000-0005-0000-0000-000077B80000}"/>
    <cellStyle name="SAPBEXHLevel0 3 2 5" xfId="47057" xr:uid="{00000000-0005-0000-0000-000078B80000}"/>
    <cellStyle name="SAPBEXHLevel0 3 2 5 2" xfId="47058" xr:uid="{00000000-0005-0000-0000-000079B80000}"/>
    <cellStyle name="SAPBEXHLevel0 3 2 6" xfId="47059" xr:uid="{00000000-0005-0000-0000-00007AB80000}"/>
    <cellStyle name="SAPBEXHLevel0 3 3" xfId="47060" xr:uid="{00000000-0005-0000-0000-00007BB80000}"/>
    <cellStyle name="SAPBEXHLevel0 3 3 2" xfId="47061" xr:uid="{00000000-0005-0000-0000-00007CB80000}"/>
    <cellStyle name="SAPBEXHLevel0 3 3 2 2" xfId="47062" xr:uid="{00000000-0005-0000-0000-00007DB80000}"/>
    <cellStyle name="SAPBEXHLevel0 3 3 2 2 2" xfId="47063" xr:uid="{00000000-0005-0000-0000-00007EB80000}"/>
    <cellStyle name="SAPBEXHLevel0 3 3 2 3" xfId="47064" xr:uid="{00000000-0005-0000-0000-00007FB80000}"/>
    <cellStyle name="SAPBEXHLevel0 3 3 3" xfId="47065" xr:uid="{00000000-0005-0000-0000-000080B80000}"/>
    <cellStyle name="SAPBEXHLevel0 3 3 3 2" xfId="47066" xr:uid="{00000000-0005-0000-0000-000081B80000}"/>
    <cellStyle name="SAPBEXHLevel0 3 3 4" xfId="47067" xr:uid="{00000000-0005-0000-0000-000082B80000}"/>
    <cellStyle name="SAPBEXHLevel0 3 4" xfId="47068" xr:uid="{00000000-0005-0000-0000-000083B80000}"/>
    <cellStyle name="SAPBEXHLevel0 3 4 2" xfId="47069" xr:uid="{00000000-0005-0000-0000-000084B80000}"/>
    <cellStyle name="SAPBEXHLevel0 3 4 2 2" xfId="47070" xr:uid="{00000000-0005-0000-0000-000085B80000}"/>
    <cellStyle name="SAPBEXHLevel0 3 4 3" xfId="47071" xr:uid="{00000000-0005-0000-0000-000086B80000}"/>
    <cellStyle name="SAPBEXHLevel0 3 5" xfId="47072" xr:uid="{00000000-0005-0000-0000-000087B80000}"/>
    <cellStyle name="SAPBEXHLevel0 3 5 2" xfId="47073" xr:uid="{00000000-0005-0000-0000-000088B80000}"/>
    <cellStyle name="SAPBEXHLevel0 3 5 2 2" xfId="47074" xr:uid="{00000000-0005-0000-0000-000089B80000}"/>
    <cellStyle name="SAPBEXHLevel0 3 5 3" xfId="47075" xr:uid="{00000000-0005-0000-0000-00008AB80000}"/>
    <cellStyle name="SAPBEXHLevel0 3 6" xfId="47076" xr:uid="{00000000-0005-0000-0000-00008BB80000}"/>
    <cellStyle name="SAPBEXHLevel0 3 6 2" xfId="47077" xr:uid="{00000000-0005-0000-0000-00008CB80000}"/>
    <cellStyle name="SAPBEXHLevel0 3 6 2 2" xfId="47078" xr:uid="{00000000-0005-0000-0000-00008DB80000}"/>
    <cellStyle name="SAPBEXHLevel0 3 6 2 2 2" xfId="47079" xr:uid="{00000000-0005-0000-0000-00008EB80000}"/>
    <cellStyle name="SAPBEXHLevel0 3 6 2 2 2 2" xfId="47080" xr:uid="{00000000-0005-0000-0000-00008FB80000}"/>
    <cellStyle name="SAPBEXHLevel0 3 6 2 2 3" xfId="47081" xr:uid="{00000000-0005-0000-0000-000090B80000}"/>
    <cellStyle name="SAPBEXHLevel0 3 6 2 3" xfId="47082" xr:uid="{00000000-0005-0000-0000-000091B80000}"/>
    <cellStyle name="SAPBEXHLevel0 3 6 2 3 2" xfId="47083" xr:uid="{00000000-0005-0000-0000-000092B80000}"/>
    <cellStyle name="SAPBEXHLevel0 3 6 2 4" xfId="47084" xr:uid="{00000000-0005-0000-0000-000093B80000}"/>
    <cellStyle name="SAPBEXHLevel0 3 6 3" xfId="47085" xr:uid="{00000000-0005-0000-0000-000094B80000}"/>
    <cellStyle name="SAPBEXHLevel0 3 6 3 2" xfId="47086" xr:uid="{00000000-0005-0000-0000-000095B80000}"/>
    <cellStyle name="SAPBEXHLevel0 3 6 3 2 2" xfId="47087" xr:uid="{00000000-0005-0000-0000-000096B80000}"/>
    <cellStyle name="SAPBEXHLevel0 3 6 3 3" xfId="47088" xr:uid="{00000000-0005-0000-0000-000097B80000}"/>
    <cellStyle name="SAPBEXHLevel0 3 6 4" xfId="47089" xr:uid="{00000000-0005-0000-0000-000098B80000}"/>
    <cellStyle name="SAPBEXHLevel0 3 6 4 2" xfId="47090" xr:uid="{00000000-0005-0000-0000-000099B80000}"/>
    <cellStyle name="SAPBEXHLevel0 3 6 5" xfId="47091" xr:uid="{00000000-0005-0000-0000-00009AB80000}"/>
    <cellStyle name="SAPBEXHLevel0 3 7" xfId="47092" xr:uid="{00000000-0005-0000-0000-00009BB80000}"/>
    <cellStyle name="SAPBEXHLevel0 3 7 2" xfId="47093" xr:uid="{00000000-0005-0000-0000-00009CB80000}"/>
    <cellStyle name="SAPBEXHLevel0 3 8" xfId="47094" xr:uid="{00000000-0005-0000-0000-00009DB80000}"/>
    <cellStyle name="SAPBEXHLevel0 4" xfId="47095" xr:uid="{00000000-0005-0000-0000-00009EB80000}"/>
    <cellStyle name="SAPBEXHLevel0 4 2" xfId="47096" xr:uid="{00000000-0005-0000-0000-00009FB80000}"/>
    <cellStyle name="SAPBEXHLevel0 4 2 2" xfId="47097" xr:uid="{00000000-0005-0000-0000-0000A0B80000}"/>
    <cellStyle name="SAPBEXHLevel0 4 2 2 2" xfId="47098" xr:uid="{00000000-0005-0000-0000-0000A1B80000}"/>
    <cellStyle name="SAPBEXHLevel0 4 2 2 2 2" xfId="47099" xr:uid="{00000000-0005-0000-0000-0000A2B80000}"/>
    <cellStyle name="SAPBEXHLevel0 4 2 2 3" xfId="47100" xr:uid="{00000000-0005-0000-0000-0000A3B80000}"/>
    <cellStyle name="SAPBEXHLevel0 4 2 3" xfId="47101" xr:uid="{00000000-0005-0000-0000-0000A4B80000}"/>
    <cellStyle name="SAPBEXHLevel0 4 2 3 2" xfId="47102" xr:uid="{00000000-0005-0000-0000-0000A5B80000}"/>
    <cellStyle name="SAPBEXHLevel0 4 2 3 2 2" xfId="47103" xr:uid="{00000000-0005-0000-0000-0000A6B80000}"/>
    <cellStyle name="SAPBEXHLevel0 4 2 3 3" xfId="47104" xr:uid="{00000000-0005-0000-0000-0000A7B80000}"/>
    <cellStyle name="SAPBEXHLevel0 4 2 4" xfId="47105" xr:uid="{00000000-0005-0000-0000-0000A8B80000}"/>
    <cellStyle name="SAPBEXHLevel0 4 2 4 2" xfId="47106" xr:uid="{00000000-0005-0000-0000-0000A9B80000}"/>
    <cellStyle name="SAPBEXHLevel0 4 2 4 2 2" xfId="47107" xr:uid="{00000000-0005-0000-0000-0000AAB80000}"/>
    <cellStyle name="SAPBEXHLevel0 4 2 4 3" xfId="47108" xr:uid="{00000000-0005-0000-0000-0000ABB80000}"/>
    <cellStyle name="SAPBEXHLevel0 4 2 5" xfId="47109" xr:uid="{00000000-0005-0000-0000-0000ACB80000}"/>
    <cellStyle name="SAPBEXHLevel0 4 2 5 2" xfId="47110" xr:uid="{00000000-0005-0000-0000-0000ADB80000}"/>
    <cellStyle name="SAPBEXHLevel0 4 2 6" xfId="47111" xr:uid="{00000000-0005-0000-0000-0000AEB80000}"/>
    <cellStyle name="SAPBEXHLevel0 4 3" xfId="47112" xr:uid="{00000000-0005-0000-0000-0000AFB80000}"/>
    <cellStyle name="SAPBEXHLevel0 4 3 2" xfId="47113" xr:uid="{00000000-0005-0000-0000-0000B0B80000}"/>
    <cellStyle name="SAPBEXHLevel0 4 3 2 2" xfId="47114" xr:uid="{00000000-0005-0000-0000-0000B1B80000}"/>
    <cellStyle name="SAPBEXHLevel0 4 3 2 2 2" xfId="47115" xr:uid="{00000000-0005-0000-0000-0000B2B80000}"/>
    <cellStyle name="SAPBEXHLevel0 4 3 2 2 2 2" xfId="47116" xr:uid="{00000000-0005-0000-0000-0000B3B80000}"/>
    <cellStyle name="SAPBEXHLevel0 4 3 2 2 3" xfId="47117" xr:uid="{00000000-0005-0000-0000-0000B4B80000}"/>
    <cellStyle name="SAPBEXHLevel0 4 3 2 3" xfId="47118" xr:uid="{00000000-0005-0000-0000-0000B5B80000}"/>
    <cellStyle name="SAPBEXHLevel0 4 3 2 3 2" xfId="47119" xr:uid="{00000000-0005-0000-0000-0000B6B80000}"/>
    <cellStyle name="SAPBEXHLevel0 4 3 2 3 2 2" xfId="47120" xr:uid="{00000000-0005-0000-0000-0000B7B80000}"/>
    <cellStyle name="SAPBEXHLevel0 4 3 2 3 3" xfId="47121" xr:uid="{00000000-0005-0000-0000-0000B8B80000}"/>
    <cellStyle name="SAPBEXHLevel0 4 3 2 4" xfId="47122" xr:uid="{00000000-0005-0000-0000-0000B9B80000}"/>
    <cellStyle name="SAPBEXHLevel0 4 3 2 4 2" xfId="47123" xr:uid="{00000000-0005-0000-0000-0000BAB80000}"/>
    <cellStyle name="SAPBEXHLevel0 4 3 2 5" xfId="47124" xr:uid="{00000000-0005-0000-0000-0000BBB80000}"/>
    <cellStyle name="SAPBEXHLevel0 4 3 3" xfId="47125" xr:uid="{00000000-0005-0000-0000-0000BCB80000}"/>
    <cellStyle name="SAPBEXHLevel0 4 3 3 2" xfId="47126" xr:uid="{00000000-0005-0000-0000-0000BDB80000}"/>
    <cellStyle name="SAPBEXHLevel0 4 3 3 2 2" xfId="47127" xr:uid="{00000000-0005-0000-0000-0000BEB80000}"/>
    <cellStyle name="SAPBEXHLevel0 4 3 3 2 2 2" xfId="47128" xr:uid="{00000000-0005-0000-0000-0000BFB80000}"/>
    <cellStyle name="SAPBEXHLevel0 4 3 3 2 3" xfId="47129" xr:uid="{00000000-0005-0000-0000-0000C0B80000}"/>
    <cellStyle name="SAPBEXHLevel0 4 3 3 3" xfId="47130" xr:uid="{00000000-0005-0000-0000-0000C1B80000}"/>
    <cellStyle name="SAPBEXHLevel0 4 3 3 3 2" xfId="47131" xr:uid="{00000000-0005-0000-0000-0000C2B80000}"/>
    <cellStyle name="SAPBEXHLevel0 4 3 3 4" xfId="47132" xr:uid="{00000000-0005-0000-0000-0000C3B80000}"/>
    <cellStyle name="SAPBEXHLevel0 4 3 4" xfId="47133" xr:uid="{00000000-0005-0000-0000-0000C4B80000}"/>
    <cellStyle name="SAPBEXHLevel0 4 3 4 2" xfId="47134" xr:uid="{00000000-0005-0000-0000-0000C5B80000}"/>
    <cellStyle name="SAPBEXHLevel0 4 3 4 2 2" xfId="47135" xr:uid="{00000000-0005-0000-0000-0000C6B80000}"/>
    <cellStyle name="SAPBEXHLevel0 4 3 4 3" xfId="47136" xr:uid="{00000000-0005-0000-0000-0000C7B80000}"/>
    <cellStyle name="SAPBEXHLevel0 4 3 5" xfId="47137" xr:uid="{00000000-0005-0000-0000-0000C8B80000}"/>
    <cellStyle name="SAPBEXHLevel0 4 3 5 2" xfId="47138" xr:uid="{00000000-0005-0000-0000-0000C9B80000}"/>
    <cellStyle name="SAPBEXHLevel0 4 3 5 2 2" xfId="47139" xr:uid="{00000000-0005-0000-0000-0000CAB80000}"/>
    <cellStyle name="SAPBEXHLevel0 4 3 5 3" xfId="47140" xr:uid="{00000000-0005-0000-0000-0000CBB80000}"/>
    <cellStyle name="SAPBEXHLevel0 4 3 6" xfId="47141" xr:uid="{00000000-0005-0000-0000-0000CCB80000}"/>
    <cellStyle name="SAPBEXHLevel0 4 3 6 2" xfId="47142" xr:uid="{00000000-0005-0000-0000-0000CDB80000}"/>
    <cellStyle name="SAPBEXHLevel0 4 3 7" xfId="47143" xr:uid="{00000000-0005-0000-0000-0000CEB80000}"/>
    <cellStyle name="SAPBEXHLevel0 4 4" xfId="47144" xr:uid="{00000000-0005-0000-0000-0000CFB80000}"/>
    <cellStyle name="SAPBEXHLevel0 4 4 2" xfId="47145" xr:uid="{00000000-0005-0000-0000-0000D0B80000}"/>
    <cellStyle name="SAPBEXHLevel0 4 4 2 2" xfId="47146" xr:uid="{00000000-0005-0000-0000-0000D1B80000}"/>
    <cellStyle name="SAPBEXHLevel0 4 4 2 2 2" xfId="47147" xr:uid="{00000000-0005-0000-0000-0000D2B80000}"/>
    <cellStyle name="SAPBEXHLevel0 4 4 2 3" xfId="47148" xr:uid="{00000000-0005-0000-0000-0000D3B80000}"/>
    <cellStyle name="SAPBEXHLevel0 4 4 3" xfId="47149" xr:uid="{00000000-0005-0000-0000-0000D4B80000}"/>
    <cellStyle name="SAPBEXHLevel0 4 4 3 2" xfId="47150" xr:uid="{00000000-0005-0000-0000-0000D5B80000}"/>
    <cellStyle name="SAPBEXHLevel0 4 4 4" xfId="47151" xr:uid="{00000000-0005-0000-0000-0000D6B80000}"/>
    <cellStyle name="SAPBEXHLevel0 4 5" xfId="47152" xr:uid="{00000000-0005-0000-0000-0000D7B80000}"/>
    <cellStyle name="SAPBEXHLevel0 4 5 2" xfId="47153" xr:uid="{00000000-0005-0000-0000-0000D8B80000}"/>
    <cellStyle name="SAPBEXHLevel0 4 5 2 2" xfId="47154" xr:uid="{00000000-0005-0000-0000-0000D9B80000}"/>
    <cellStyle name="SAPBEXHLevel0 4 5 3" xfId="47155" xr:uid="{00000000-0005-0000-0000-0000DAB80000}"/>
    <cellStyle name="SAPBEXHLevel0 4 6" xfId="47156" xr:uid="{00000000-0005-0000-0000-0000DBB80000}"/>
    <cellStyle name="SAPBEXHLevel0 4 6 2" xfId="47157" xr:uid="{00000000-0005-0000-0000-0000DCB80000}"/>
    <cellStyle name="SAPBEXHLevel0 4 6 2 2" xfId="47158" xr:uid="{00000000-0005-0000-0000-0000DDB80000}"/>
    <cellStyle name="SAPBEXHLevel0 4 6 3" xfId="47159" xr:uid="{00000000-0005-0000-0000-0000DEB80000}"/>
    <cellStyle name="SAPBEXHLevel0 4 7" xfId="47160" xr:uid="{00000000-0005-0000-0000-0000DFB80000}"/>
    <cellStyle name="SAPBEXHLevel0 4 7 2" xfId="47161" xr:uid="{00000000-0005-0000-0000-0000E0B80000}"/>
    <cellStyle name="SAPBEXHLevel0 4 8" xfId="47162" xr:uid="{00000000-0005-0000-0000-0000E1B80000}"/>
    <cellStyle name="SAPBEXHLevel0 5" xfId="47163" xr:uid="{00000000-0005-0000-0000-0000E2B80000}"/>
    <cellStyle name="SAPBEXHLevel0 5 2" xfId="47164" xr:uid="{00000000-0005-0000-0000-0000E3B80000}"/>
    <cellStyle name="SAPBEXHLevel0 5 2 2" xfId="47165" xr:uid="{00000000-0005-0000-0000-0000E4B80000}"/>
    <cellStyle name="SAPBEXHLevel0 5 2 2 2" xfId="47166" xr:uid="{00000000-0005-0000-0000-0000E5B80000}"/>
    <cellStyle name="SAPBEXHLevel0 5 2 3" xfId="47167" xr:uid="{00000000-0005-0000-0000-0000E6B80000}"/>
    <cellStyle name="SAPBEXHLevel0 5 3" xfId="47168" xr:uid="{00000000-0005-0000-0000-0000E7B80000}"/>
    <cellStyle name="SAPBEXHLevel0 5 3 2" xfId="47169" xr:uid="{00000000-0005-0000-0000-0000E8B80000}"/>
    <cellStyle name="SAPBEXHLevel0 5 3 2 2" xfId="47170" xr:uid="{00000000-0005-0000-0000-0000E9B80000}"/>
    <cellStyle name="SAPBEXHLevel0 5 3 3" xfId="47171" xr:uid="{00000000-0005-0000-0000-0000EAB80000}"/>
    <cellStyle name="SAPBEXHLevel0 5 4" xfId="47172" xr:uid="{00000000-0005-0000-0000-0000EBB80000}"/>
    <cellStyle name="SAPBEXHLevel0 5 4 2" xfId="47173" xr:uid="{00000000-0005-0000-0000-0000ECB80000}"/>
    <cellStyle name="SAPBEXHLevel0 5 4 2 2" xfId="47174" xr:uid="{00000000-0005-0000-0000-0000EDB80000}"/>
    <cellStyle name="SAPBEXHLevel0 5 4 3" xfId="47175" xr:uid="{00000000-0005-0000-0000-0000EEB80000}"/>
    <cellStyle name="SAPBEXHLevel0 5 5" xfId="47176" xr:uid="{00000000-0005-0000-0000-0000EFB80000}"/>
    <cellStyle name="SAPBEXHLevel0 5 5 2" xfId="47177" xr:uid="{00000000-0005-0000-0000-0000F0B80000}"/>
    <cellStyle name="SAPBEXHLevel0 5 6" xfId="47178" xr:uid="{00000000-0005-0000-0000-0000F1B80000}"/>
    <cellStyle name="SAPBEXHLevel0 6" xfId="47179" xr:uid="{00000000-0005-0000-0000-0000F2B80000}"/>
    <cellStyle name="SAPBEXHLevel0 6 2" xfId="47180" xr:uid="{00000000-0005-0000-0000-0000F3B80000}"/>
    <cellStyle name="SAPBEXHLevel0 6 2 2" xfId="47181" xr:uid="{00000000-0005-0000-0000-0000F4B80000}"/>
    <cellStyle name="SAPBEXHLevel0 6 3" xfId="47182" xr:uid="{00000000-0005-0000-0000-0000F5B80000}"/>
    <cellStyle name="SAPBEXHLevel0 6 3 2" xfId="47183" xr:uid="{00000000-0005-0000-0000-0000F6B80000}"/>
    <cellStyle name="SAPBEXHLevel0 6 3 2 2" xfId="47184" xr:uid="{00000000-0005-0000-0000-0000F7B80000}"/>
    <cellStyle name="SAPBEXHLevel0 6 3 3" xfId="47185" xr:uid="{00000000-0005-0000-0000-0000F8B80000}"/>
    <cellStyle name="SAPBEXHLevel0 6 4" xfId="47186" xr:uid="{00000000-0005-0000-0000-0000F9B80000}"/>
    <cellStyle name="SAPBEXHLevel0 6 4 2" xfId="47187" xr:uid="{00000000-0005-0000-0000-0000FAB80000}"/>
    <cellStyle name="SAPBEXHLevel0 6 4 2 2" xfId="47188" xr:uid="{00000000-0005-0000-0000-0000FBB80000}"/>
    <cellStyle name="SAPBEXHLevel0 6 4 3" xfId="47189" xr:uid="{00000000-0005-0000-0000-0000FCB80000}"/>
    <cellStyle name="SAPBEXHLevel0 6 5" xfId="47190" xr:uid="{00000000-0005-0000-0000-0000FDB80000}"/>
    <cellStyle name="SAPBEXHLevel0 7" xfId="47191" xr:uid="{00000000-0005-0000-0000-0000FEB80000}"/>
    <cellStyle name="SAPBEXHLevel0 7 2" xfId="47192" xr:uid="{00000000-0005-0000-0000-0000FFB80000}"/>
    <cellStyle name="SAPBEXHLevel0 7 2 2" xfId="47193" xr:uid="{00000000-0005-0000-0000-000000B90000}"/>
    <cellStyle name="SAPBEXHLevel0 7 2 2 2" xfId="47194" xr:uid="{00000000-0005-0000-0000-000001B90000}"/>
    <cellStyle name="SAPBEXHLevel0 7 2 3" xfId="47195" xr:uid="{00000000-0005-0000-0000-000002B90000}"/>
    <cellStyle name="SAPBEXHLevel0 7 2 3 2" xfId="47196" xr:uid="{00000000-0005-0000-0000-000003B90000}"/>
    <cellStyle name="SAPBEXHLevel0 7 2 3 2 2" xfId="47197" xr:uid="{00000000-0005-0000-0000-000004B90000}"/>
    <cellStyle name="SAPBEXHLevel0 7 2 3 3" xfId="47198" xr:uid="{00000000-0005-0000-0000-000005B90000}"/>
    <cellStyle name="SAPBEXHLevel0 7 2 4" xfId="47199" xr:uid="{00000000-0005-0000-0000-000006B90000}"/>
    <cellStyle name="SAPBEXHLevel0 7 3" xfId="47200" xr:uid="{00000000-0005-0000-0000-000007B90000}"/>
    <cellStyle name="SAPBEXHLevel0 7 3 2" xfId="47201" xr:uid="{00000000-0005-0000-0000-000008B90000}"/>
    <cellStyle name="SAPBEXHLevel0 7 3 2 2" xfId="47202" xr:uid="{00000000-0005-0000-0000-000009B90000}"/>
    <cellStyle name="SAPBEXHLevel0 7 3 3" xfId="47203" xr:uid="{00000000-0005-0000-0000-00000AB90000}"/>
    <cellStyle name="SAPBEXHLevel0 7 4" xfId="47204" xr:uid="{00000000-0005-0000-0000-00000BB90000}"/>
    <cellStyle name="SAPBEXHLevel0 7 4 2" xfId="47205" xr:uid="{00000000-0005-0000-0000-00000CB90000}"/>
    <cellStyle name="SAPBEXHLevel0 7 4 2 2" xfId="47206" xr:uid="{00000000-0005-0000-0000-00000DB90000}"/>
    <cellStyle name="SAPBEXHLevel0 7 4 3" xfId="47207" xr:uid="{00000000-0005-0000-0000-00000EB90000}"/>
    <cellStyle name="SAPBEXHLevel0 7 5" xfId="47208" xr:uid="{00000000-0005-0000-0000-00000FB90000}"/>
    <cellStyle name="SAPBEXHLevel0 7 5 2" xfId="47209" xr:uid="{00000000-0005-0000-0000-000010B90000}"/>
    <cellStyle name="SAPBEXHLevel0 7 5 2 2" xfId="47210" xr:uid="{00000000-0005-0000-0000-000011B90000}"/>
    <cellStyle name="SAPBEXHLevel0 7 5 3" xfId="47211" xr:uid="{00000000-0005-0000-0000-000012B90000}"/>
    <cellStyle name="SAPBEXHLevel0 7 6" xfId="47212" xr:uid="{00000000-0005-0000-0000-000013B90000}"/>
    <cellStyle name="SAPBEXHLevel0 8" xfId="47213" xr:uid="{00000000-0005-0000-0000-000014B90000}"/>
    <cellStyle name="SAPBEXHLevel0 8 2" xfId="47214" xr:uid="{00000000-0005-0000-0000-000015B90000}"/>
    <cellStyle name="SAPBEXHLevel0 8 2 2" xfId="47215" xr:uid="{00000000-0005-0000-0000-000016B90000}"/>
    <cellStyle name="SAPBEXHLevel0 8 3" xfId="47216" xr:uid="{00000000-0005-0000-0000-000017B90000}"/>
    <cellStyle name="SAPBEXHLevel0 9" xfId="47217" xr:uid="{00000000-0005-0000-0000-000018B90000}"/>
    <cellStyle name="SAPBEXHLevel0 9 2" xfId="47218" xr:uid="{00000000-0005-0000-0000-000019B90000}"/>
    <cellStyle name="SAPBEXHLevel0 9 2 2" xfId="47219" xr:uid="{00000000-0005-0000-0000-00001AB90000}"/>
    <cellStyle name="SAPBEXHLevel0 9 3" xfId="47220" xr:uid="{00000000-0005-0000-0000-00001BB90000}"/>
    <cellStyle name="SAPBEXHLevel0X" xfId="61" xr:uid="{00000000-0005-0000-0000-00001CB90000}"/>
    <cellStyle name="SAPBEXHLevel0X 10" xfId="47221" xr:uid="{00000000-0005-0000-0000-00001DB90000}"/>
    <cellStyle name="SAPBEXHLevel0X 10 2" xfId="47222" xr:uid="{00000000-0005-0000-0000-00001EB90000}"/>
    <cellStyle name="SAPBEXHLevel0X 10 2 2" xfId="47223" xr:uid="{00000000-0005-0000-0000-00001FB90000}"/>
    <cellStyle name="SAPBEXHLevel0X 10 2 2 2" xfId="47224" xr:uid="{00000000-0005-0000-0000-000020B90000}"/>
    <cellStyle name="SAPBEXHLevel0X 10 2 3" xfId="47225" xr:uid="{00000000-0005-0000-0000-000021B90000}"/>
    <cellStyle name="SAPBEXHLevel0X 10 3" xfId="47226" xr:uid="{00000000-0005-0000-0000-000022B90000}"/>
    <cellStyle name="SAPBEXHLevel0X 10 3 2" xfId="47227" xr:uid="{00000000-0005-0000-0000-000023B90000}"/>
    <cellStyle name="SAPBEXHLevel0X 10 4" xfId="47228" xr:uid="{00000000-0005-0000-0000-000024B90000}"/>
    <cellStyle name="SAPBEXHLevel0X 11" xfId="47229" xr:uid="{00000000-0005-0000-0000-000025B90000}"/>
    <cellStyle name="SAPBEXHLevel0X 11 2" xfId="47230" xr:uid="{00000000-0005-0000-0000-000026B90000}"/>
    <cellStyle name="SAPBEXHLevel0X 11 2 2" xfId="47231" xr:uid="{00000000-0005-0000-0000-000027B90000}"/>
    <cellStyle name="SAPBEXHLevel0X 11 3" xfId="47232" xr:uid="{00000000-0005-0000-0000-000028B90000}"/>
    <cellStyle name="SAPBEXHLevel0X 12" xfId="47233" xr:uid="{00000000-0005-0000-0000-000029B90000}"/>
    <cellStyle name="SAPBEXHLevel0X 12 2" xfId="47234" xr:uid="{00000000-0005-0000-0000-00002AB90000}"/>
    <cellStyle name="SAPBEXHLevel0X 12 2 2" xfId="47235" xr:uid="{00000000-0005-0000-0000-00002BB90000}"/>
    <cellStyle name="SAPBEXHLevel0X 12 3" xfId="47236" xr:uid="{00000000-0005-0000-0000-00002CB90000}"/>
    <cellStyle name="SAPBEXHLevel0X 13" xfId="47237" xr:uid="{00000000-0005-0000-0000-00002DB90000}"/>
    <cellStyle name="SAPBEXHLevel0X 13 2" xfId="47238" xr:uid="{00000000-0005-0000-0000-00002EB90000}"/>
    <cellStyle name="SAPBEXHLevel0X 13 2 2" xfId="47239" xr:uid="{00000000-0005-0000-0000-00002FB90000}"/>
    <cellStyle name="SAPBEXHLevel0X 13 3" xfId="47240" xr:uid="{00000000-0005-0000-0000-000030B90000}"/>
    <cellStyle name="SAPBEXHLevel0X 14" xfId="47241" xr:uid="{00000000-0005-0000-0000-000031B90000}"/>
    <cellStyle name="SAPBEXHLevel0X 14 2" xfId="47242" xr:uid="{00000000-0005-0000-0000-000032B90000}"/>
    <cellStyle name="SAPBEXHLevel0X 14 2 2" xfId="47243" xr:uid="{00000000-0005-0000-0000-000033B90000}"/>
    <cellStyle name="SAPBEXHLevel0X 14 3" xfId="47244" xr:uid="{00000000-0005-0000-0000-000034B90000}"/>
    <cellStyle name="SAPBEXHLevel0X 15" xfId="47245" xr:uid="{00000000-0005-0000-0000-000035B90000}"/>
    <cellStyle name="SAPBEXHLevel0X 15 2" xfId="47246" xr:uid="{00000000-0005-0000-0000-000036B90000}"/>
    <cellStyle name="SAPBEXHLevel0X 15 2 2" xfId="47247" xr:uid="{00000000-0005-0000-0000-000037B90000}"/>
    <cellStyle name="SAPBEXHLevel0X 15 2 2 2" xfId="47248" xr:uid="{00000000-0005-0000-0000-000038B90000}"/>
    <cellStyle name="SAPBEXHLevel0X 15 2 3" xfId="47249" xr:uid="{00000000-0005-0000-0000-000039B90000}"/>
    <cellStyle name="SAPBEXHLevel0X 15 3" xfId="47250" xr:uid="{00000000-0005-0000-0000-00003AB90000}"/>
    <cellStyle name="SAPBEXHLevel0X 15 3 2" xfId="47251" xr:uid="{00000000-0005-0000-0000-00003BB90000}"/>
    <cellStyle name="SAPBEXHLevel0X 15 4" xfId="47252" xr:uid="{00000000-0005-0000-0000-00003CB90000}"/>
    <cellStyle name="SAPBEXHLevel0X 16" xfId="47253" xr:uid="{00000000-0005-0000-0000-00003DB90000}"/>
    <cellStyle name="SAPBEXHLevel0X 16 2" xfId="47254" xr:uid="{00000000-0005-0000-0000-00003EB90000}"/>
    <cellStyle name="SAPBEXHLevel0X 16 3" xfId="47255" xr:uid="{00000000-0005-0000-0000-00003FB90000}"/>
    <cellStyle name="SAPBEXHLevel0X 17" xfId="47256" xr:uid="{00000000-0005-0000-0000-000040B90000}"/>
    <cellStyle name="SAPBEXHLevel0X 17 2" xfId="47257" xr:uid="{00000000-0005-0000-0000-000041B90000}"/>
    <cellStyle name="SAPBEXHLevel0X 17 3" xfId="47258" xr:uid="{00000000-0005-0000-0000-000042B90000}"/>
    <cellStyle name="SAPBEXHLevel0X 18" xfId="47259" xr:uid="{00000000-0005-0000-0000-000043B90000}"/>
    <cellStyle name="SAPBEXHLevel0X 18 2" xfId="47260" xr:uid="{00000000-0005-0000-0000-000044B90000}"/>
    <cellStyle name="SAPBEXHLevel0X 19" xfId="47261" xr:uid="{00000000-0005-0000-0000-000045B90000}"/>
    <cellStyle name="SAPBEXHLevel0X 2" xfId="85" xr:uid="{00000000-0005-0000-0000-000046B90000}"/>
    <cellStyle name="SAPBEXHLevel0X 2 2" xfId="47262" xr:uid="{00000000-0005-0000-0000-000047B90000}"/>
    <cellStyle name="SAPBEXHLevel0X 2 2 2" xfId="47263" xr:uid="{00000000-0005-0000-0000-000048B90000}"/>
    <cellStyle name="SAPBEXHLevel0X 2 2 2 2" xfId="47264" xr:uid="{00000000-0005-0000-0000-000049B90000}"/>
    <cellStyle name="SAPBEXHLevel0X 2 2 2 2 2" xfId="47265" xr:uid="{00000000-0005-0000-0000-00004AB90000}"/>
    <cellStyle name="SAPBEXHLevel0X 2 2 2 3" xfId="47266" xr:uid="{00000000-0005-0000-0000-00004BB90000}"/>
    <cellStyle name="SAPBEXHLevel0X 2 2 3" xfId="47267" xr:uid="{00000000-0005-0000-0000-00004CB90000}"/>
    <cellStyle name="SAPBEXHLevel0X 2 2 3 2" xfId="47268" xr:uid="{00000000-0005-0000-0000-00004DB90000}"/>
    <cellStyle name="SAPBEXHLevel0X 2 2 3 2 2" xfId="47269" xr:uid="{00000000-0005-0000-0000-00004EB90000}"/>
    <cellStyle name="SAPBEXHLevel0X 2 2 3 3" xfId="47270" xr:uid="{00000000-0005-0000-0000-00004FB90000}"/>
    <cellStyle name="SAPBEXHLevel0X 2 2 4" xfId="47271" xr:uid="{00000000-0005-0000-0000-000050B90000}"/>
    <cellStyle name="SAPBEXHLevel0X 2 2 4 2" xfId="47272" xr:uid="{00000000-0005-0000-0000-000051B90000}"/>
    <cellStyle name="SAPBEXHLevel0X 2 2 4 2 2" xfId="47273" xr:uid="{00000000-0005-0000-0000-000052B90000}"/>
    <cellStyle name="SAPBEXHLevel0X 2 2 4 3" xfId="47274" xr:uid="{00000000-0005-0000-0000-000053B90000}"/>
    <cellStyle name="SAPBEXHLevel0X 2 2 5" xfId="47275" xr:uid="{00000000-0005-0000-0000-000054B90000}"/>
    <cellStyle name="SAPBEXHLevel0X 2 2 5 2" xfId="47276" xr:uid="{00000000-0005-0000-0000-000055B90000}"/>
    <cellStyle name="SAPBEXHLevel0X 2 2 6" xfId="47277" xr:uid="{00000000-0005-0000-0000-000056B90000}"/>
    <cellStyle name="SAPBEXHLevel0X 2 3" xfId="47278" xr:uid="{00000000-0005-0000-0000-000057B90000}"/>
    <cellStyle name="SAPBEXHLevel0X 2 3 2" xfId="47279" xr:uid="{00000000-0005-0000-0000-000058B90000}"/>
    <cellStyle name="SAPBEXHLevel0X 2 3 2 2" xfId="47280" xr:uid="{00000000-0005-0000-0000-000059B90000}"/>
    <cellStyle name="SAPBEXHLevel0X 2 3 2 2 2" xfId="47281" xr:uid="{00000000-0005-0000-0000-00005AB90000}"/>
    <cellStyle name="SAPBEXHLevel0X 2 3 2 2 2 2" xfId="47282" xr:uid="{00000000-0005-0000-0000-00005BB90000}"/>
    <cellStyle name="SAPBEXHLevel0X 2 3 2 2 3" xfId="47283" xr:uid="{00000000-0005-0000-0000-00005CB90000}"/>
    <cellStyle name="SAPBEXHLevel0X 2 3 2 3" xfId="47284" xr:uid="{00000000-0005-0000-0000-00005DB90000}"/>
    <cellStyle name="SAPBEXHLevel0X 2 3 2 3 2" xfId="47285" xr:uid="{00000000-0005-0000-0000-00005EB90000}"/>
    <cellStyle name="SAPBEXHLevel0X 2 3 2 3 2 2" xfId="47286" xr:uid="{00000000-0005-0000-0000-00005FB90000}"/>
    <cellStyle name="SAPBEXHLevel0X 2 3 2 3 3" xfId="47287" xr:uid="{00000000-0005-0000-0000-000060B90000}"/>
    <cellStyle name="SAPBEXHLevel0X 2 3 2 4" xfId="47288" xr:uid="{00000000-0005-0000-0000-000061B90000}"/>
    <cellStyle name="SAPBEXHLevel0X 2 3 2 4 2" xfId="47289" xr:uid="{00000000-0005-0000-0000-000062B90000}"/>
    <cellStyle name="SAPBEXHLevel0X 2 3 2 5" xfId="47290" xr:uid="{00000000-0005-0000-0000-000063B90000}"/>
    <cellStyle name="SAPBEXHLevel0X 2 3 3" xfId="47291" xr:uid="{00000000-0005-0000-0000-000064B90000}"/>
    <cellStyle name="SAPBEXHLevel0X 2 3 3 2" xfId="47292" xr:uid="{00000000-0005-0000-0000-000065B90000}"/>
    <cellStyle name="SAPBEXHLevel0X 2 3 3 2 2" xfId="47293" xr:uid="{00000000-0005-0000-0000-000066B90000}"/>
    <cellStyle name="SAPBEXHLevel0X 2 3 3 2 2 2" xfId="47294" xr:uid="{00000000-0005-0000-0000-000067B90000}"/>
    <cellStyle name="SAPBEXHLevel0X 2 3 3 2 3" xfId="47295" xr:uid="{00000000-0005-0000-0000-000068B90000}"/>
    <cellStyle name="SAPBEXHLevel0X 2 3 3 3" xfId="47296" xr:uid="{00000000-0005-0000-0000-000069B90000}"/>
    <cellStyle name="SAPBEXHLevel0X 2 3 3 3 2" xfId="47297" xr:uid="{00000000-0005-0000-0000-00006AB90000}"/>
    <cellStyle name="SAPBEXHLevel0X 2 3 3 4" xfId="47298" xr:uid="{00000000-0005-0000-0000-00006BB90000}"/>
    <cellStyle name="SAPBEXHLevel0X 2 3 4" xfId="47299" xr:uid="{00000000-0005-0000-0000-00006CB90000}"/>
    <cellStyle name="SAPBEXHLevel0X 2 3 4 2" xfId="47300" xr:uid="{00000000-0005-0000-0000-00006DB90000}"/>
    <cellStyle name="SAPBEXHLevel0X 2 3 4 2 2" xfId="47301" xr:uid="{00000000-0005-0000-0000-00006EB90000}"/>
    <cellStyle name="SAPBEXHLevel0X 2 3 4 3" xfId="47302" xr:uid="{00000000-0005-0000-0000-00006FB90000}"/>
    <cellStyle name="SAPBEXHLevel0X 2 3 5" xfId="47303" xr:uid="{00000000-0005-0000-0000-000070B90000}"/>
    <cellStyle name="SAPBEXHLevel0X 2 3 5 2" xfId="47304" xr:uid="{00000000-0005-0000-0000-000071B90000}"/>
    <cellStyle name="SAPBEXHLevel0X 2 3 5 2 2" xfId="47305" xr:uid="{00000000-0005-0000-0000-000072B90000}"/>
    <cellStyle name="SAPBEXHLevel0X 2 3 5 3" xfId="47306" xr:uid="{00000000-0005-0000-0000-000073B90000}"/>
    <cellStyle name="SAPBEXHLevel0X 2 3 6" xfId="47307" xr:uid="{00000000-0005-0000-0000-000074B90000}"/>
    <cellStyle name="SAPBEXHLevel0X 2 3 6 2" xfId="47308" xr:uid="{00000000-0005-0000-0000-000075B90000}"/>
    <cellStyle name="SAPBEXHLevel0X 2 3 7" xfId="47309" xr:uid="{00000000-0005-0000-0000-000076B90000}"/>
    <cellStyle name="SAPBEXHLevel0X 2 4" xfId="47310" xr:uid="{00000000-0005-0000-0000-000077B90000}"/>
    <cellStyle name="SAPBEXHLevel0X 2 4 2" xfId="47311" xr:uid="{00000000-0005-0000-0000-000078B90000}"/>
    <cellStyle name="SAPBEXHLevel0X 2 4 2 2" xfId="47312" xr:uid="{00000000-0005-0000-0000-000079B90000}"/>
    <cellStyle name="SAPBEXHLevel0X 2 4 2 2 2" xfId="47313" xr:uid="{00000000-0005-0000-0000-00007AB90000}"/>
    <cellStyle name="SAPBEXHLevel0X 2 4 2 3" xfId="47314" xr:uid="{00000000-0005-0000-0000-00007BB90000}"/>
    <cellStyle name="SAPBEXHLevel0X 2 4 3" xfId="47315" xr:uid="{00000000-0005-0000-0000-00007CB90000}"/>
    <cellStyle name="SAPBEXHLevel0X 2 4 3 2" xfId="47316" xr:uid="{00000000-0005-0000-0000-00007DB90000}"/>
    <cellStyle name="SAPBEXHLevel0X 2 4 4" xfId="47317" xr:uid="{00000000-0005-0000-0000-00007EB90000}"/>
    <cellStyle name="SAPBEXHLevel0X 2 5" xfId="47318" xr:uid="{00000000-0005-0000-0000-00007FB90000}"/>
    <cellStyle name="SAPBEXHLevel0X 2 5 2" xfId="47319" xr:uid="{00000000-0005-0000-0000-000080B90000}"/>
    <cellStyle name="SAPBEXHLevel0X 2 5 2 2" xfId="47320" xr:uid="{00000000-0005-0000-0000-000081B90000}"/>
    <cellStyle name="SAPBEXHLevel0X 2 5 3" xfId="47321" xr:uid="{00000000-0005-0000-0000-000082B90000}"/>
    <cellStyle name="SAPBEXHLevel0X 2 6" xfId="47322" xr:uid="{00000000-0005-0000-0000-000083B90000}"/>
    <cellStyle name="SAPBEXHLevel0X 2 6 2" xfId="47323" xr:uid="{00000000-0005-0000-0000-000084B90000}"/>
    <cellStyle name="SAPBEXHLevel0X 2 6 2 2" xfId="47324" xr:uid="{00000000-0005-0000-0000-000085B90000}"/>
    <cellStyle name="SAPBEXHLevel0X 2 6 3" xfId="47325" xr:uid="{00000000-0005-0000-0000-000086B90000}"/>
    <cellStyle name="SAPBEXHLevel0X 2 7" xfId="47326" xr:uid="{00000000-0005-0000-0000-000087B90000}"/>
    <cellStyle name="SAPBEXHLevel0X 2 7 2" xfId="47327" xr:uid="{00000000-0005-0000-0000-000088B90000}"/>
    <cellStyle name="SAPBEXHLevel0X 2 8" xfId="47328" xr:uid="{00000000-0005-0000-0000-000089B90000}"/>
    <cellStyle name="SAPBEXHLevel0X 20" xfId="47329" xr:uid="{00000000-0005-0000-0000-00008AB90000}"/>
    <cellStyle name="SAPBEXHLevel0X 21" xfId="47330" xr:uid="{00000000-0005-0000-0000-00008BB90000}"/>
    <cellStyle name="SAPBEXHLevel0X 22" xfId="47331" xr:uid="{00000000-0005-0000-0000-00008CB90000}"/>
    <cellStyle name="SAPBEXHLevel0X 3" xfId="47332" xr:uid="{00000000-0005-0000-0000-00008DB90000}"/>
    <cellStyle name="SAPBEXHLevel0X 3 2" xfId="47333" xr:uid="{00000000-0005-0000-0000-00008EB90000}"/>
    <cellStyle name="SAPBEXHLevel0X 3 2 2" xfId="47334" xr:uid="{00000000-0005-0000-0000-00008FB90000}"/>
    <cellStyle name="SAPBEXHLevel0X 3 2 2 2" xfId="47335" xr:uid="{00000000-0005-0000-0000-000090B90000}"/>
    <cellStyle name="SAPBEXHLevel0X 3 2 2 2 2" xfId="47336" xr:uid="{00000000-0005-0000-0000-000091B90000}"/>
    <cellStyle name="SAPBEXHLevel0X 3 2 2 3" xfId="47337" xr:uid="{00000000-0005-0000-0000-000092B90000}"/>
    <cellStyle name="SAPBEXHLevel0X 3 2 3" xfId="47338" xr:uid="{00000000-0005-0000-0000-000093B90000}"/>
    <cellStyle name="SAPBEXHLevel0X 3 2 3 2" xfId="47339" xr:uid="{00000000-0005-0000-0000-000094B90000}"/>
    <cellStyle name="SAPBEXHLevel0X 3 2 3 2 2" xfId="47340" xr:uid="{00000000-0005-0000-0000-000095B90000}"/>
    <cellStyle name="SAPBEXHLevel0X 3 2 3 3" xfId="47341" xr:uid="{00000000-0005-0000-0000-000096B90000}"/>
    <cellStyle name="SAPBEXHLevel0X 3 2 4" xfId="47342" xr:uid="{00000000-0005-0000-0000-000097B90000}"/>
    <cellStyle name="SAPBEXHLevel0X 3 2 4 2" xfId="47343" xr:uid="{00000000-0005-0000-0000-000098B90000}"/>
    <cellStyle name="SAPBEXHLevel0X 3 2 4 2 2" xfId="47344" xr:uid="{00000000-0005-0000-0000-000099B90000}"/>
    <cellStyle name="SAPBEXHLevel0X 3 2 4 3" xfId="47345" xr:uid="{00000000-0005-0000-0000-00009AB90000}"/>
    <cellStyle name="SAPBEXHLevel0X 3 2 5" xfId="47346" xr:uid="{00000000-0005-0000-0000-00009BB90000}"/>
    <cellStyle name="SAPBEXHLevel0X 3 2 5 2" xfId="47347" xr:uid="{00000000-0005-0000-0000-00009CB90000}"/>
    <cellStyle name="SAPBEXHLevel0X 3 2 6" xfId="47348" xr:uid="{00000000-0005-0000-0000-00009DB90000}"/>
    <cellStyle name="SAPBEXHLevel0X 3 3" xfId="47349" xr:uid="{00000000-0005-0000-0000-00009EB90000}"/>
    <cellStyle name="SAPBEXHLevel0X 3 3 2" xfId="47350" xr:uid="{00000000-0005-0000-0000-00009FB90000}"/>
    <cellStyle name="SAPBEXHLevel0X 3 3 2 2" xfId="47351" xr:uid="{00000000-0005-0000-0000-0000A0B90000}"/>
    <cellStyle name="SAPBEXHLevel0X 3 3 2 2 2" xfId="47352" xr:uid="{00000000-0005-0000-0000-0000A1B90000}"/>
    <cellStyle name="SAPBEXHLevel0X 3 3 2 3" xfId="47353" xr:uid="{00000000-0005-0000-0000-0000A2B90000}"/>
    <cellStyle name="SAPBEXHLevel0X 3 3 3" xfId="47354" xr:uid="{00000000-0005-0000-0000-0000A3B90000}"/>
    <cellStyle name="SAPBEXHLevel0X 3 3 3 2" xfId="47355" xr:uid="{00000000-0005-0000-0000-0000A4B90000}"/>
    <cellStyle name="SAPBEXHLevel0X 3 3 4" xfId="47356" xr:uid="{00000000-0005-0000-0000-0000A5B90000}"/>
    <cellStyle name="SAPBEXHLevel0X 3 4" xfId="47357" xr:uid="{00000000-0005-0000-0000-0000A6B90000}"/>
    <cellStyle name="SAPBEXHLevel0X 3 4 2" xfId="47358" xr:uid="{00000000-0005-0000-0000-0000A7B90000}"/>
    <cellStyle name="SAPBEXHLevel0X 3 4 2 2" xfId="47359" xr:uid="{00000000-0005-0000-0000-0000A8B90000}"/>
    <cellStyle name="SAPBEXHLevel0X 3 4 3" xfId="47360" xr:uid="{00000000-0005-0000-0000-0000A9B90000}"/>
    <cellStyle name="SAPBEXHLevel0X 3 5" xfId="47361" xr:uid="{00000000-0005-0000-0000-0000AAB90000}"/>
    <cellStyle name="SAPBEXHLevel0X 3 5 2" xfId="47362" xr:uid="{00000000-0005-0000-0000-0000ABB90000}"/>
    <cellStyle name="SAPBEXHLevel0X 3 5 2 2" xfId="47363" xr:uid="{00000000-0005-0000-0000-0000ACB90000}"/>
    <cellStyle name="SAPBEXHLevel0X 3 5 3" xfId="47364" xr:uid="{00000000-0005-0000-0000-0000ADB90000}"/>
    <cellStyle name="SAPBEXHLevel0X 3 6" xfId="47365" xr:uid="{00000000-0005-0000-0000-0000AEB90000}"/>
    <cellStyle name="SAPBEXHLevel0X 3 6 2" xfId="47366" xr:uid="{00000000-0005-0000-0000-0000AFB90000}"/>
    <cellStyle name="SAPBEXHLevel0X 3 7" xfId="47367" xr:uid="{00000000-0005-0000-0000-0000B0B90000}"/>
    <cellStyle name="SAPBEXHLevel0X 4" xfId="47368" xr:uid="{00000000-0005-0000-0000-0000B1B90000}"/>
    <cellStyle name="SAPBEXHLevel0X 4 2" xfId="47369" xr:uid="{00000000-0005-0000-0000-0000B2B90000}"/>
    <cellStyle name="SAPBEXHLevel0X 4 2 2" xfId="47370" xr:uid="{00000000-0005-0000-0000-0000B3B90000}"/>
    <cellStyle name="SAPBEXHLevel0X 4 2 2 2" xfId="47371" xr:uid="{00000000-0005-0000-0000-0000B4B90000}"/>
    <cellStyle name="SAPBEXHLevel0X 4 2 2 2 2" xfId="47372" xr:uid="{00000000-0005-0000-0000-0000B5B90000}"/>
    <cellStyle name="SAPBEXHLevel0X 4 2 2 3" xfId="47373" xr:uid="{00000000-0005-0000-0000-0000B6B90000}"/>
    <cellStyle name="SAPBEXHLevel0X 4 2 3" xfId="47374" xr:uid="{00000000-0005-0000-0000-0000B7B90000}"/>
    <cellStyle name="SAPBEXHLevel0X 4 2 3 2" xfId="47375" xr:uid="{00000000-0005-0000-0000-0000B8B90000}"/>
    <cellStyle name="SAPBEXHLevel0X 4 2 3 2 2" xfId="47376" xr:uid="{00000000-0005-0000-0000-0000B9B90000}"/>
    <cellStyle name="SAPBEXHLevel0X 4 2 3 3" xfId="47377" xr:uid="{00000000-0005-0000-0000-0000BAB90000}"/>
    <cellStyle name="SAPBEXHLevel0X 4 2 4" xfId="47378" xr:uid="{00000000-0005-0000-0000-0000BBB90000}"/>
    <cellStyle name="SAPBEXHLevel0X 4 2 4 2" xfId="47379" xr:uid="{00000000-0005-0000-0000-0000BCB90000}"/>
    <cellStyle name="SAPBEXHLevel0X 4 2 4 2 2" xfId="47380" xr:uid="{00000000-0005-0000-0000-0000BDB90000}"/>
    <cellStyle name="SAPBEXHLevel0X 4 2 4 3" xfId="47381" xr:uid="{00000000-0005-0000-0000-0000BEB90000}"/>
    <cellStyle name="SAPBEXHLevel0X 4 2 5" xfId="47382" xr:uid="{00000000-0005-0000-0000-0000BFB90000}"/>
    <cellStyle name="SAPBEXHLevel0X 4 2 5 2" xfId="47383" xr:uid="{00000000-0005-0000-0000-0000C0B90000}"/>
    <cellStyle name="SAPBEXHLevel0X 4 2 6" xfId="47384" xr:uid="{00000000-0005-0000-0000-0000C1B90000}"/>
    <cellStyle name="SAPBEXHLevel0X 4 3" xfId="47385" xr:uid="{00000000-0005-0000-0000-0000C2B90000}"/>
    <cellStyle name="SAPBEXHLevel0X 4 3 2" xfId="47386" xr:uid="{00000000-0005-0000-0000-0000C3B90000}"/>
    <cellStyle name="SAPBEXHLevel0X 4 3 2 2" xfId="47387" xr:uid="{00000000-0005-0000-0000-0000C4B90000}"/>
    <cellStyle name="SAPBEXHLevel0X 4 3 2 2 2" xfId="47388" xr:uid="{00000000-0005-0000-0000-0000C5B90000}"/>
    <cellStyle name="SAPBEXHLevel0X 4 3 2 2 2 2" xfId="47389" xr:uid="{00000000-0005-0000-0000-0000C6B90000}"/>
    <cellStyle name="SAPBEXHLevel0X 4 3 2 2 3" xfId="47390" xr:uid="{00000000-0005-0000-0000-0000C7B90000}"/>
    <cellStyle name="SAPBEXHLevel0X 4 3 2 3" xfId="47391" xr:uid="{00000000-0005-0000-0000-0000C8B90000}"/>
    <cellStyle name="SAPBEXHLevel0X 4 3 2 3 2" xfId="47392" xr:uid="{00000000-0005-0000-0000-0000C9B90000}"/>
    <cellStyle name="SAPBEXHLevel0X 4 3 2 3 2 2" xfId="47393" xr:uid="{00000000-0005-0000-0000-0000CAB90000}"/>
    <cellStyle name="SAPBEXHLevel0X 4 3 2 3 3" xfId="47394" xr:uid="{00000000-0005-0000-0000-0000CBB90000}"/>
    <cellStyle name="SAPBEXHLevel0X 4 3 2 4" xfId="47395" xr:uid="{00000000-0005-0000-0000-0000CCB90000}"/>
    <cellStyle name="SAPBEXHLevel0X 4 3 2 4 2" xfId="47396" xr:uid="{00000000-0005-0000-0000-0000CDB90000}"/>
    <cellStyle name="SAPBEXHLevel0X 4 3 2 5" xfId="47397" xr:uid="{00000000-0005-0000-0000-0000CEB90000}"/>
    <cellStyle name="SAPBEXHLevel0X 4 3 3" xfId="47398" xr:uid="{00000000-0005-0000-0000-0000CFB90000}"/>
    <cellStyle name="SAPBEXHLevel0X 4 3 3 2" xfId="47399" xr:uid="{00000000-0005-0000-0000-0000D0B90000}"/>
    <cellStyle name="SAPBEXHLevel0X 4 3 3 2 2" xfId="47400" xr:uid="{00000000-0005-0000-0000-0000D1B90000}"/>
    <cellStyle name="SAPBEXHLevel0X 4 3 3 2 2 2" xfId="47401" xr:uid="{00000000-0005-0000-0000-0000D2B90000}"/>
    <cellStyle name="SAPBEXHLevel0X 4 3 3 2 3" xfId="47402" xr:uid="{00000000-0005-0000-0000-0000D3B90000}"/>
    <cellStyle name="SAPBEXHLevel0X 4 3 3 3" xfId="47403" xr:uid="{00000000-0005-0000-0000-0000D4B90000}"/>
    <cellStyle name="SAPBEXHLevel0X 4 3 3 3 2" xfId="47404" xr:uid="{00000000-0005-0000-0000-0000D5B90000}"/>
    <cellStyle name="SAPBEXHLevel0X 4 3 3 4" xfId="47405" xr:uid="{00000000-0005-0000-0000-0000D6B90000}"/>
    <cellStyle name="SAPBEXHLevel0X 4 3 4" xfId="47406" xr:uid="{00000000-0005-0000-0000-0000D7B90000}"/>
    <cellStyle name="SAPBEXHLevel0X 4 3 4 2" xfId="47407" xr:uid="{00000000-0005-0000-0000-0000D8B90000}"/>
    <cellStyle name="SAPBEXHLevel0X 4 3 4 2 2" xfId="47408" xr:uid="{00000000-0005-0000-0000-0000D9B90000}"/>
    <cellStyle name="SAPBEXHLevel0X 4 3 4 3" xfId="47409" xr:uid="{00000000-0005-0000-0000-0000DAB90000}"/>
    <cellStyle name="SAPBEXHLevel0X 4 3 5" xfId="47410" xr:uid="{00000000-0005-0000-0000-0000DBB90000}"/>
    <cellStyle name="SAPBEXHLevel0X 4 3 5 2" xfId="47411" xr:uid="{00000000-0005-0000-0000-0000DCB90000}"/>
    <cellStyle name="SAPBEXHLevel0X 4 3 5 2 2" xfId="47412" xr:uid="{00000000-0005-0000-0000-0000DDB90000}"/>
    <cellStyle name="SAPBEXHLevel0X 4 3 5 3" xfId="47413" xr:uid="{00000000-0005-0000-0000-0000DEB90000}"/>
    <cellStyle name="SAPBEXHLevel0X 4 3 6" xfId="47414" xr:uid="{00000000-0005-0000-0000-0000DFB90000}"/>
    <cellStyle name="SAPBEXHLevel0X 4 3 6 2" xfId="47415" xr:uid="{00000000-0005-0000-0000-0000E0B90000}"/>
    <cellStyle name="SAPBEXHLevel0X 4 3 7" xfId="47416" xr:uid="{00000000-0005-0000-0000-0000E1B90000}"/>
    <cellStyle name="SAPBEXHLevel0X 4 4" xfId="47417" xr:uid="{00000000-0005-0000-0000-0000E2B90000}"/>
    <cellStyle name="SAPBEXHLevel0X 4 4 2" xfId="47418" xr:uid="{00000000-0005-0000-0000-0000E3B90000}"/>
    <cellStyle name="SAPBEXHLevel0X 4 4 2 2" xfId="47419" xr:uid="{00000000-0005-0000-0000-0000E4B90000}"/>
    <cellStyle name="SAPBEXHLevel0X 4 4 2 2 2" xfId="47420" xr:uid="{00000000-0005-0000-0000-0000E5B90000}"/>
    <cellStyle name="SAPBEXHLevel0X 4 4 2 3" xfId="47421" xr:uid="{00000000-0005-0000-0000-0000E6B90000}"/>
    <cellStyle name="SAPBEXHLevel0X 4 4 3" xfId="47422" xr:uid="{00000000-0005-0000-0000-0000E7B90000}"/>
    <cellStyle name="SAPBEXHLevel0X 4 4 3 2" xfId="47423" xr:uid="{00000000-0005-0000-0000-0000E8B90000}"/>
    <cellStyle name="SAPBEXHLevel0X 4 4 4" xfId="47424" xr:uid="{00000000-0005-0000-0000-0000E9B90000}"/>
    <cellStyle name="SAPBEXHLevel0X 4 5" xfId="47425" xr:uid="{00000000-0005-0000-0000-0000EAB90000}"/>
    <cellStyle name="SAPBEXHLevel0X 4 5 2" xfId="47426" xr:uid="{00000000-0005-0000-0000-0000EBB90000}"/>
    <cellStyle name="SAPBEXHLevel0X 4 5 2 2" xfId="47427" xr:uid="{00000000-0005-0000-0000-0000ECB90000}"/>
    <cellStyle name="SAPBEXHLevel0X 4 5 3" xfId="47428" xr:uid="{00000000-0005-0000-0000-0000EDB90000}"/>
    <cellStyle name="SAPBEXHLevel0X 4 6" xfId="47429" xr:uid="{00000000-0005-0000-0000-0000EEB90000}"/>
    <cellStyle name="SAPBEXHLevel0X 4 6 2" xfId="47430" xr:uid="{00000000-0005-0000-0000-0000EFB90000}"/>
    <cellStyle name="SAPBEXHLevel0X 4 6 2 2" xfId="47431" xr:uid="{00000000-0005-0000-0000-0000F0B90000}"/>
    <cellStyle name="SAPBEXHLevel0X 4 6 3" xfId="47432" xr:uid="{00000000-0005-0000-0000-0000F1B90000}"/>
    <cellStyle name="SAPBEXHLevel0X 4 7" xfId="47433" xr:uid="{00000000-0005-0000-0000-0000F2B90000}"/>
    <cellStyle name="SAPBEXHLevel0X 4 7 2" xfId="47434" xr:uid="{00000000-0005-0000-0000-0000F3B90000}"/>
    <cellStyle name="SAPBEXHLevel0X 4 8" xfId="47435" xr:uid="{00000000-0005-0000-0000-0000F4B90000}"/>
    <cellStyle name="SAPBEXHLevel0X 5" xfId="47436" xr:uid="{00000000-0005-0000-0000-0000F5B90000}"/>
    <cellStyle name="SAPBEXHLevel0X 5 2" xfId="47437" xr:uid="{00000000-0005-0000-0000-0000F6B90000}"/>
    <cellStyle name="SAPBEXHLevel0X 5 2 2" xfId="47438" xr:uid="{00000000-0005-0000-0000-0000F7B90000}"/>
    <cellStyle name="SAPBEXHLevel0X 5 2 2 2" xfId="47439" xr:uid="{00000000-0005-0000-0000-0000F8B90000}"/>
    <cellStyle name="SAPBEXHLevel0X 5 2 3" xfId="47440" xr:uid="{00000000-0005-0000-0000-0000F9B90000}"/>
    <cellStyle name="SAPBEXHLevel0X 5 3" xfId="47441" xr:uid="{00000000-0005-0000-0000-0000FAB90000}"/>
    <cellStyle name="SAPBEXHLevel0X 5 3 2" xfId="47442" xr:uid="{00000000-0005-0000-0000-0000FBB90000}"/>
    <cellStyle name="SAPBEXHLevel0X 5 3 2 2" xfId="47443" xr:uid="{00000000-0005-0000-0000-0000FCB90000}"/>
    <cellStyle name="SAPBEXHLevel0X 5 3 3" xfId="47444" xr:uid="{00000000-0005-0000-0000-0000FDB90000}"/>
    <cellStyle name="SAPBEXHLevel0X 5 4" xfId="47445" xr:uid="{00000000-0005-0000-0000-0000FEB90000}"/>
    <cellStyle name="SAPBEXHLevel0X 5 4 2" xfId="47446" xr:uid="{00000000-0005-0000-0000-0000FFB90000}"/>
    <cellStyle name="SAPBEXHLevel0X 5 4 2 2" xfId="47447" xr:uid="{00000000-0005-0000-0000-000000BA0000}"/>
    <cellStyle name="SAPBEXHLevel0X 5 4 3" xfId="47448" xr:uid="{00000000-0005-0000-0000-000001BA0000}"/>
    <cellStyle name="SAPBEXHLevel0X 5 5" xfId="47449" xr:uid="{00000000-0005-0000-0000-000002BA0000}"/>
    <cellStyle name="SAPBEXHLevel0X 5 5 2" xfId="47450" xr:uid="{00000000-0005-0000-0000-000003BA0000}"/>
    <cellStyle name="SAPBEXHLevel0X 5 6" xfId="47451" xr:uid="{00000000-0005-0000-0000-000004BA0000}"/>
    <cellStyle name="SAPBEXHLevel0X 6" xfId="47452" xr:uid="{00000000-0005-0000-0000-000005BA0000}"/>
    <cellStyle name="SAPBEXHLevel0X 6 2" xfId="47453" xr:uid="{00000000-0005-0000-0000-000006BA0000}"/>
    <cellStyle name="SAPBEXHLevel0X 6 2 2" xfId="47454" xr:uid="{00000000-0005-0000-0000-000007BA0000}"/>
    <cellStyle name="SAPBEXHLevel0X 6 2 2 2" xfId="47455" xr:uid="{00000000-0005-0000-0000-000008BA0000}"/>
    <cellStyle name="SAPBEXHLevel0X 6 2 3" xfId="47456" xr:uid="{00000000-0005-0000-0000-000009BA0000}"/>
    <cellStyle name="SAPBEXHLevel0X 6 3" xfId="47457" xr:uid="{00000000-0005-0000-0000-00000ABA0000}"/>
    <cellStyle name="SAPBEXHLevel0X 6 3 2" xfId="47458" xr:uid="{00000000-0005-0000-0000-00000BBA0000}"/>
    <cellStyle name="SAPBEXHLevel0X 6 3 2 2" xfId="47459" xr:uid="{00000000-0005-0000-0000-00000CBA0000}"/>
    <cellStyle name="SAPBEXHLevel0X 6 3 3" xfId="47460" xr:uid="{00000000-0005-0000-0000-00000DBA0000}"/>
    <cellStyle name="SAPBEXHLevel0X 6 4" xfId="47461" xr:uid="{00000000-0005-0000-0000-00000EBA0000}"/>
    <cellStyle name="SAPBEXHLevel0X 6 4 2" xfId="47462" xr:uid="{00000000-0005-0000-0000-00000FBA0000}"/>
    <cellStyle name="SAPBEXHLevel0X 6 4 2 2" xfId="47463" xr:uid="{00000000-0005-0000-0000-000010BA0000}"/>
    <cellStyle name="SAPBEXHLevel0X 6 4 3" xfId="47464" xr:uid="{00000000-0005-0000-0000-000011BA0000}"/>
    <cellStyle name="SAPBEXHLevel0X 6 5" xfId="47465" xr:uid="{00000000-0005-0000-0000-000012BA0000}"/>
    <cellStyle name="SAPBEXHLevel0X 6 5 2" xfId="47466" xr:uid="{00000000-0005-0000-0000-000013BA0000}"/>
    <cellStyle name="SAPBEXHLevel0X 6 6" xfId="47467" xr:uid="{00000000-0005-0000-0000-000014BA0000}"/>
    <cellStyle name="SAPBEXHLevel0X 7" xfId="47468" xr:uid="{00000000-0005-0000-0000-000015BA0000}"/>
    <cellStyle name="SAPBEXHLevel0X 7 2" xfId="47469" xr:uid="{00000000-0005-0000-0000-000016BA0000}"/>
    <cellStyle name="SAPBEXHLevel0X 7 2 2" xfId="47470" xr:uid="{00000000-0005-0000-0000-000017BA0000}"/>
    <cellStyle name="SAPBEXHLevel0X 7 2 2 2" xfId="47471" xr:uid="{00000000-0005-0000-0000-000018BA0000}"/>
    <cellStyle name="SAPBEXHLevel0X 7 2 2 2 2" xfId="47472" xr:uid="{00000000-0005-0000-0000-000019BA0000}"/>
    <cellStyle name="SAPBEXHLevel0X 7 2 2 3" xfId="47473" xr:uid="{00000000-0005-0000-0000-00001ABA0000}"/>
    <cellStyle name="SAPBEXHLevel0X 7 2 3" xfId="47474" xr:uid="{00000000-0005-0000-0000-00001BBA0000}"/>
    <cellStyle name="SAPBEXHLevel0X 7 2 3 2" xfId="47475" xr:uid="{00000000-0005-0000-0000-00001CBA0000}"/>
    <cellStyle name="SAPBEXHLevel0X 7 2 3 2 2" xfId="47476" xr:uid="{00000000-0005-0000-0000-00001DBA0000}"/>
    <cellStyle name="SAPBEXHLevel0X 7 2 3 3" xfId="47477" xr:uid="{00000000-0005-0000-0000-00001EBA0000}"/>
    <cellStyle name="SAPBEXHLevel0X 7 2 4" xfId="47478" xr:uid="{00000000-0005-0000-0000-00001FBA0000}"/>
    <cellStyle name="SAPBEXHLevel0X 7 2 4 2" xfId="47479" xr:uid="{00000000-0005-0000-0000-000020BA0000}"/>
    <cellStyle name="SAPBEXHLevel0X 7 2 5" xfId="47480" xr:uid="{00000000-0005-0000-0000-000021BA0000}"/>
    <cellStyle name="SAPBEXHLevel0X 7 3" xfId="47481" xr:uid="{00000000-0005-0000-0000-000022BA0000}"/>
    <cellStyle name="SAPBEXHLevel0X 7 3 2" xfId="47482" xr:uid="{00000000-0005-0000-0000-000023BA0000}"/>
    <cellStyle name="SAPBEXHLevel0X 7 3 2 2" xfId="47483" xr:uid="{00000000-0005-0000-0000-000024BA0000}"/>
    <cellStyle name="SAPBEXHLevel0X 7 3 2 2 2" xfId="47484" xr:uid="{00000000-0005-0000-0000-000025BA0000}"/>
    <cellStyle name="SAPBEXHLevel0X 7 3 2 3" xfId="47485" xr:uid="{00000000-0005-0000-0000-000026BA0000}"/>
    <cellStyle name="SAPBEXHLevel0X 7 3 3" xfId="47486" xr:uid="{00000000-0005-0000-0000-000027BA0000}"/>
    <cellStyle name="SAPBEXHLevel0X 7 3 3 2" xfId="47487" xr:uid="{00000000-0005-0000-0000-000028BA0000}"/>
    <cellStyle name="SAPBEXHLevel0X 7 3 4" xfId="47488" xr:uid="{00000000-0005-0000-0000-000029BA0000}"/>
    <cellStyle name="SAPBEXHLevel0X 7 4" xfId="47489" xr:uid="{00000000-0005-0000-0000-00002ABA0000}"/>
    <cellStyle name="SAPBEXHLevel0X 7 4 2" xfId="47490" xr:uid="{00000000-0005-0000-0000-00002BBA0000}"/>
    <cellStyle name="SAPBEXHLevel0X 7 4 2 2" xfId="47491" xr:uid="{00000000-0005-0000-0000-00002CBA0000}"/>
    <cellStyle name="SAPBEXHLevel0X 7 4 3" xfId="47492" xr:uid="{00000000-0005-0000-0000-00002DBA0000}"/>
    <cellStyle name="SAPBEXHLevel0X 7 5" xfId="47493" xr:uid="{00000000-0005-0000-0000-00002EBA0000}"/>
    <cellStyle name="SAPBEXHLevel0X 7 5 2" xfId="47494" xr:uid="{00000000-0005-0000-0000-00002FBA0000}"/>
    <cellStyle name="SAPBEXHLevel0X 7 5 2 2" xfId="47495" xr:uid="{00000000-0005-0000-0000-000030BA0000}"/>
    <cellStyle name="SAPBEXHLevel0X 7 5 3" xfId="47496" xr:uid="{00000000-0005-0000-0000-000031BA0000}"/>
    <cellStyle name="SAPBEXHLevel0X 7 6" xfId="47497" xr:uid="{00000000-0005-0000-0000-000032BA0000}"/>
    <cellStyle name="SAPBEXHLevel0X 7 6 2" xfId="47498" xr:uid="{00000000-0005-0000-0000-000033BA0000}"/>
    <cellStyle name="SAPBEXHLevel0X 7 7" xfId="47499" xr:uid="{00000000-0005-0000-0000-000034BA0000}"/>
    <cellStyle name="SAPBEXHLevel0X 8" xfId="47500" xr:uid="{00000000-0005-0000-0000-000035BA0000}"/>
    <cellStyle name="SAPBEXHLevel0X 8 2" xfId="47501" xr:uid="{00000000-0005-0000-0000-000036BA0000}"/>
    <cellStyle name="SAPBEXHLevel0X 8 2 2" xfId="47502" xr:uid="{00000000-0005-0000-0000-000037BA0000}"/>
    <cellStyle name="SAPBEXHLevel0X 8 2 2 2" xfId="47503" xr:uid="{00000000-0005-0000-0000-000038BA0000}"/>
    <cellStyle name="SAPBEXHLevel0X 8 2 3" xfId="47504" xr:uid="{00000000-0005-0000-0000-000039BA0000}"/>
    <cellStyle name="SAPBEXHLevel0X 8 3" xfId="47505" xr:uid="{00000000-0005-0000-0000-00003ABA0000}"/>
    <cellStyle name="SAPBEXHLevel0X 8 3 2" xfId="47506" xr:uid="{00000000-0005-0000-0000-00003BBA0000}"/>
    <cellStyle name="SAPBEXHLevel0X 8 3 2 2" xfId="47507" xr:uid="{00000000-0005-0000-0000-00003CBA0000}"/>
    <cellStyle name="SAPBEXHLevel0X 8 3 3" xfId="47508" xr:uid="{00000000-0005-0000-0000-00003DBA0000}"/>
    <cellStyle name="SAPBEXHLevel0X 8 4" xfId="47509" xr:uid="{00000000-0005-0000-0000-00003EBA0000}"/>
    <cellStyle name="SAPBEXHLevel0X 8 4 2" xfId="47510" xr:uid="{00000000-0005-0000-0000-00003FBA0000}"/>
    <cellStyle name="SAPBEXHLevel0X 8 5" xfId="47511" xr:uid="{00000000-0005-0000-0000-000040BA0000}"/>
    <cellStyle name="SAPBEXHLevel0X 9" xfId="47512" xr:uid="{00000000-0005-0000-0000-000041BA0000}"/>
    <cellStyle name="SAPBEXHLevel0X 9 2" xfId="47513" xr:uid="{00000000-0005-0000-0000-000042BA0000}"/>
    <cellStyle name="SAPBEXHLevel0X 9 2 2" xfId="47514" xr:uid="{00000000-0005-0000-0000-000043BA0000}"/>
    <cellStyle name="SAPBEXHLevel0X 9 2 2 2" xfId="47515" xr:uid="{00000000-0005-0000-0000-000044BA0000}"/>
    <cellStyle name="SAPBEXHLevel0X 9 2 2 2 2" xfId="47516" xr:uid="{00000000-0005-0000-0000-000045BA0000}"/>
    <cellStyle name="SAPBEXHLevel0X 9 2 2 3" xfId="47517" xr:uid="{00000000-0005-0000-0000-000046BA0000}"/>
    <cellStyle name="SAPBEXHLevel0X 9 2 3" xfId="47518" xr:uid="{00000000-0005-0000-0000-000047BA0000}"/>
    <cellStyle name="SAPBEXHLevel0X 9 2 3 2" xfId="47519" xr:uid="{00000000-0005-0000-0000-000048BA0000}"/>
    <cellStyle name="SAPBEXHLevel0X 9 2 4" xfId="47520" xr:uid="{00000000-0005-0000-0000-000049BA0000}"/>
    <cellStyle name="SAPBEXHLevel0X 9 3" xfId="47521" xr:uid="{00000000-0005-0000-0000-00004ABA0000}"/>
    <cellStyle name="SAPBEXHLevel0X 9 3 2" xfId="47522" xr:uid="{00000000-0005-0000-0000-00004BBA0000}"/>
    <cellStyle name="SAPBEXHLevel0X 9 3 2 2" xfId="47523" xr:uid="{00000000-0005-0000-0000-00004CBA0000}"/>
    <cellStyle name="SAPBEXHLevel0X 9 3 2 2 2" xfId="47524" xr:uid="{00000000-0005-0000-0000-00004DBA0000}"/>
    <cellStyle name="SAPBEXHLevel0X 9 3 2 2 2 2" xfId="47525" xr:uid="{00000000-0005-0000-0000-00004EBA0000}"/>
    <cellStyle name="SAPBEXHLevel0X 9 3 2 2 3" xfId="47526" xr:uid="{00000000-0005-0000-0000-00004FBA0000}"/>
    <cellStyle name="SAPBEXHLevel0X 9 3 2 3" xfId="47527" xr:uid="{00000000-0005-0000-0000-000050BA0000}"/>
    <cellStyle name="SAPBEXHLevel0X 9 3 2 3 2" xfId="47528" xr:uid="{00000000-0005-0000-0000-000051BA0000}"/>
    <cellStyle name="SAPBEXHLevel0X 9 3 2 4" xfId="47529" xr:uid="{00000000-0005-0000-0000-000052BA0000}"/>
    <cellStyle name="SAPBEXHLevel0X 9 3 3" xfId="47530" xr:uid="{00000000-0005-0000-0000-000053BA0000}"/>
    <cellStyle name="SAPBEXHLevel0X 9 3 3 2" xfId="47531" xr:uid="{00000000-0005-0000-0000-000054BA0000}"/>
    <cellStyle name="SAPBEXHLevel0X 9 3 3 2 2" xfId="47532" xr:uid="{00000000-0005-0000-0000-000055BA0000}"/>
    <cellStyle name="SAPBEXHLevel0X 9 3 3 3" xfId="47533" xr:uid="{00000000-0005-0000-0000-000056BA0000}"/>
    <cellStyle name="SAPBEXHLevel0X 9 3 4" xfId="47534" xr:uid="{00000000-0005-0000-0000-000057BA0000}"/>
    <cellStyle name="SAPBEXHLevel0X 9 3 4 2" xfId="47535" xr:uid="{00000000-0005-0000-0000-000058BA0000}"/>
    <cellStyle name="SAPBEXHLevel0X 9 3 5" xfId="47536" xr:uid="{00000000-0005-0000-0000-000059BA0000}"/>
    <cellStyle name="SAPBEXHLevel0X 9 4" xfId="47537" xr:uid="{00000000-0005-0000-0000-00005ABA0000}"/>
    <cellStyle name="SAPBEXHLevel0X 9 4 2" xfId="47538" xr:uid="{00000000-0005-0000-0000-00005BBA0000}"/>
    <cellStyle name="SAPBEXHLevel0X 9 4 2 2" xfId="47539" xr:uid="{00000000-0005-0000-0000-00005CBA0000}"/>
    <cellStyle name="SAPBEXHLevel0X 9 4 3" xfId="47540" xr:uid="{00000000-0005-0000-0000-00005DBA0000}"/>
    <cellStyle name="SAPBEXHLevel0X 9 5" xfId="47541" xr:uid="{00000000-0005-0000-0000-00005EBA0000}"/>
    <cellStyle name="SAPBEXHLevel0X 9 5 2" xfId="47542" xr:uid="{00000000-0005-0000-0000-00005FBA0000}"/>
    <cellStyle name="SAPBEXHLevel0X 9 5 2 2" xfId="47543" xr:uid="{00000000-0005-0000-0000-000060BA0000}"/>
    <cellStyle name="SAPBEXHLevel0X 9 5 3" xfId="47544" xr:uid="{00000000-0005-0000-0000-000061BA0000}"/>
    <cellStyle name="SAPBEXHLevel0X 9 6" xfId="47545" xr:uid="{00000000-0005-0000-0000-000062BA0000}"/>
    <cellStyle name="SAPBEXHLevel0X 9 6 2" xfId="47546" xr:uid="{00000000-0005-0000-0000-000063BA0000}"/>
    <cellStyle name="SAPBEXHLevel0X 9 7" xfId="47547" xr:uid="{00000000-0005-0000-0000-000064BA0000}"/>
    <cellStyle name="SAPBEXHLevel1" xfId="62" xr:uid="{00000000-0005-0000-0000-000065BA0000}"/>
    <cellStyle name="SAPBEXHLevel1 10" xfId="47548" xr:uid="{00000000-0005-0000-0000-000066BA0000}"/>
    <cellStyle name="SAPBEXHLevel1 10 2" xfId="47549" xr:uid="{00000000-0005-0000-0000-000067BA0000}"/>
    <cellStyle name="SAPBEXHLevel1 10 2 2" xfId="47550" xr:uid="{00000000-0005-0000-0000-000068BA0000}"/>
    <cellStyle name="SAPBEXHLevel1 10 3" xfId="47551" xr:uid="{00000000-0005-0000-0000-000069BA0000}"/>
    <cellStyle name="SAPBEXHLevel1 11" xfId="47552" xr:uid="{00000000-0005-0000-0000-00006ABA0000}"/>
    <cellStyle name="SAPBEXHLevel1 11 2" xfId="47553" xr:uid="{00000000-0005-0000-0000-00006BBA0000}"/>
    <cellStyle name="SAPBEXHLevel1 12" xfId="47554" xr:uid="{00000000-0005-0000-0000-00006CBA0000}"/>
    <cellStyle name="SAPBEXHLevel1 12 2" xfId="47555" xr:uid="{00000000-0005-0000-0000-00006DBA0000}"/>
    <cellStyle name="SAPBEXHLevel1 12 2 2" xfId="47556" xr:uid="{00000000-0005-0000-0000-00006EBA0000}"/>
    <cellStyle name="SAPBEXHLevel1 12 3" xfId="47557" xr:uid="{00000000-0005-0000-0000-00006FBA0000}"/>
    <cellStyle name="SAPBEXHLevel1 12 3 2" xfId="47558" xr:uid="{00000000-0005-0000-0000-000070BA0000}"/>
    <cellStyle name="SAPBEXHLevel1 12 4" xfId="47559" xr:uid="{00000000-0005-0000-0000-000071BA0000}"/>
    <cellStyle name="SAPBEXHLevel1 13" xfId="47560" xr:uid="{00000000-0005-0000-0000-000072BA0000}"/>
    <cellStyle name="SAPBEXHLevel1 13 2" xfId="47561" xr:uid="{00000000-0005-0000-0000-000073BA0000}"/>
    <cellStyle name="SAPBEXHLevel1 14" xfId="47562" xr:uid="{00000000-0005-0000-0000-000074BA0000}"/>
    <cellStyle name="SAPBEXHLevel1 14 2" xfId="47563" xr:uid="{00000000-0005-0000-0000-000075BA0000}"/>
    <cellStyle name="SAPBEXHLevel1 14 3" xfId="47564" xr:uid="{00000000-0005-0000-0000-000076BA0000}"/>
    <cellStyle name="SAPBEXHLevel1 15" xfId="47565" xr:uid="{00000000-0005-0000-0000-000077BA0000}"/>
    <cellStyle name="SAPBEXHLevel1 15 2" xfId="47566" xr:uid="{00000000-0005-0000-0000-000078BA0000}"/>
    <cellStyle name="SAPBEXHLevel1 16" xfId="47567" xr:uid="{00000000-0005-0000-0000-000079BA0000}"/>
    <cellStyle name="SAPBEXHLevel1 16 2" xfId="47568" xr:uid="{00000000-0005-0000-0000-00007ABA0000}"/>
    <cellStyle name="SAPBEXHLevel1 17" xfId="47569" xr:uid="{00000000-0005-0000-0000-00007BBA0000}"/>
    <cellStyle name="SAPBEXHLevel1 18" xfId="47570" xr:uid="{00000000-0005-0000-0000-00007CBA0000}"/>
    <cellStyle name="SAPBEXHLevel1 2" xfId="86" xr:uid="{00000000-0005-0000-0000-00007DBA0000}"/>
    <cellStyle name="SAPBEXHLevel1 2 10" xfId="47571" xr:uid="{00000000-0005-0000-0000-00007EBA0000}"/>
    <cellStyle name="SAPBEXHLevel1 2 2" xfId="47572" xr:uid="{00000000-0005-0000-0000-00007FBA0000}"/>
    <cellStyle name="SAPBEXHLevel1 2 2 2" xfId="47573" xr:uid="{00000000-0005-0000-0000-000080BA0000}"/>
    <cellStyle name="SAPBEXHLevel1 2 2 2 2" xfId="47574" xr:uid="{00000000-0005-0000-0000-000081BA0000}"/>
    <cellStyle name="SAPBEXHLevel1 2 2 2 2 2" xfId="47575" xr:uid="{00000000-0005-0000-0000-000082BA0000}"/>
    <cellStyle name="SAPBEXHLevel1 2 2 2 3" xfId="47576" xr:uid="{00000000-0005-0000-0000-000083BA0000}"/>
    <cellStyle name="SAPBEXHLevel1 2 2 3" xfId="47577" xr:uid="{00000000-0005-0000-0000-000084BA0000}"/>
    <cellStyle name="SAPBEXHLevel1 2 2 3 2" xfId="47578" xr:uid="{00000000-0005-0000-0000-000085BA0000}"/>
    <cellStyle name="SAPBEXHLevel1 2 2 3 2 2" xfId="47579" xr:uid="{00000000-0005-0000-0000-000086BA0000}"/>
    <cellStyle name="SAPBEXHLevel1 2 2 3 3" xfId="47580" xr:uid="{00000000-0005-0000-0000-000087BA0000}"/>
    <cellStyle name="SAPBEXHLevel1 2 2 4" xfId="47581" xr:uid="{00000000-0005-0000-0000-000088BA0000}"/>
    <cellStyle name="SAPBEXHLevel1 2 2 4 2" xfId="47582" xr:uid="{00000000-0005-0000-0000-000089BA0000}"/>
    <cellStyle name="SAPBEXHLevel1 2 2 4 2 2" xfId="47583" xr:uid="{00000000-0005-0000-0000-00008ABA0000}"/>
    <cellStyle name="SAPBEXHLevel1 2 2 4 3" xfId="47584" xr:uid="{00000000-0005-0000-0000-00008BBA0000}"/>
    <cellStyle name="SAPBEXHLevel1 2 2 5" xfId="47585" xr:uid="{00000000-0005-0000-0000-00008CBA0000}"/>
    <cellStyle name="SAPBEXHLevel1 2 2 5 2" xfId="47586" xr:uid="{00000000-0005-0000-0000-00008DBA0000}"/>
    <cellStyle name="SAPBEXHLevel1 2 2 6" xfId="47587" xr:uid="{00000000-0005-0000-0000-00008EBA0000}"/>
    <cellStyle name="SAPBEXHLevel1 2 3" xfId="47588" xr:uid="{00000000-0005-0000-0000-00008FBA0000}"/>
    <cellStyle name="SAPBEXHLevel1 2 3 2" xfId="47589" xr:uid="{00000000-0005-0000-0000-000090BA0000}"/>
    <cellStyle name="SAPBEXHLevel1 2 3 2 2" xfId="47590" xr:uid="{00000000-0005-0000-0000-000091BA0000}"/>
    <cellStyle name="SAPBEXHLevel1 2 3 2 2 2" xfId="47591" xr:uid="{00000000-0005-0000-0000-000092BA0000}"/>
    <cellStyle name="SAPBEXHLevel1 2 3 2 2 2 2" xfId="47592" xr:uid="{00000000-0005-0000-0000-000093BA0000}"/>
    <cellStyle name="SAPBEXHLevel1 2 3 2 2 3" xfId="47593" xr:uid="{00000000-0005-0000-0000-000094BA0000}"/>
    <cellStyle name="SAPBEXHLevel1 2 3 2 3" xfId="47594" xr:uid="{00000000-0005-0000-0000-000095BA0000}"/>
    <cellStyle name="SAPBEXHLevel1 2 3 2 3 2" xfId="47595" xr:uid="{00000000-0005-0000-0000-000096BA0000}"/>
    <cellStyle name="SAPBEXHLevel1 2 3 2 3 2 2" xfId="47596" xr:uid="{00000000-0005-0000-0000-000097BA0000}"/>
    <cellStyle name="SAPBEXHLevel1 2 3 2 3 3" xfId="47597" xr:uid="{00000000-0005-0000-0000-000098BA0000}"/>
    <cellStyle name="SAPBEXHLevel1 2 3 2 4" xfId="47598" xr:uid="{00000000-0005-0000-0000-000099BA0000}"/>
    <cellStyle name="SAPBEXHLevel1 2 3 2 4 2" xfId="47599" xr:uid="{00000000-0005-0000-0000-00009ABA0000}"/>
    <cellStyle name="SAPBEXHLevel1 2 3 2 5" xfId="47600" xr:uid="{00000000-0005-0000-0000-00009BBA0000}"/>
    <cellStyle name="SAPBEXHLevel1 2 3 3" xfId="47601" xr:uid="{00000000-0005-0000-0000-00009CBA0000}"/>
    <cellStyle name="SAPBEXHLevel1 2 3 3 2" xfId="47602" xr:uid="{00000000-0005-0000-0000-00009DBA0000}"/>
    <cellStyle name="SAPBEXHLevel1 2 3 3 2 2" xfId="47603" xr:uid="{00000000-0005-0000-0000-00009EBA0000}"/>
    <cellStyle name="SAPBEXHLevel1 2 3 3 2 2 2" xfId="47604" xr:uid="{00000000-0005-0000-0000-00009FBA0000}"/>
    <cellStyle name="SAPBEXHLevel1 2 3 3 2 3" xfId="47605" xr:uid="{00000000-0005-0000-0000-0000A0BA0000}"/>
    <cellStyle name="SAPBEXHLevel1 2 3 3 3" xfId="47606" xr:uid="{00000000-0005-0000-0000-0000A1BA0000}"/>
    <cellStyle name="SAPBEXHLevel1 2 3 3 3 2" xfId="47607" xr:uid="{00000000-0005-0000-0000-0000A2BA0000}"/>
    <cellStyle name="SAPBEXHLevel1 2 3 3 4" xfId="47608" xr:uid="{00000000-0005-0000-0000-0000A3BA0000}"/>
    <cellStyle name="SAPBEXHLevel1 2 3 4" xfId="47609" xr:uid="{00000000-0005-0000-0000-0000A4BA0000}"/>
    <cellStyle name="SAPBEXHLevel1 2 3 4 2" xfId="47610" xr:uid="{00000000-0005-0000-0000-0000A5BA0000}"/>
    <cellStyle name="SAPBEXHLevel1 2 3 4 2 2" xfId="47611" xr:uid="{00000000-0005-0000-0000-0000A6BA0000}"/>
    <cellStyle name="SAPBEXHLevel1 2 3 4 3" xfId="47612" xr:uid="{00000000-0005-0000-0000-0000A7BA0000}"/>
    <cellStyle name="SAPBEXHLevel1 2 3 5" xfId="47613" xr:uid="{00000000-0005-0000-0000-0000A8BA0000}"/>
    <cellStyle name="SAPBEXHLevel1 2 3 5 2" xfId="47614" xr:uid="{00000000-0005-0000-0000-0000A9BA0000}"/>
    <cellStyle name="SAPBEXHLevel1 2 3 5 2 2" xfId="47615" xr:uid="{00000000-0005-0000-0000-0000AABA0000}"/>
    <cellStyle name="SAPBEXHLevel1 2 3 5 3" xfId="47616" xr:uid="{00000000-0005-0000-0000-0000ABBA0000}"/>
    <cellStyle name="SAPBEXHLevel1 2 3 6" xfId="47617" xr:uid="{00000000-0005-0000-0000-0000ACBA0000}"/>
    <cellStyle name="SAPBEXHLevel1 2 3 6 2" xfId="47618" xr:uid="{00000000-0005-0000-0000-0000ADBA0000}"/>
    <cellStyle name="SAPBEXHLevel1 2 3 7" xfId="47619" xr:uid="{00000000-0005-0000-0000-0000AEBA0000}"/>
    <cellStyle name="SAPBEXHLevel1 2 4" xfId="47620" xr:uid="{00000000-0005-0000-0000-0000AFBA0000}"/>
    <cellStyle name="SAPBEXHLevel1 2 4 2" xfId="47621" xr:uid="{00000000-0005-0000-0000-0000B0BA0000}"/>
    <cellStyle name="SAPBEXHLevel1 2 4 2 2" xfId="47622" xr:uid="{00000000-0005-0000-0000-0000B1BA0000}"/>
    <cellStyle name="SAPBEXHLevel1 2 4 2 2 2" xfId="47623" xr:uid="{00000000-0005-0000-0000-0000B2BA0000}"/>
    <cellStyle name="SAPBEXHLevel1 2 4 2 2 2 2" xfId="47624" xr:uid="{00000000-0005-0000-0000-0000B3BA0000}"/>
    <cellStyle name="SAPBEXHLevel1 2 4 2 2 2 2 2" xfId="47625" xr:uid="{00000000-0005-0000-0000-0000B4BA0000}"/>
    <cellStyle name="SAPBEXHLevel1 2 4 2 2 2 2 2 2" xfId="47626" xr:uid="{00000000-0005-0000-0000-0000B5BA0000}"/>
    <cellStyle name="SAPBEXHLevel1 2 4 2 2 2 2 3" xfId="47627" xr:uid="{00000000-0005-0000-0000-0000B6BA0000}"/>
    <cellStyle name="SAPBEXHLevel1 2 4 2 2 2 3" xfId="47628" xr:uid="{00000000-0005-0000-0000-0000B7BA0000}"/>
    <cellStyle name="SAPBEXHLevel1 2 4 2 2 2 3 2" xfId="47629" xr:uid="{00000000-0005-0000-0000-0000B8BA0000}"/>
    <cellStyle name="SAPBEXHLevel1 2 4 2 2 2 4" xfId="47630" xr:uid="{00000000-0005-0000-0000-0000B9BA0000}"/>
    <cellStyle name="SAPBEXHLevel1 2 4 2 2 3" xfId="47631" xr:uid="{00000000-0005-0000-0000-0000BABA0000}"/>
    <cellStyle name="SAPBEXHLevel1 2 4 2 2 3 2" xfId="47632" xr:uid="{00000000-0005-0000-0000-0000BBBA0000}"/>
    <cellStyle name="SAPBEXHLevel1 2 4 2 2 3 2 2" xfId="47633" xr:uid="{00000000-0005-0000-0000-0000BCBA0000}"/>
    <cellStyle name="SAPBEXHLevel1 2 4 2 2 3 3" xfId="47634" xr:uid="{00000000-0005-0000-0000-0000BDBA0000}"/>
    <cellStyle name="SAPBEXHLevel1 2 4 2 2 4" xfId="47635" xr:uid="{00000000-0005-0000-0000-0000BEBA0000}"/>
    <cellStyle name="SAPBEXHLevel1 2 4 2 2 4 2" xfId="47636" xr:uid="{00000000-0005-0000-0000-0000BFBA0000}"/>
    <cellStyle name="SAPBEXHLevel1 2 4 2 2 5" xfId="47637" xr:uid="{00000000-0005-0000-0000-0000C0BA0000}"/>
    <cellStyle name="SAPBEXHLevel1 2 4 2 3" xfId="47638" xr:uid="{00000000-0005-0000-0000-0000C1BA0000}"/>
    <cellStyle name="SAPBEXHLevel1 2 4 2 3 2" xfId="47639" xr:uid="{00000000-0005-0000-0000-0000C2BA0000}"/>
    <cellStyle name="SAPBEXHLevel1 2 4 2 3 2 2" xfId="47640" xr:uid="{00000000-0005-0000-0000-0000C3BA0000}"/>
    <cellStyle name="SAPBEXHLevel1 2 4 2 3 3" xfId="47641" xr:uid="{00000000-0005-0000-0000-0000C4BA0000}"/>
    <cellStyle name="SAPBEXHLevel1 2 4 2 4" xfId="47642" xr:uid="{00000000-0005-0000-0000-0000C5BA0000}"/>
    <cellStyle name="SAPBEXHLevel1 2 4 2 4 2" xfId="47643" xr:uid="{00000000-0005-0000-0000-0000C6BA0000}"/>
    <cellStyle name="SAPBEXHLevel1 2 4 2 4 2 2" xfId="47644" xr:uid="{00000000-0005-0000-0000-0000C7BA0000}"/>
    <cellStyle name="SAPBEXHLevel1 2 4 2 4 2 2 2" xfId="47645" xr:uid="{00000000-0005-0000-0000-0000C8BA0000}"/>
    <cellStyle name="SAPBEXHLevel1 2 4 2 4 2 3" xfId="47646" xr:uid="{00000000-0005-0000-0000-0000C9BA0000}"/>
    <cellStyle name="SAPBEXHLevel1 2 4 2 4 3" xfId="47647" xr:uid="{00000000-0005-0000-0000-0000CABA0000}"/>
    <cellStyle name="SAPBEXHLevel1 2 4 2 4 3 2" xfId="47648" xr:uid="{00000000-0005-0000-0000-0000CBBA0000}"/>
    <cellStyle name="SAPBEXHLevel1 2 4 2 4 4" xfId="47649" xr:uid="{00000000-0005-0000-0000-0000CCBA0000}"/>
    <cellStyle name="SAPBEXHLevel1 2 4 2 5" xfId="47650" xr:uid="{00000000-0005-0000-0000-0000CDBA0000}"/>
    <cellStyle name="SAPBEXHLevel1 2 4 2 5 2" xfId="47651" xr:uid="{00000000-0005-0000-0000-0000CEBA0000}"/>
    <cellStyle name="SAPBEXHLevel1 2 4 2 5 2 2" xfId="47652" xr:uid="{00000000-0005-0000-0000-0000CFBA0000}"/>
    <cellStyle name="SAPBEXHLevel1 2 4 2 5 3" xfId="47653" xr:uid="{00000000-0005-0000-0000-0000D0BA0000}"/>
    <cellStyle name="SAPBEXHLevel1 2 4 2 6" xfId="47654" xr:uid="{00000000-0005-0000-0000-0000D1BA0000}"/>
    <cellStyle name="SAPBEXHLevel1 2 4 2 6 2" xfId="47655" xr:uid="{00000000-0005-0000-0000-0000D2BA0000}"/>
    <cellStyle name="SAPBEXHLevel1 2 4 2 7" xfId="47656" xr:uid="{00000000-0005-0000-0000-0000D3BA0000}"/>
    <cellStyle name="SAPBEXHLevel1 2 4 3" xfId="47657" xr:uid="{00000000-0005-0000-0000-0000D4BA0000}"/>
    <cellStyle name="SAPBEXHLevel1 2 4 3 2" xfId="47658" xr:uid="{00000000-0005-0000-0000-0000D5BA0000}"/>
    <cellStyle name="SAPBEXHLevel1 2 4 3 2 2" xfId="47659" xr:uid="{00000000-0005-0000-0000-0000D6BA0000}"/>
    <cellStyle name="SAPBEXHLevel1 2 4 3 2 2 2" xfId="47660" xr:uid="{00000000-0005-0000-0000-0000D7BA0000}"/>
    <cellStyle name="SAPBEXHLevel1 2 4 3 2 2 2 2" xfId="47661" xr:uid="{00000000-0005-0000-0000-0000D8BA0000}"/>
    <cellStyle name="SAPBEXHLevel1 2 4 3 2 2 2 2 2" xfId="47662" xr:uid="{00000000-0005-0000-0000-0000D9BA0000}"/>
    <cellStyle name="SAPBEXHLevel1 2 4 3 2 2 2 3" xfId="47663" xr:uid="{00000000-0005-0000-0000-0000DABA0000}"/>
    <cellStyle name="SAPBEXHLevel1 2 4 3 2 2 3" xfId="47664" xr:uid="{00000000-0005-0000-0000-0000DBBA0000}"/>
    <cellStyle name="SAPBEXHLevel1 2 4 3 2 2 3 2" xfId="47665" xr:uid="{00000000-0005-0000-0000-0000DCBA0000}"/>
    <cellStyle name="SAPBEXHLevel1 2 4 3 2 2 4" xfId="47666" xr:uid="{00000000-0005-0000-0000-0000DDBA0000}"/>
    <cellStyle name="SAPBEXHLevel1 2 4 3 2 3" xfId="47667" xr:uid="{00000000-0005-0000-0000-0000DEBA0000}"/>
    <cellStyle name="SAPBEXHLevel1 2 4 3 2 3 2" xfId="47668" xr:uid="{00000000-0005-0000-0000-0000DFBA0000}"/>
    <cellStyle name="SAPBEXHLevel1 2 4 3 2 3 2 2" xfId="47669" xr:uid="{00000000-0005-0000-0000-0000E0BA0000}"/>
    <cellStyle name="SAPBEXHLevel1 2 4 3 2 3 3" xfId="47670" xr:uid="{00000000-0005-0000-0000-0000E1BA0000}"/>
    <cellStyle name="SAPBEXHLevel1 2 4 3 2 4" xfId="47671" xr:uid="{00000000-0005-0000-0000-0000E2BA0000}"/>
    <cellStyle name="SAPBEXHLevel1 2 4 3 2 4 2" xfId="47672" xr:uid="{00000000-0005-0000-0000-0000E3BA0000}"/>
    <cellStyle name="SAPBEXHLevel1 2 4 3 2 5" xfId="47673" xr:uid="{00000000-0005-0000-0000-0000E4BA0000}"/>
    <cellStyle name="SAPBEXHLevel1 2 4 3 3" xfId="47674" xr:uid="{00000000-0005-0000-0000-0000E5BA0000}"/>
    <cellStyle name="SAPBEXHLevel1 2 4 3 3 2" xfId="47675" xr:uid="{00000000-0005-0000-0000-0000E6BA0000}"/>
    <cellStyle name="SAPBEXHLevel1 2 4 3 3 2 2" xfId="47676" xr:uid="{00000000-0005-0000-0000-0000E7BA0000}"/>
    <cellStyle name="SAPBEXHLevel1 2 4 3 3 2 2 2" xfId="47677" xr:uid="{00000000-0005-0000-0000-0000E8BA0000}"/>
    <cellStyle name="SAPBEXHLevel1 2 4 3 3 2 3" xfId="47678" xr:uid="{00000000-0005-0000-0000-0000E9BA0000}"/>
    <cellStyle name="SAPBEXHLevel1 2 4 3 3 3" xfId="47679" xr:uid="{00000000-0005-0000-0000-0000EABA0000}"/>
    <cellStyle name="SAPBEXHLevel1 2 4 3 3 3 2" xfId="47680" xr:uid="{00000000-0005-0000-0000-0000EBBA0000}"/>
    <cellStyle name="SAPBEXHLevel1 2 4 3 3 4" xfId="47681" xr:uid="{00000000-0005-0000-0000-0000ECBA0000}"/>
    <cellStyle name="SAPBEXHLevel1 2 4 3 4" xfId="47682" xr:uid="{00000000-0005-0000-0000-0000EDBA0000}"/>
    <cellStyle name="SAPBEXHLevel1 2 4 3 4 2" xfId="47683" xr:uid="{00000000-0005-0000-0000-0000EEBA0000}"/>
    <cellStyle name="SAPBEXHLevel1 2 4 3 4 2 2" xfId="47684" xr:uid="{00000000-0005-0000-0000-0000EFBA0000}"/>
    <cellStyle name="SAPBEXHLevel1 2 4 3 4 3" xfId="47685" xr:uid="{00000000-0005-0000-0000-0000F0BA0000}"/>
    <cellStyle name="SAPBEXHLevel1 2 4 3 5" xfId="47686" xr:uid="{00000000-0005-0000-0000-0000F1BA0000}"/>
    <cellStyle name="SAPBEXHLevel1 2 4 3 5 2" xfId="47687" xr:uid="{00000000-0005-0000-0000-0000F2BA0000}"/>
    <cellStyle name="SAPBEXHLevel1 2 4 3 6" xfId="47688" xr:uid="{00000000-0005-0000-0000-0000F3BA0000}"/>
    <cellStyle name="SAPBEXHLevel1 2 4 4" xfId="47689" xr:uid="{00000000-0005-0000-0000-0000F4BA0000}"/>
    <cellStyle name="SAPBEXHLevel1 2 4 4 2" xfId="47690" xr:uid="{00000000-0005-0000-0000-0000F5BA0000}"/>
    <cellStyle name="SAPBEXHLevel1 2 4 4 2 2" xfId="47691" xr:uid="{00000000-0005-0000-0000-0000F6BA0000}"/>
    <cellStyle name="SAPBEXHLevel1 2 4 4 3" xfId="47692" xr:uid="{00000000-0005-0000-0000-0000F7BA0000}"/>
    <cellStyle name="SAPBEXHLevel1 2 4 5" xfId="47693" xr:uid="{00000000-0005-0000-0000-0000F8BA0000}"/>
    <cellStyle name="SAPBEXHLevel1 2 4 5 2" xfId="47694" xr:uid="{00000000-0005-0000-0000-0000F9BA0000}"/>
    <cellStyle name="SAPBEXHLevel1 2 4 5 2 2" xfId="47695" xr:uid="{00000000-0005-0000-0000-0000FABA0000}"/>
    <cellStyle name="SAPBEXHLevel1 2 4 5 2 2 2" xfId="47696" xr:uid="{00000000-0005-0000-0000-0000FBBA0000}"/>
    <cellStyle name="SAPBEXHLevel1 2 4 5 2 3" xfId="47697" xr:uid="{00000000-0005-0000-0000-0000FCBA0000}"/>
    <cellStyle name="SAPBEXHLevel1 2 4 5 3" xfId="47698" xr:uid="{00000000-0005-0000-0000-0000FDBA0000}"/>
    <cellStyle name="SAPBEXHLevel1 2 4 5 3 2" xfId="47699" xr:uid="{00000000-0005-0000-0000-0000FEBA0000}"/>
    <cellStyle name="SAPBEXHLevel1 2 4 5 4" xfId="47700" xr:uid="{00000000-0005-0000-0000-0000FFBA0000}"/>
    <cellStyle name="SAPBEXHLevel1 2 4 6" xfId="47701" xr:uid="{00000000-0005-0000-0000-000000BB0000}"/>
    <cellStyle name="SAPBEXHLevel1 2 4 6 2" xfId="47702" xr:uid="{00000000-0005-0000-0000-000001BB0000}"/>
    <cellStyle name="SAPBEXHLevel1 2 4 6 2 2" xfId="47703" xr:uid="{00000000-0005-0000-0000-000002BB0000}"/>
    <cellStyle name="SAPBEXHLevel1 2 4 6 3" xfId="47704" xr:uid="{00000000-0005-0000-0000-000003BB0000}"/>
    <cellStyle name="SAPBEXHLevel1 2 4 7" xfId="47705" xr:uid="{00000000-0005-0000-0000-000004BB0000}"/>
    <cellStyle name="SAPBEXHLevel1 2 4 7 2" xfId="47706" xr:uid="{00000000-0005-0000-0000-000005BB0000}"/>
    <cellStyle name="SAPBEXHLevel1 2 4 8" xfId="47707" xr:uid="{00000000-0005-0000-0000-000006BB0000}"/>
    <cellStyle name="SAPBEXHLevel1 2 5" xfId="47708" xr:uid="{00000000-0005-0000-0000-000007BB0000}"/>
    <cellStyle name="SAPBEXHLevel1 2 5 2" xfId="47709" xr:uid="{00000000-0005-0000-0000-000008BB0000}"/>
    <cellStyle name="SAPBEXHLevel1 2 5 2 2" xfId="47710" xr:uid="{00000000-0005-0000-0000-000009BB0000}"/>
    <cellStyle name="SAPBEXHLevel1 2 5 2 2 2" xfId="47711" xr:uid="{00000000-0005-0000-0000-00000ABB0000}"/>
    <cellStyle name="SAPBEXHLevel1 2 5 2 3" xfId="47712" xr:uid="{00000000-0005-0000-0000-00000BBB0000}"/>
    <cellStyle name="SAPBEXHLevel1 2 5 3" xfId="47713" xr:uid="{00000000-0005-0000-0000-00000CBB0000}"/>
    <cellStyle name="SAPBEXHLevel1 2 5 3 2" xfId="47714" xr:uid="{00000000-0005-0000-0000-00000DBB0000}"/>
    <cellStyle name="SAPBEXHLevel1 2 5 4" xfId="47715" xr:uid="{00000000-0005-0000-0000-00000EBB0000}"/>
    <cellStyle name="SAPBEXHLevel1 2 6" xfId="47716" xr:uid="{00000000-0005-0000-0000-00000FBB0000}"/>
    <cellStyle name="SAPBEXHLevel1 2 6 2" xfId="47717" xr:uid="{00000000-0005-0000-0000-000010BB0000}"/>
    <cellStyle name="SAPBEXHLevel1 2 6 2 2" xfId="47718" xr:uid="{00000000-0005-0000-0000-000011BB0000}"/>
    <cellStyle name="SAPBEXHLevel1 2 6 3" xfId="47719" xr:uid="{00000000-0005-0000-0000-000012BB0000}"/>
    <cellStyle name="SAPBEXHLevel1 2 7" xfId="47720" xr:uid="{00000000-0005-0000-0000-000013BB0000}"/>
    <cellStyle name="SAPBEXHLevel1 2 7 2" xfId="47721" xr:uid="{00000000-0005-0000-0000-000014BB0000}"/>
    <cellStyle name="SAPBEXHLevel1 2 7 2 2" xfId="47722" xr:uid="{00000000-0005-0000-0000-000015BB0000}"/>
    <cellStyle name="SAPBEXHLevel1 2 7 3" xfId="47723" xr:uid="{00000000-0005-0000-0000-000016BB0000}"/>
    <cellStyle name="SAPBEXHLevel1 2 8" xfId="47724" xr:uid="{00000000-0005-0000-0000-000017BB0000}"/>
    <cellStyle name="SAPBEXHLevel1 2 8 2" xfId="47725" xr:uid="{00000000-0005-0000-0000-000018BB0000}"/>
    <cellStyle name="SAPBEXHLevel1 2 8 2 2" xfId="47726" xr:uid="{00000000-0005-0000-0000-000019BB0000}"/>
    <cellStyle name="SAPBEXHLevel1 2 8 2 2 2" xfId="47727" xr:uid="{00000000-0005-0000-0000-00001ABB0000}"/>
    <cellStyle name="SAPBEXHLevel1 2 8 2 2 2 2" xfId="47728" xr:uid="{00000000-0005-0000-0000-00001BBB0000}"/>
    <cellStyle name="SAPBEXHLevel1 2 8 2 2 3" xfId="47729" xr:uid="{00000000-0005-0000-0000-00001CBB0000}"/>
    <cellStyle name="SAPBEXHLevel1 2 8 2 3" xfId="47730" xr:uid="{00000000-0005-0000-0000-00001DBB0000}"/>
    <cellStyle name="SAPBEXHLevel1 2 8 2 3 2" xfId="47731" xr:uid="{00000000-0005-0000-0000-00001EBB0000}"/>
    <cellStyle name="SAPBEXHLevel1 2 8 2 4" xfId="47732" xr:uid="{00000000-0005-0000-0000-00001FBB0000}"/>
    <cellStyle name="SAPBEXHLevel1 2 8 3" xfId="47733" xr:uid="{00000000-0005-0000-0000-000020BB0000}"/>
    <cellStyle name="SAPBEXHLevel1 2 8 3 2" xfId="47734" xr:uid="{00000000-0005-0000-0000-000021BB0000}"/>
    <cellStyle name="SAPBEXHLevel1 2 8 3 2 2" xfId="47735" xr:uid="{00000000-0005-0000-0000-000022BB0000}"/>
    <cellStyle name="SAPBEXHLevel1 2 8 3 3" xfId="47736" xr:uid="{00000000-0005-0000-0000-000023BB0000}"/>
    <cellStyle name="SAPBEXHLevel1 2 8 4" xfId="47737" xr:uid="{00000000-0005-0000-0000-000024BB0000}"/>
    <cellStyle name="SAPBEXHLevel1 2 8 4 2" xfId="47738" xr:uid="{00000000-0005-0000-0000-000025BB0000}"/>
    <cellStyle name="SAPBEXHLevel1 2 8 5" xfId="47739" xr:uid="{00000000-0005-0000-0000-000026BB0000}"/>
    <cellStyle name="SAPBEXHLevel1 2 9" xfId="47740" xr:uid="{00000000-0005-0000-0000-000027BB0000}"/>
    <cellStyle name="SAPBEXHLevel1 2 9 2" xfId="47741" xr:uid="{00000000-0005-0000-0000-000028BB0000}"/>
    <cellStyle name="SAPBEXHLevel1 3" xfId="47742" xr:uid="{00000000-0005-0000-0000-000029BB0000}"/>
    <cellStyle name="SAPBEXHLevel1 3 2" xfId="47743" xr:uid="{00000000-0005-0000-0000-00002ABB0000}"/>
    <cellStyle name="SAPBEXHLevel1 3 2 2" xfId="47744" xr:uid="{00000000-0005-0000-0000-00002BBB0000}"/>
    <cellStyle name="SAPBEXHLevel1 3 2 2 2" xfId="47745" xr:uid="{00000000-0005-0000-0000-00002CBB0000}"/>
    <cellStyle name="SAPBEXHLevel1 3 2 2 2 2" xfId="47746" xr:uid="{00000000-0005-0000-0000-00002DBB0000}"/>
    <cellStyle name="SAPBEXHLevel1 3 2 2 3" xfId="47747" xr:uid="{00000000-0005-0000-0000-00002EBB0000}"/>
    <cellStyle name="SAPBEXHLevel1 3 2 3" xfId="47748" xr:uid="{00000000-0005-0000-0000-00002FBB0000}"/>
    <cellStyle name="SAPBEXHLevel1 3 2 3 2" xfId="47749" xr:uid="{00000000-0005-0000-0000-000030BB0000}"/>
    <cellStyle name="SAPBEXHLevel1 3 2 3 2 2" xfId="47750" xr:uid="{00000000-0005-0000-0000-000031BB0000}"/>
    <cellStyle name="SAPBEXHLevel1 3 2 3 3" xfId="47751" xr:uid="{00000000-0005-0000-0000-000032BB0000}"/>
    <cellStyle name="SAPBEXHLevel1 3 2 4" xfId="47752" xr:uid="{00000000-0005-0000-0000-000033BB0000}"/>
    <cellStyle name="SAPBEXHLevel1 3 2 4 2" xfId="47753" xr:uid="{00000000-0005-0000-0000-000034BB0000}"/>
    <cellStyle name="SAPBEXHLevel1 3 2 4 2 2" xfId="47754" xr:uid="{00000000-0005-0000-0000-000035BB0000}"/>
    <cellStyle name="SAPBEXHLevel1 3 2 4 3" xfId="47755" xr:uid="{00000000-0005-0000-0000-000036BB0000}"/>
    <cellStyle name="SAPBEXHLevel1 3 2 5" xfId="47756" xr:uid="{00000000-0005-0000-0000-000037BB0000}"/>
    <cellStyle name="SAPBEXHLevel1 3 2 5 2" xfId="47757" xr:uid="{00000000-0005-0000-0000-000038BB0000}"/>
    <cellStyle name="SAPBEXHLevel1 3 2 6" xfId="47758" xr:uid="{00000000-0005-0000-0000-000039BB0000}"/>
    <cellStyle name="SAPBEXHLevel1 3 3" xfId="47759" xr:uid="{00000000-0005-0000-0000-00003ABB0000}"/>
    <cellStyle name="SAPBEXHLevel1 3 3 2" xfId="47760" xr:uid="{00000000-0005-0000-0000-00003BBB0000}"/>
    <cellStyle name="SAPBEXHLevel1 3 3 2 2" xfId="47761" xr:uid="{00000000-0005-0000-0000-00003CBB0000}"/>
    <cellStyle name="SAPBEXHLevel1 3 3 2 2 2" xfId="47762" xr:uid="{00000000-0005-0000-0000-00003DBB0000}"/>
    <cellStyle name="SAPBEXHLevel1 3 3 2 3" xfId="47763" xr:uid="{00000000-0005-0000-0000-00003EBB0000}"/>
    <cellStyle name="SAPBEXHLevel1 3 3 3" xfId="47764" xr:uid="{00000000-0005-0000-0000-00003FBB0000}"/>
    <cellStyle name="SAPBEXHLevel1 3 3 3 2" xfId="47765" xr:uid="{00000000-0005-0000-0000-000040BB0000}"/>
    <cellStyle name="SAPBEXHLevel1 3 3 4" xfId="47766" xr:uid="{00000000-0005-0000-0000-000041BB0000}"/>
    <cellStyle name="SAPBEXHLevel1 3 4" xfId="47767" xr:uid="{00000000-0005-0000-0000-000042BB0000}"/>
    <cellStyle name="SAPBEXHLevel1 3 4 2" xfId="47768" xr:uid="{00000000-0005-0000-0000-000043BB0000}"/>
    <cellStyle name="SAPBEXHLevel1 3 4 2 2" xfId="47769" xr:uid="{00000000-0005-0000-0000-000044BB0000}"/>
    <cellStyle name="SAPBEXHLevel1 3 4 3" xfId="47770" xr:uid="{00000000-0005-0000-0000-000045BB0000}"/>
    <cellStyle name="SAPBEXHLevel1 3 5" xfId="47771" xr:uid="{00000000-0005-0000-0000-000046BB0000}"/>
    <cellStyle name="SAPBEXHLevel1 3 5 2" xfId="47772" xr:uid="{00000000-0005-0000-0000-000047BB0000}"/>
    <cellStyle name="SAPBEXHLevel1 3 5 2 2" xfId="47773" xr:uid="{00000000-0005-0000-0000-000048BB0000}"/>
    <cellStyle name="SAPBEXHLevel1 3 5 3" xfId="47774" xr:uid="{00000000-0005-0000-0000-000049BB0000}"/>
    <cellStyle name="SAPBEXHLevel1 3 6" xfId="47775" xr:uid="{00000000-0005-0000-0000-00004ABB0000}"/>
    <cellStyle name="SAPBEXHLevel1 3 6 2" xfId="47776" xr:uid="{00000000-0005-0000-0000-00004BBB0000}"/>
    <cellStyle name="SAPBEXHLevel1 3 6 2 2" xfId="47777" xr:uid="{00000000-0005-0000-0000-00004CBB0000}"/>
    <cellStyle name="SAPBEXHLevel1 3 6 2 2 2" xfId="47778" xr:uid="{00000000-0005-0000-0000-00004DBB0000}"/>
    <cellStyle name="SAPBEXHLevel1 3 6 2 2 2 2" xfId="47779" xr:uid="{00000000-0005-0000-0000-00004EBB0000}"/>
    <cellStyle name="SAPBEXHLevel1 3 6 2 2 3" xfId="47780" xr:uid="{00000000-0005-0000-0000-00004FBB0000}"/>
    <cellStyle name="SAPBEXHLevel1 3 6 2 3" xfId="47781" xr:uid="{00000000-0005-0000-0000-000050BB0000}"/>
    <cellStyle name="SAPBEXHLevel1 3 6 2 3 2" xfId="47782" xr:uid="{00000000-0005-0000-0000-000051BB0000}"/>
    <cellStyle name="SAPBEXHLevel1 3 6 2 4" xfId="47783" xr:uid="{00000000-0005-0000-0000-000052BB0000}"/>
    <cellStyle name="SAPBEXHLevel1 3 6 3" xfId="47784" xr:uid="{00000000-0005-0000-0000-000053BB0000}"/>
    <cellStyle name="SAPBEXHLevel1 3 6 3 2" xfId="47785" xr:uid="{00000000-0005-0000-0000-000054BB0000}"/>
    <cellStyle name="SAPBEXHLevel1 3 6 3 2 2" xfId="47786" xr:uid="{00000000-0005-0000-0000-000055BB0000}"/>
    <cellStyle name="SAPBEXHLevel1 3 6 3 3" xfId="47787" xr:uid="{00000000-0005-0000-0000-000056BB0000}"/>
    <cellStyle name="SAPBEXHLevel1 3 6 4" xfId="47788" xr:uid="{00000000-0005-0000-0000-000057BB0000}"/>
    <cellStyle name="SAPBEXHLevel1 3 6 4 2" xfId="47789" xr:uid="{00000000-0005-0000-0000-000058BB0000}"/>
    <cellStyle name="SAPBEXHLevel1 3 6 5" xfId="47790" xr:uid="{00000000-0005-0000-0000-000059BB0000}"/>
    <cellStyle name="SAPBEXHLevel1 3 7" xfId="47791" xr:uid="{00000000-0005-0000-0000-00005ABB0000}"/>
    <cellStyle name="SAPBEXHLevel1 3 7 2" xfId="47792" xr:uid="{00000000-0005-0000-0000-00005BBB0000}"/>
    <cellStyle name="SAPBEXHLevel1 3 8" xfId="47793" xr:uid="{00000000-0005-0000-0000-00005CBB0000}"/>
    <cellStyle name="SAPBEXHLevel1 4" xfId="47794" xr:uid="{00000000-0005-0000-0000-00005DBB0000}"/>
    <cellStyle name="SAPBEXHLevel1 4 2" xfId="47795" xr:uid="{00000000-0005-0000-0000-00005EBB0000}"/>
    <cellStyle name="SAPBEXHLevel1 4 2 2" xfId="47796" xr:uid="{00000000-0005-0000-0000-00005FBB0000}"/>
    <cellStyle name="SAPBEXHLevel1 4 2 2 2" xfId="47797" xr:uid="{00000000-0005-0000-0000-000060BB0000}"/>
    <cellStyle name="SAPBEXHLevel1 4 2 2 2 2" xfId="47798" xr:uid="{00000000-0005-0000-0000-000061BB0000}"/>
    <cellStyle name="SAPBEXHLevel1 4 2 2 3" xfId="47799" xr:uid="{00000000-0005-0000-0000-000062BB0000}"/>
    <cellStyle name="SAPBEXHLevel1 4 2 3" xfId="47800" xr:uid="{00000000-0005-0000-0000-000063BB0000}"/>
    <cellStyle name="SAPBEXHLevel1 4 2 3 2" xfId="47801" xr:uid="{00000000-0005-0000-0000-000064BB0000}"/>
    <cellStyle name="SAPBEXHLevel1 4 2 3 2 2" xfId="47802" xr:uid="{00000000-0005-0000-0000-000065BB0000}"/>
    <cellStyle name="SAPBEXHLevel1 4 2 3 3" xfId="47803" xr:uid="{00000000-0005-0000-0000-000066BB0000}"/>
    <cellStyle name="SAPBEXHLevel1 4 2 4" xfId="47804" xr:uid="{00000000-0005-0000-0000-000067BB0000}"/>
    <cellStyle name="SAPBEXHLevel1 4 2 4 2" xfId="47805" xr:uid="{00000000-0005-0000-0000-000068BB0000}"/>
    <cellStyle name="SAPBEXHLevel1 4 2 4 2 2" xfId="47806" xr:uid="{00000000-0005-0000-0000-000069BB0000}"/>
    <cellStyle name="SAPBEXHLevel1 4 2 4 3" xfId="47807" xr:uid="{00000000-0005-0000-0000-00006ABB0000}"/>
    <cellStyle name="SAPBEXHLevel1 4 2 5" xfId="47808" xr:uid="{00000000-0005-0000-0000-00006BBB0000}"/>
    <cellStyle name="SAPBEXHLevel1 4 2 5 2" xfId="47809" xr:uid="{00000000-0005-0000-0000-00006CBB0000}"/>
    <cellStyle name="SAPBEXHLevel1 4 2 6" xfId="47810" xr:uid="{00000000-0005-0000-0000-00006DBB0000}"/>
    <cellStyle name="SAPBEXHLevel1 4 3" xfId="47811" xr:uid="{00000000-0005-0000-0000-00006EBB0000}"/>
    <cellStyle name="SAPBEXHLevel1 4 3 2" xfId="47812" xr:uid="{00000000-0005-0000-0000-00006FBB0000}"/>
    <cellStyle name="SAPBEXHLevel1 4 3 2 2" xfId="47813" xr:uid="{00000000-0005-0000-0000-000070BB0000}"/>
    <cellStyle name="SAPBEXHLevel1 4 3 2 2 2" xfId="47814" xr:uid="{00000000-0005-0000-0000-000071BB0000}"/>
    <cellStyle name="SAPBEXHLevel1 4 3 2 2 2 2" xfId="47815" xr:uid="{00000000-0005-0000-0000-000072BB0000}"/>
    <cellStyle name="SAPBEXHLevel1 4 3 2 2 3" xfId="47816" xr:uid="{00000000-0005-0000-0000-000073BB0000}"/>
    <cellStyle name="SAPBEXHLevel1 4 3 2 3" xfId="47817" xr:uid="{00000000-0005-0000-0000-000074BB0000}"/>
    <cellStyle name="SAPBEXHLevel1 4 3 2 3 2" xfId="47818" xr:uid="{00000000-0005-0000-0000-000075BB0000}"/>
    <cellStyle name="SAPBEXHLevel1 4 3 2 3 2 2" xfId="47819" xr:uid="{00000000-0005-0000-0000-000076BB0000}"/>
    <cellStyle name="SAPBEXHLevel1 4 3 2 3 3" xfId="47820" xr:uid="{00000000-0005-0000-0000-000077BB0000}"/>
    <cellStyle name="SAPBEXHLevel1 4 3 2 4" xfId="47821" xr:uid="{00000000-0005-0000-0000-000078BB0000}"/>
    <cellStyle name="SAPBEXHLevel1 4 3 2 4 2" xfId="47822" xr:uid="{00000000-0005-0000-0000-000079BB0000}"/>
    <cellStyle name="SAPBEXHLevel1 4 3 2 5" xfId="47823" xr:uid="{00000000-0005-0000-0000-00007ABB0000}"/>
    <cellStyle name="SAPBEXHLevel1 4 3 3" xfId="47824" xr:uid="{00000000-0005-0000-0000-00007BBB0000}"/>
    <cellStyle name="SAPBEXHLevel1 4 3 3 2" xfId="47825" xr:uid="{00000000-0005-0000-0000-00007CBB0000}"/>
    <cellStyle name="SAPBEXHLevel1 4 3 3 2 2" xfId="47826" xr:uid="{00000000-0005-0000-0000-00007DBB0000}"/>
    <cellStyle name="SAPBEXHLevel1 4 3 3 2 2 2" xfId="47827" xr:uid="{00000000-0005-0000-0000-00007EBB0000}"/>
    <cellStyle name="SAPBEXHLevel1 4 3 3 2 3" xfId="47828" xr:uid="{00000000-0005-0000-0000-00007FBB0000}"/>
    <cellStyle name="SAPBEXHLevel1 4 3 3 3" xfId="47829" xr:uid="{00000000-0005-0000-0000-000080BB0000}"/>
    <cellStyle name="SAPBEXHLevel1 4 3 3 3 2" xfId="47830" xr:uid="{00000000-0005-0000-0000-000081BB0000}"/>
    <cellStyle name="SAPBEXHLevel1 4 3 3 4" xfId="47831" xr:uid="{00000000-0005-0000-0000-000082BB0000}"/>
    <cellStyle name="SAPBEXHLevel1 4 3 4" xfId="47832" xr:uid="{00000000-0005-0000-0000-000083BB0000}"/>
    <cellStyle name="SAPBEXHLevel1 4 3 4 2" xfId="47833" xr:uid="{00000000-0005-0000-0000-000084BB0000}"/>
    <cellStyle name="SAPBEXHLevel1 4 3 4 2 2" xfId="47834" xr:uid="{00000000-0005-0000-0000-000085BB0000}"/>
    <cellStyle name="SAPBEXHLevel1 4 3 4 3" xfId="47835" xr:uid="{00000000-0005-0000-0000-000086BB0000}"/>
    <cellStyle name="SAPBEXHLevel1 4 3 5" xfId="47836" xr:uid="{00000000-0005-0000-0000-000087BB0000}"/>
    <cellStyle name="SAPBEXHLevel1 4 3 5 2" xfId="47837" xr:uid="{00000000-0005-0000-0000-000088BB0000}"/>
    <cellStyle name="SAPBEXHLevel1 4 3 5 2 2" xfId="47838" xr:uid="{00000000-0005-0000-0000-000089BB0000}"/>
    <cellStyle name="SAPBEXHLevel1 4 3 5 3" xfId="47839" xr:uid="{00000000-0005-0000-0000-00008ABB0000}"/>
    <cellStyle name="SAPBEXHLevel1 4 3 6" xfId="47840" xr:uid="{00000000-0005-0000-0000-00008BBB0000}"/>
    <cellStyle name="SAPBEXHLevel1 4 3 6 2" xfId="47841" xr:uid="{00000000-0005-0000-0000-00008CBB0000}"/>
    <cellStyle name="SAPBEXHLevel1 4 3 7" xfId="47842" xr:uid="{00000000-0005-0000-0000-00008DBB0000}"/>
    <cellStyle name="SAPBEXHLevel1 4 4" xfId="47843" xr:uid="{00000000-0005-0000-0000-00008EBB0000}"/>
    <cellStyle name="SAPBEXHLevel1 4 4 2" xfId="47844" xr:uid="{00000000-0005-0000-0000-00008FBB0000}"/>
    <cellStyle name="SAPBEXHLevel1 4 4 2 2" xfId="47845" xr:uid="{00000000-0005-0000-0000-000090BB0000}"/>
    <cellStyle name="SAPBEXHLevel1 4 4 2 2 2" xfId="47846" xr:uid="{00000000-0005-0000-0000-000091BB0000}"/>
    <cellStyle name="SAPBEXHLevel1 4 4 2 3" xfId="47847" xr:uid="{00000000-0005-0000-0000-000092BB0000}"/>
    <cellStyle name="SAPBEXHLevel1 4 4 3" xfId="47848" xr:uid="{00000000-0005-0000-0000-000093BB0000}"/>
    <cellStyle name="SAPBEXHLevel1 4 4 3 2" xfId="47849" xr:uid="{00000000-0005-0000-0000-000094BB0000}"/>
    <cellStyle name="SAPBEXHLevel1 4 4 4" xfId="47850" xr:uid="{00000000-0005-0000-0000-000095BB0000}"/>
    <cellStyle name="SAPBEXHLevel1 4 5" xfId="47851" xr:uid="{00000000-0005-0000-0000-000096BB0000}"/>
    <cellStyle name="SAPBEXHLevel1 4 5 2" xfId="47852" xr:uid="{00000000-0005-0000-0000-000097BB0000}"/>
    <cellStyle name="SAPBEXHLevel1 4 5 2 2" xfId="47853" xr:uid="{00000000-0005-0000-0000-000098BB0000}"/>
    <cellStyle name="SAPBEXHLevel1 4 5 3" xfId="47854" xr:uid="{00000000-0005-0000-0000-000099BB0000}"/>
    <cellStyle name="SAPBEXHLevel1 4 6" xfId="47855" xr:uid="{00000000-0005-0000-0000-00009ABB0000}"/>
    <cellStyle name="SAPBEXHLevel1 4 6 2" xfId="47856" xr:uid="{00000000-0005-0000-0000-00009BBB0000}"/>
    <cellStyle name="SAPBEXHLevel1 4 6 2 2" xfId="47857" xr:uid="{00000000-0005-0000-0000-00009CBB0000}"/>
    <cellStyle name="SAPBEXHLevel1 4 6 3" xfId="47858" xr:uid="{00000000-0005-0000-0000-00009DBB0000}"/>
    <cellStyle name="SAPBEXHLevel1 4 7" xfId="47859" xr:uid="{00000000-0005-0000-0000-00009EBB0000}"/>
    <cellStyle name="SAPBEXHLevel1 4 7 2" xfId="47860" xr:uid="{00000000-0005-0000-0000-00009FBB0000}"/>
    <cellStyle name="SAPBEXHLevel1 4 8" xfId="47861" xr:uid="{00000000-0005-0000-0000-0000A0BB0000}"/>
    <cellStyle name="SAPBEXHLevel1 5" xfId="47862" xr:uid="{00000000-0005-0000-0000-0000A1BB0000}"/>
    <cellStyle name="SAPBEXHLevel1 5 2" xfId="47863" xr:uid="{00000000-0005-0000-0000-0000A2BB0000}"/>
    <cellStyle name="SAPBEXHLevel1 5 2 2" xfId="47864" xr:uid="{00000000-0005-0000-0000-0000A3BB0000}"/>
    <cellStyle name="SAPBEXHLevel1 5 2 2 2" xfId="47865" xr:uid="{00000000-0005-0000-0000-0000A4BB0000}"/>
    <cellStyle name="SAPBEXHLevel1 5 2 3" xfId="47866" xr:uid="{00000000-0005-0000-0000-0000A5BB0000}"/>
    <cellStyle name="SAPBEXHLevel1 5 3" xfId="47867" xr:uid="{00000000-0005-0000-0000-0000A6BB0000}"/>
    <cellStyle name="SAPBEXHLevel1 5 3 2" xfId="47868" xr:uid="{00000000-0005-0000-0000-0000A7BB0000}"/>
    <cellStyle name="SAPBEXHLevel1 5 3 2 2" xfId="47869" xr:uid="{00000000-0005-0000-0000-0000A8BB0000}"/>
    <cellStyle name="SAPBEXHLevel1 5 3 3" xfId="47870" xr:uid="{00000000-0005-0000-0000-0000A9BB0000}"/>
    <cellStyle name="SAPBEXHLevel1 5 4" xfId="47871" xr:uid="{00000000-0005-0000-0000-0000AABB0000}"/>
    <cellStyle name="SAPBEXHLevel1 5 4 2" xfId="47872" xr:uid="{00000000-0005-0000-0000-0000ABBB0000}"/>
    <cellStyle name="SAPBEXHLevel1 5 4 2 2" xfId="47873" xr:uid="{00000000-0005-0000-0000-0000ACBB0000}"/>
    <cellStyle name="SAPBEXHLevel1 5 4 3" xfId="47874" xr:uid="{00000000-0005-0000-0000-0000ADBB0000}"/>
    <cellStyle name="SAPBEXHLevel1 5 5" xfId="47875" xr:uid="{00000000-0005-0000-0000-0000AEBB0000}"/>
    <cellStyle name="SAPBEXHLevel1 5 5 2" xfId="47876" xr:uid="{00000000-0005-0000-0000-0000AFBB0000}"/>
    <cellStyle name="SAPBEXHLevel1 5 6" xfId="47877" xr:uid="{00000000-0005-0000-0000-0000B0BB0000}"/>
    <cellStyle name="SAPBEXHLevel1 6" xfId="47878" xr:uid="{00000000-0005-0000-0000-0000B1BB0000}"/>
    <cellStyle name="SAPBEXHLevel1 6 2" xfId="47879" xr:uid="{00000000-0005-0000-0000-0000B2BB0000}"/>
    <cellStyle name="SAPBEXHLevel1 6 2 2" xfId="47880" xr:uid="{00000000-0005-0000-0000-0000B3BB0000}"/>
    <cellStyle name="SAPBEXHLevel1 6 3" xfId="47881" xr:uid="{00000000-0005-0000-0000-0000B4BB0000}"/>
    <cellStyle name="SAPBEXHLevel1 6 3 2" xfId="47882" xr:uid="{00000000-0005-0000-0000-0000B5BB0000}"/>
    <cellStyle name="SAPBEXHLevel1 6 3 2 2" xfId="47883" xr:uid="{00000000-0005-0000-0000-0000B6BB0000}"/>
    <cellStyle name="SAPBEXHLevel1 6 3 3" xfId="47884" xr:uid="{00000000-0005-0000-0000-0000B7BB0000}"/>
    <cellStyle name="SAPBEXHLevel1 6 4" xfId="47885" xr:uid="{00000000-0005-0000-0000-0000B8BB0000}"/>
    <cellStyle name="SAPBEXHLevel1 6 4 2" xfId="47886" xr:uid="{00000000-0005-0000-0000-0000B9BB0000}"/>
    <cellStyle name="SAPBEXHLevel1 6 4 2 2" xfId="47887" xr:uid="{00000000-0005-0000-0000-0000BABB0000}"/>
    <cellStyle name="SAPBEXHLevel1 6 4 3" xfId="47888" xr:uid="{00000000-0005-0000-0000-0000BBBB0000}"/>
    <cellStyle name="SAPBEXHLevel1 6 5" xfId="47889" xr:uid="{00000000-0005-0000-0000-0000BCBB0000}"/>
    <cellStyle name="SAPBEXHLevel1 7" xfId="47890" xr:uid="{00000000-0005-0000-0000-0000BDBB0000}"/>
    <cellStyle name="SAPBEXHLevel1 7 2" xfId="47891" xr:uid="{00000000-0005-0000-0000-0000BEBB0000}"/>
    <cellStyle name="SAPBEXHLevel1 7 2 2" xfId="47892" xr:uid="{00000000-0005-0000-0000-0000BFBB0000}"/>
    <cellStyle name="SAPBEXHLevel1 7 2 2 2" xfId="47893" xr:uid="{00000000-0005-0000-0000-0000C0BB0000}"/>
    <cellStyle name="SAPBEXHLevel1 7 2 3" xfId="47894" xr:uid="{00000000-0005-0000-0000-0000C1BB0000}"/>
    <cellStyle name="SAPBEXHLevel1 7 2 3 2" xfId="47895" xr:uid="{00000000-0005-0000-0000-0000C2BB0000}"/>
    <cellStyle name="SAPBEXHLevel1 7 2 3 2 2" xfId="47896" xr:uid="{00000000-0005-0000-0000-0000C3BB0000}"/>
    <cellStyle name="SAPBEXHLevel1 7 2 3 3" xfId="47897" xr:uid="{00000000-0005-0000-0000-0000C4BB0000}"/>
    <cellStyle name="SAPBEXHLevel1 7 2 4" xfId="47898" xr:uid="{00000000-0005-0000-0000-0000C5BB0000}"/>
    <cellStyle name="SAPBEXHLevel1 7 3" xfId="47899" xr:uid="{00000000-0005-0000-0000-0000C6BB0000}"/>
    <cellStyle name="SAPBEXHLevel1 7 3 2" xfId="47900" xr:uid="{00000000-0005-0000-0000-0000C7BB0000}"/>
    <cellStyle name="SAPBEXHLevel1 7 3 2 2" xfId="47901" xr:uid="{00000000-0005-0000-0000-0000C8BB0000}"/>
    <cellStyle name="SAPBEXHLevel1 7 3 3" xfId="47902" xr:uid="{00000000-0005-0000-0000-0000C9BB0000}"/>
    <cellStyle name="SAPBEXHLevel1 7 4" xfId="47903" xr:uid="{00000000-0005-0000-0000-0000CABB0000}"/>
    <cellStyle name="SAPBEXHLevel1 7 4 2" xfId="47904" xr:uid="{00000000-0005-0000-0000-0000CBBB0000}"/>
    <cellStyle name="SAPBEXHLevel1 7 4 2 2" xfId="47905" xr:uid="{00000000-0005-0000-0000-0000CCBB0000}"/>
    <cellStyle name="SAPBEXHLevel1 7 4 3" xfId="47906" xr:uid="{00000000-0005-0000-0000-0000CDBB0000}"/>
    <cellStyle name="SAPBEXHLevel1 7 5" xfId="47907" xr:uid="{00000000-0005-0000-0000-0000CEBB0000}"/>
    <cellStyle name="SAPBEXHLevel1 7 5 2" xfId="47908" xr:uid="{00000000-0005-0000-0000-0000CFBB0000}"/>
    <cellStyle name="SAPBEXHLevel1 7 5 2 2" xfId="47909" xr:uid="{00000000-0005-0000-0000-0000D0BB0000}"/>
    <cellStyle name="SAPBEXHLevel1 7 5 3" xfId="47910" xr:uid="{00000000-0005-0000-0000-0000D1BB0000}"/>
    <cellStyle name="SAPBEXHLevel1 7 6" xfId="47911" xr:uid="{00000000-0005-0000-0000-0000D2BB0000}"/>
    <cellStyle name="SAPBEXHLevel1 8" xfId="47912" xr:uid="{00000000-0005-0000-0000-0000D3BB0000}"/>
    <cellStyle name="SAPBEXHLevel1 8 2" xfId="47913" xr:uid="{00000000-0005-0000-0000-0000D4BB0000}"/>
    <cellStyle name="SAPBEXHLevel1 8 2 2" xfId="47914" xr:uid="{00000000-0005-0000-0000-0000D5BB0000}"/>
    <cellStyle name="SAPBEXHLevel1 8 3" xfId="47915" xr:uid="{00000000-0005-0000-0000-0000D6BB0000}"/>
    <cellStyle name="SAPBEXHLevel1 9" xfId="47916" xr:uid="{00000000-0005-0000-0000-0000D7BB0000}"/>
    <cellStyle name="SAPBEXHLevel1 9 2" xfId="47917" xr:uid="{00000000-0005-0000-0000-0000D8BB0000}"/>
    <cellStyle name="SAPBEXHLevel1 9 2 2" xfId="47918" xr:uid="{00000000-0005-0000-0000-0000D9BB0000}"/>
    <cellStyle name="SAPBEXHLevel1 9 3" xfId="47919" xr:uid="{00000000-0005-0000-0000-0000DABB0000}"/>
    <cellStyle name="SAPBEXHLevel1X" xfId="63" xr:uid="{00000000-0005-0000-0000-0000DBBB0000}"/>
    <cellStyle name="SAPBEXHLevel1X 10" xfId="47920" xr:uid="{00000000-0005-0000-0000-0000DCBB0000}"/>
    <cellStyle name="SAPBEXHLevel1X 10 2" xfId="47921" xr:uid="{00000000-0005-0000-0000-0000DDBB0000}"/>
    <cellStyle name="SAPBEXHLevel1X 10 2 2" xfId="47922" xr:uid="{00000000-0005-0000-0000-0000DEBB0000}"/>
    <cellStyle name="SAPBEXHLevel1X 10 3" xfId="47923" xr:uid="{00000000-0005-0000-0000-0000DFBB0000}"/>
    <cellStyle name="SAPBEXHLevel1X 11" xfId="47924" xr:uid="{00000000-0005-0000-0000-0000E0BB0000}"/>
    <cellStyle name="SAPBEXHLevel1X 11 2" xfId="47925" xr:uid="{00000000-0005-0000-0000-0000E1BB0000}"/>
    <cellStyle name="SAPBEXHLevel1X 11 2 2" xfId="47926" xr:uid="{00000000-0005-0000-0000-0000E2BB0000}"/>
    <cellStyle name="SAPBEXHLevel1X 11 3" xfId="47927" xr:uid="{00000000-0005-0000-0000-0000E3BB0000}"/>
    <cellStyle name="SAPBEXHLevel1X 12" xfId="47928" xr:uid="{00000000-0005-0000-0000-0000E4BB0000}"/>
    <cellStyle name="SAPBEXHLevel1X 12 2" xfId="47929" xr:uid="{00000000-0005-0000-0000-0000E5BB0000}"/>
    <cellStyle name="SAPBEXHLevel1X 12 2 2" xfId="47930" xr:uid="{00000000-0005-0000-0000-0000E6BB0000}"/>
    <cellStyle name="SAPBEXHLevel1X 12 3" xfId="47931" xr:uid="{00000000-0005-0000-0000-0000E7BB0000}"/>
    <cellStyle name="SAPBEXHLevel1X 13" xfId="47932" xr:uid="{00000000-0005-0000-0000-0000E8BB0000}"/>
    <cellStyle name="SAPBEXHLevel1X 13 2" xfId="47933" xr:uid="{00000000-0005-0000-0000-0000E9BB0000}"/>
    <cellStyle name="SAPBEXHLevel1X 13 2 2" xfId="47934" xr:uid="{00000000-0005-0000-0000-0000EABB0000}"/>
    <cellStyle name="SAPBEXHLevel1X 13 3" xfId="47935" xr:uid="{00000000-0005-0000-0000-0000EBBB0000}"/>
    <cellStyle name="SAPBEXHLevel1X 14" xfId="47936" xr:uid="{00000000-0005-0000-0000-0000ECBB0000}"/>
    <cellStyle name="SAPBEXHLevel1X 14 2" xfId="47937" xr:uid="{00000000-0005-0000-0000-0000EDBB0000}"/>
    <cellStyle name="SAPBEXHLevel1X 15" xfId="47938" xr:uid="{00000000-0005-0000-0000-0000EEBB0000}"/>
    <cellStyle name="SAPBEXHLevel1X 15 2" xfId="47939" xr:uid="{00000000-0005-0000-0000-0000EFBB0000}"/>
    <cellStyle name="SAPBEXHLevel1X 15 2 2" xfId="47940" xr:uid="{00000000-0005-0000-0000-0000F0BB0000}"/>
    <cellStyle name="SAPBEXHLevel1X 15 3" xfId="47941" xr:uid="{00000000-0005-0000-0000-0000F1BB0000}"/>
    <cellStyle name="SAPBEXHLevel1X 15 3 2" xfId="47942" xr:uid="{00000000-0005-0000-0000-0000F2BB0000}"/>
    <cellStyle name="SAPBEXHLevel1X 15 4" xfId="47943" xr:uid="{00000000-0005-0000-0000-0000F3BB0000}"/>
    <cellStyle name="SAPBEXHLevel1X 16" xfId="47944" xr:uid="{00000000-0005-0000-0000-0000F4BB0000}"/>
    <cellStyle name="SAPBEXHLevel1X 16 2" xfId="47945" xr:uid="{00000000-0005-0000-0000-0000F5BB0000}"/>
    <cellStyle name="SAPBEXHLevel1X 17" xfId="47946" xr:uid="{00000000-0005-0000-0000-0000F6BB0000}"/>
    <cellStyle name="SAPBEXHLevel1X 17 2" xfId="47947" xr:uid="{00000000-0005-0000-0000-0000F7BB0000}"/>
    <cellStyle name="SAPBEXHLevel1X 17 3" xfId="47948" xr:uid="{00000000-0005-0000-0000-0000F8BB0000}"/>
    <cellStyle name="SAPBEXHLevel1X 18" xfId="47949" xr:uid="{00000000-0005-0000-0000-0000F9BB0000}"/>
    <cellStyle name="SAPBEXHLevel1X 18 2" xfId="47950" xr:uid="{00000000-0005-0000-0000-0000FABB0000}"/>
    <cellStyle name="SAPBEXHLevel1X 19" xfId="47951" xr:uid="{00000000-0005-0000-0000-0000FBBB0000}"/>
    <cellStyle name="SAPBEXHLevel1X 19 2" xfId="47952" xr:uid="{00000000-0005-0000-0000-0000FCBB0000}"/>
    <cellStyle name="SAPBEXHLevel1X 2" xfId="87" xr:uid="{00000000-0005-0000-0000-0000FDBB0000}"/>
    <cellStyle name="SAPBEXHLevel1X 2 2" xfId="47953" xr:uid="{00000000-0005-0000-0000-0000FEBB0000}"/>
    <cellStyle name="SAPBEXHLevel1X 2 2 2" xfId="47954" xr:uid="{00000000-0005-0000-0000-0000FFBB0000}"/>
    <cellStyle name="SAPBEXHLevel1X 2 2 2 2" xfId="47955" xr:uid="{00000000-0005-0000-0000-000000BC0000}"/>
    <cellStyle name="SAPBEXHLevel1X 2 2 2 2 2" xfId="47956" xr:uid="{00000000-0005-0000-0000-000001BC0000}"/>
    <cellStyle name="SAPBEXHLevel1X 2 2 2 3" xfId="47957" xr:uid="{00000000-0005-0000-0000-000002BC0000}"/>
    <cellStyle name="SAPBEXHLevel1X 2 2 3" xfId="47958" xr:uid="{00000000-0005-0000-0000-000003BC0000}"/>
    <cellStyle name="SAPBEXHLevel1X 2 2 3 2" xfId="47959" xr:uid="{00000000-0005-0000-0000-000004BC0000}"/>
    <cellStyle name="SAPBEXHLevel1X 2 2 3 2 2" xfId="47960" xr:uid="{00000000-0005-0000-0000-000005BC0000}"/>
    <cellStyle name="SAPBEXHLevel1X 2 2 3 3" xfId="47961" xr:uid="{00000000-0005-0000-0000-000006BC0000}"/>
    <cellStyle name="SAPBEXHLevel1X 2 2 4" xfId="47962" xr:uid="{00000000-0005-0000-0000-000007BC0000}"/>
    <cellStyle name="SAPBEXHLevel1X 2 2 4 2" xfId="47963" xr:uid="{00000000-0005-0000-0000-000008BC0000}"/>
    <cellStyle name="SAPBEXHLevel1X 2 2 4 2 2" xfId="47964" xr:uid="{00000000-0005-0000-0000-000009BC0000}"/>
    <cellStyle name="SAPBEXHLevel1X 2 2 4 3" xfId="47965" xr:uid="{00000000-0005-0000-0000-00000ABC0000}"/>
    <cellStyle name="SAPBEXHLevel1X 2 2 5" xfId="47966" xr:uid="{00000000-0005-0000-0000-00000BBC0000}"/>
    <cellStyle name="SAPBEXHLevel1X 2 2 5 2" xfId="47967" xr:uid="{00000000-0005-0000-0000-00000CBC0000}"/>
    <cellStyle name="SAPBEXHLevel1X 2 2 6" xfId="47968" xr:uid="{00000000-0005-0000-0000-00000DBC0000}"/>
    <cellStyle name="SAPBEXHLevel1X 2 3" xfId="47969" xr:uid="{00000000-0005-0000-0000-00000EBC0000}"/>
    <cellStyle name="SAPBEXHLevel1X 2 3 2" xfId="47970" xr:uid="{00000000-0005-0000-0000-00000FBC0000}"/>
    <cellStyle name="SAPBEXHLevel1X 2 3 2 2" xfId="47971" xr:uid="{00000000-0005-0000-0000-000010BC0000}"/>
    <cellStyle name="SAPBEXHLevel1X 2 3 2 2 2" xfId="47972" xr:uid="{00000000-0005-0000-0000-000011BC0000}"/>
    <cellStyle name="SAPBEXHLevel1X 2 3 2 2 2 2" xfId="47973" xr:uid="{00000000-0005-0000-0000-000012BC0000}"/>
    <cellStyle name="SAPBEXHLevel1X 2 3 2 2 3" xfId="47974" xr:uid="{00000000-0005-0000-0000-000013BC0000}"/>
    <cellStyle name="SAPBEXHLevel1X 2 3 2 3" xfId="47975" xr:uid="{00000000-0005-0000-0000-000014BC0000}"/>
    <cellStyle name="SAPBEXHLevel1X 2 3 2 3 2" xfId="47976" xr:uid="{00000000-0005-0000-0000-000015BC0000}"/>
    <cellStyle name="SAPBEXHLevel1X 2 3 2 3 2 2" xfId="47977" xr:uid="{00000000-0005-0000-0000-000016BC0000}"/>
    <cellStyle name="SAPBEXHLevel1X 2 3 2 3 3" xfId="47978" xr:uid="{00000000-0005-0000-0000-000017BC0000}"/>
    <cellStyle name="SAPBEXHLevel1X 2 3 2 4" xfId="47979" xr:uid="{00000000-0005-0000-0000-000018BC0000}"/>
    <cellStyle name="SAPBEXHLevel1X 2 3 2 4 2" xfId="47980" xr:uid="{00000000-0005-0000-0000-000019BC0000}"/>
    <cellStyle name="SAPBEXHLevel1X 2 3 2 5" xfId="47981" xr:uid="{00000000-0005-0000-0000-00001ABC0000}"/>
    <cellStyle name="SAPBEXHLevel1X 2 3 3" xfId="47982" xr:uid="{00000000-0005-0000-0000-00001BBC0000}"/>
    <cellStyle name="SAPBEXHLevel1X 2 3 3 2" xfId="47983" xr:uid="{00000000-0005-0000-0000-00001CBC0000}"/>
    <cellStyle name="SAPBEXHLevel1X 2 3 3 2 2" xfId="47984" xr:uid="{00000000-0005-0000-0000-00001DBC0000}"/>
    <cellStyle name="SAPBEXHLevel1X 2 3 3 2 2 2" xfId="47985" xr:uid="{00000000-0005-0000-0000-00001EBC0000}"/>
    <cellStyle name="SAPBEXHLevel1X 2 3 3 2 3" xfId="47986" xr:uid="{00000000-0005-0000-0000-00001FBC0000}"/>
    <cellStyle name="SAPBEXHLevel1X 2 3 3 3" xfId="47987" xr:uid="{00000000-0005-0000-0000-000020BC0000}"/>
    <cellStyle name="SAPBEXHLevel1X 2 3 3 3 2" xfId="47988" xr:uid="{00000000-0005-0000-0000-000021BC0000}"/>
    <cellStyle name="SAPBEXHLevel1X 2 3 3 4" xfId="47989" xr:uid="{00000000-0005-0000-0000-000022BC0000}"/>
    <cellStyle name="SAPBEXHLevel1X 2 3 4" xfId="47990" xr:uid="{00000000-0005-0000-0000-000023BC0000}"/>
    <cellStyle name="SAPBEXHLevel1X 2 3 4 2" xfId="47991" xr:uid="{00000000-0005-0000-0000-000024BC0000}"/>
    <cellStyle name="SAPBEXHLevel1X 2 3 4 2 2" xfId="47992" xr:uid="{00000000-0005-0000-0000-000025BC0000}"/>
    <cellStyle name="SAPBEXHLevel1X 2 3 4 3" xfId="47993" xr:uid="{00000000-0005-0000-0000-000026BC0000}"/>
    <cellStyle name="SAPBEXHLevel1X 2 3 5" xfId="47994" xr:uid="{00000000-0005-0000-0000-000027BC0000}"/>
    <cellStyle name="SAPBEXHLevel1X 2 3 5 2" xfId="47995" xr:uid="{00000000-0005-0000-0000-000028BC0000}"/>
    <cellStyle name="SAPBEXHLevel1X 2 3 5 2 2" xfId="47996" xr:uid="{00000000-0005-0000-0000-000029BC0000}"/>
    <cellStyle name="SAPBEXHLevel1X 2 3 5 3" xfId="47997" xr:uid="{00000000-0005-0000-0000-00002ABC0000}"/>
    <cellStyle name="SAPBEXHLevel1X 2 3 6" xfId="47998" xr:uid="{00000000-0005-0000-0000-00002BBC0000}"/>
    <cellStyle name="SAPBEXHLevel1X 2 3 6 2" xfId="47999" xr:uid="{00000000-0005-0000-0000-00002CBC0000}"/>
    <cellStyle name="SAPBEXHLevel1X 2 3 7" xfId="48000" xr:uid="{00000000-0005-0000-0000-00002DBC0000}"/>
    <cellStyle name="SAPBEXHLevel1X 2 4" xfId="48001" xr:uid="{00000000-0005-0000-0000-00002EBC0000}"/>
    <cellStyle name="SAPBEXHLevel1X 2 4 2" xfId="48002" xr:uid="{00000000-0005-0000-0000-00002FBC0000}"/>
    <cellStyle name="SAPBEXHLevel1X 2 4 2 2" xfId="48003" xr:uid="{00000000-0005-0000-0000-000030BC0000}"/>
    <cellStyle name="SAPBEXHLevel1X 2 4 2 2 2" xfId="48004" xr:uid="{00000000-0005-0000-0000-000031BC0000}"/>
    <cellStyle name="SAPBEXHLevel1X 2 4 2 2 2 2" xfId="48005" xr:uid="{00000000-0005-0000-0000-000032BC0000}"/>
    <cellStyle name="SAPBEXHLevel1X 2 4 2 2 3" xfId="48006" xr:uid="{00000000-0005-0000-0000-000033BC0000}"/>
    <cellStyle name="SAPBEXHLevel1X 2 4 2 3" xfId="48007" xr:uid="{00000000-0005-0000-0000-000034BC0000}"/>
    <cellStyle name="SAPBEXHLevel1X 2 4 2 3 2" xfId="48008" xr:uid="{00000000-0005-0000-0000-000035BC0000}"/>
    <cellStyle name="SAPBEXHLevel1X 2 4 2 3 2 2" xfId="48009" xr:uid="{00000000-0005-0000-0000-000036BC0000}"/>
    <cellStyle name="SAPBEXHLevel1X 2 4 2 3 3" xfId="48010" xr:uid="{00000000-0005-0000-0000-000037BC0000}"/>
    <cellStyle name="SAPBEXHLevel1X 2 4 2 4" xfId="48011" xr:uid="{00000000-0005-0000-0000-000038BC0000}"/>
    <cellStyle name="SAPBEXHLevel1X 2 4 2 4 2" xfId="48012" xr:uid="{00000000-0005-0000-0000-000039BC0000}"/>
    <cellStyle name="SAPBEXHLevel1X 2 4 2 5" xfId="48013" xr:uid="{00000000-0005-0000-0000-00003ABC0000}"/>
    <cellStyle name="SAPBEXHLevel1X 2 4 3" xfId="48014" xr:uid="{00000000-0005-0000-0000-00003BBC0000}"/>
    <cellStyle name="SAPBEXHLevel1X 2 4 3 2" xfId="48015" xr:uid="{00000000-0005-0000-0000-00003CBC0000}"/>
    <cellStyle name="SAPBEXHLevel1X 2 4 3 2 2" xfId="48016" xr:uid="{00000000-0005-0000-0000-00003DBC0000}"/>
    <cellStyle name="SAPBEXHLevel1X 2 4 3 2 2 2" xfId="48017" xr:uid="{00000000-0005-0000-0000-00003EBC0000}"/>
    <cellStyle name="SAPBEXHLevel1X 2 4 3 2 3" xfId="48018" xr:uid="{00000000-0005-0000-0000-00003FBC0000}"/>
    <cellStyle name="SAPBEXHLevel1X 2 4 3 3" xfId="48019" xr:uid="{00000000-0005-0000-0000-000040BC0000}"/>
    <cellStyle name="SAPBEXHLevel1X 2 4 3 3 2" xfId="48020" xr:uid="{00000000-0005-0000-0000-000041BC0000}"/>
    <cellStyle name="SAPBEXHLevel1X 2 4 3 4" xfId="48021" xr:uid="{00000000-0005-0000-0000-000042BC0000}"/>
    <cellStyle name="SAPBEXHLevel1X 2 4 4" xfId="48022" xr:uid="{00000000-0005-0000-0000-000043BC0000}"/>
    <cellStyle name="SAPBEXHLevel1X 2 4 4 2" xfId="48023" xr:uid="{00000000-0005-0000-0000-000044BC0000}"/>
    <cellStyle name="SAPBEXHLevel1X 2 4 4 2 2" xfId="48024" xr:uid="{00000000-0005-0000-0000-000045BC0000}"/>
    <cellStyle name="SAPBEXHLevel1X 2 4 4 3" xfId="48025" xr:uid="{00000000-0005-0000-0000-000046BC0000}"/>
    <cellStyle name="SAPBEXHLevel1X 2 4 5" xfId="48026" xr:uid="{00000000-0005-0000-0000-000047BC0000}"/>
    <cellStyle name="SAPBEXHLevel1X 2 4 5 2" xfId="48027" xr:uid="{00000000-0005-0000-0000-000048BC0000}"/>
    <cellStyle name="SAPBEXHLevel1X 2 4 6" xfId="48028" xr:uid="{00000000-0005-0000-0000-000049BC0000}"/>
    <cellStyle name="SAPBEXHLevel1X 2 5" xfId="48029" xr:uid="{00000000-0005-0000-0000-00004ABC0000}"/>
    <cellStyle name="SAPBEXHLevel1X 2 5 2" xfId="48030" xr:uid="{00000000-0005-0000-0000-00004BBC0000}"/>
    <cellStyle name="SAPBEXHLevel1X 2 5 2 2" xfId="48031" xr:uid="{00000000-0005-0000-0000-00004CBC0000}"/>
    <cellStyle name="SAPBEXHLevel1X 2 5 2 2 2" xfId="48032" xr:uid="{00000000-0005-0000-0000-00004DBC0000}"/>
    <cellStyle name="SAPBEXHLevel1X 2 5 2 3" xfId="48033" xr:uid="{00000000-0005-0000-0000-00004EBC0000}"/>
    <cellStyle name="SAPBEXHLevel1X 2 5 3" xfId="48034" xr:uid="{00000000-0005-0000-0000-00004FBC0000}"/>
    <cellStyle name="SAPBEXHLevel1X 2 5 3 2" xfId="48035" xr:uid="{00000000-0005-0000-0000-000050BC0000}"/>
    <cellStyle name="SAPBEXHLevel1X 2 5 4" xfId="48036" xr:uid="{00000000-0005-0000-0000-000051BC0000}"/>
    <cellStyle name="SAPBEXHLevel1X 2 6" xfId="48037" xr:uid="{00000000-0005-0000-0000-000052BC0000}"/>
    <cellStyle name="SAPBEXHLevel1X 2 6 2" xfId="48038" xr:uid="{00000000-0005-0000-0000-000053BC0000}"/>
    <cellStyle name="SAPBEXHLevel1X 2 6 2 2" xfId="48039" xr:uid="{00000000-0005-0000-0000-000054BC0000}"/>
    <cellStyle name="SAPBEXHLevel1X 2 6 3" xfId="48040" xr:uid="{00000000-0005-0000-0000-000055BC0000}"/>
    <cellStyle name="SAPBEXHLevel1X 2 7" xfId="48041" xr:uid="{00000000-0005-0000-0000-000056BC0000}"/>
    <cellStyle name="SAPBEXHLevel1X 2 7 2" xfId="48042" xr:uid="{00000000-0005-0000-0000-000057BC0000}"/>
    <cellStyle name="SAPBEXHLevel1X 2 7 2 2" xfId="48043" xr:uid="{00000000-0005-0000-0000-000058BC0000}"/>
    <cellStyle name="SAPBEXHLevel1X 2 7 3" xfId="48044" xr:uid="{00000000-0005-0000-0000-000059BC0000}"/>
    <cellStyle name="SAPBEXHLevel1X 2 8" xfId="48045" xr:uid="{00000000-0005-0000-0000-00005ABC0000}"/>
    <cellStyle name="SAPBEXHLevel1X 2 8 2" xfId="48046" xr:uid="{00000000-0005-0000-0000-00005BBC0000}"/>
    <cellStyle name="SAPBEXHLevel1X 2 9" xfId="48047" xr:uid="{00000000-0005-0000-0000-00005CBC0000}"/>
    <cellStyle name="SAPBEXHLevel1X 20" xfId="48048" xr:uid="{00000000-0005-0000-0000-00005DBC0000}"/>
    <cellStyle name="SAPBEXHLevel1X 21" xfId="48049" xr:uid="{00000000-0005-0000-0000-00005EBC0000}"/>
    <cellStyle name="SAPBEXHLevel1X 22" xfId="48050" xr:uid="{00000000-0005-0000-0000-00005FBC0000}"/>
    <cellStyle name="SAPBEXHLevel1X 23" xfId="48051" xr:uid="{00000000-0005-0000-0000-000060BC0000}"/>
    <cellStyle name="SAPBEXHLevel1X 3" xfId="48052" xr:uid="{00000000-0005-0000-0000-000061BC0000}"/>
    <cellStyle name="SAPBEXHLevel1X 3 2" xfId="48053" xr:uid="{00000000-0005-0000-0000-000062BC0000}"/>
    <cellStyle name="SAPBEXHLevel1X 3 2 2" xfId="48054" xr:uid="{00000000-0005-0000-0000-000063BC0000}"/>
    <cellStyle name="SAPBEXHLevel1X 3 2 2 2" xfId="48055" xr:uid="{00000000-0005-0000-0000-000064BC0000}"/>
    <cellStyle name="SAPBEXHLevel1X 3 2 2 2 2" xfId="48056" xr:uid="{00000000-0005-0000-0000-000065BC0000}"/>
    <cellStyle name="SAPBEXHLevel1X 3 2 2 3" xfId="48057" xr:uid="{00000000-0005-0000-0000-000066BC0000}"/>
    <cellStyle name="SAPBEXHLevel1X 3 2 3" xfId="48058" xr:uid="{00000000-0005-0000-0000-000067BC0000}"/>
    <cellStyle name="SAPBEXHLevel1X 3 2 3 2" xfId="48059" xr:uid="{00000000-0005-0000-0000-000068BC0000}"/>
    <cellStyle name="SAPBEXHLevel1X 3 2 3 2 2" xfId="48060" xr:uid="{00000000-0005-0000-0000-000069BC0000}"/>
    <cellStyle name="SAPBEXHLevel1X 3 2 3 3" xfId="48061" xr:uid="{00000000-0005-0000-0000-00006ABC0000}"/>
    <cellStyle name="SAPBEXHLevel1X 3 2 4" xfId="48062" xr:uid="{00000000-0005-0000-0000-00006BBC0000}"/>
    <cellStyle name="SAPBEXHLevel1X 3 2 4 2" xfId="48063" xr:uid="{00000000-0005-0000-0000-00006CBC0000}"/>
    <cellStyle name="SAPBEXHLevel1X 3 2 4 2 2" xfId="48064" xr:uid="{00000000-0005-0000-0000-00006DBC0000}"/>
    <cellStyle name="SAPBEXHLevel1X 3 2 4 3" xfId="48065" xr:uid="{00000000-0005-0000-0000-00006EBC0000}"/>
    <cellStyle name="SAPBEXHLevel1X 3 2 5" xfId="48066" xr:uid="{00000000-0005-0000-0000-00006FBC0000}"/>
    <cellStyle name="SAPBEXHLevel1X 3 2 5 2" xfId="48067" xr:uid="{00000000-0005-0000-0000-000070BC0000}"/>
    <cellStyle name="SAPBEXHLevel1X 3 2 6" xfId="48068" xr:uid="{00000000-0005-0000-0000-000071BC0000}"/>
    <cellStyle name="SAPBEXHLevel1X 3 3" xfId="48069" xr:uid="{00000000-0005-0000-0000-000072BC0000}"/>
    <cellStyle name="SAPBEXHLevel1X 3 3 2" xfId="48070" xr:uid="{00000000-0005-0000-0000-000073BC0000}"/>
    <cellStyle name="SAPBEXHLevel1X 3 3 2 2" xfId="48071" xr:uid="{00000000-0005-0000-0000-000074BC0000}"/>
    <cellStyle name="SAPBEXHLevel1X 3 3 2 2 2" xfId="48072" xr:uid="{00000000-0005-0000-0000-000075BC0000}"/>
    <cellStyle name="SAPBEXHLevel1X 3 3 2 3" xfId="48073" xr:uid="{00000000-0005-0000-0000-000076BC0000}"/>
    <cellStyle name="SAPBEXHLevel1X 3 3 3" xfId="48074" xr:uid="{00000000-0005-0000-0000-000077BC0000}"/>
    <cellStyle name="SAPBEXHLevel1X 3 3 3 2" xfId="48075" xr:uid="{00000000-0005-0000-0000-000078BC0000}"/>
    <cellStyle name="SAPBEXHLevel1X 3 3 4" xfId="48076" xr:uid="{00000000-0005-0000-0000-000079BC0000}"/>
    <cellStyle name="SAPBEXHLevel1X 3 4" xfId="48077" xr:uid="{00000000-0005-0000-0000-00007ABC0000}"/>
    <cellStyle name="SAPBEXHLevel1X 3 4 2" xfId="48078" xr:uid="{00000000-0005-0000-0000-00007BBC0000}"/>
    <cellStyle name="SAPBEXHLevel1X 3 4 2 2" xfId="48079" xr:uid="{00000000-0005-0000-0000-00007CBC0000}"/>
    <cellStyle name="SAPBEXHLevel1X 3 4 3" xfId="48080" xr:uid="{00000000-0005-0000-0000-00007DBC0000}"/>
    <cellStyle name="SAPBEXHLevel1X 3 5" xfId="48081" xr:uid="{00000000-0005-0000-0000-00007EBC0000}"/>
    <cellStyle name="SAPBEXHLevel1X 3 5 2" xfId="48082" xr:uid="{00000000-0005-0000-0000-00007FBC0000}"/>
    <cellStyle name="SAPBEXHLevel1X 3 5 2 2" xfId="48083" xr:uid="{00000000-0005-0000-0000-000080BC0000}"/>
    <cellStyle name="SAPBEXHLevel1X 3 5 3" xfId="48084" xr:uid="{00000000-0005-0000-0000-000081BC0000}"/>
    <cellStyle name="SAPBEXHLevel1X 3 6" xfId="48085" xr:uid="{00000000-0005-0000-0000-000082BC0000}"/>
    <cellStyle name="SAPBEXHLevel1X 3 6 2" xfId="48086" xr:uid="{00000000-0005-0000-0000-000083BC0000}"/>
    <cellStyle name="SAPBEXHLevel1X 3 7" xfId="48087" xr:uid="{00000000-0005-0000-0000-000084BC0000}"/>
    <cellStyle name="SAPBEXHLevel1X 4" xfId="48088" xr:uid="{00000000-0005-0000-0000-000085BC0000}"/>
    <cellStyle name="SAPBEXHLevel1X 4 2" xfId="48089" xr:uid="{00000000-0005-0000-0000-000086BC0000}"/>
    <cellStyle name="SAPBEXHLevel1X 4 2 2" xfId="48090" xr:uid="{00000000-0005-0000-0000-000087BC0000}"/>
    <cellStyle name="SAPBEXHLevel1X 4 2 2 2" xfId="48091" xr:uid="{00000000-0005-0000-0000-000088BC0000}"/>
    <cellStyle name="SAPBEXHLevel1X 4 2 2 2 2" xfId="48092" xr:uid="{00000000-0005-0000-0000-000089BC0000}"/>
    <cellStyle name="SAPBEXHLevel1X 4 2 2 3" xfId="48093" xr:uid="{00000000-0005-0000-0000-00008ABC0000}"/>
    <cellStyle name="SAPBEXHLevel1X 4 2 3" xfId="48094" xr:uid="{00000000-0005-0000-0000-00008BBC0000}"/>
    <cellStyle name="SAPBEXHLevel1X 4 2 3 2" xfId="48095" xr:uid="{00000000-0005-0000-0000-00008CBC0000}"/>
    <cellStyle name="SAPBEXHLevel1X 4 2 3 2 2" xfId="48096" xr:uid="{00000000-0005-0000-0000-00008DBC0000}"/>
    <cellStyle name="SAPBEXHLevel1X 4 2 3 3" xfId="48097" xr:uid="{00000000-0005-0000-0000-00008EBC0000}"/>
    <cellStyle name="SAPBEXHLevel1X 4 2 4" xfId="48098" xr:uid="{00000000-0005-0000-0000-00008FBC0000}"/>
    <cellStyle name="SAPBEXHLevel1X 4 2 4 2" xfId="48099" xr:uid="{00000000-0005-0000-0000-000090BC0000}"/>
    <cellStyle name="SAPBEXHLevel1X 4 2 4 2 2" xfId="48100" xr:uid="{00000000-0005-0000-0000-000091BC0000}"/>
    <cellStyle name="SAPBEXHLevel1X 4 2 4 3" xfId="48101" xr:uid="{00000000-0005-0000-0000-000092BC0000}"/>
    <cellStyle name="SAPBEXHLevel1X 4 2 5" xfId="48102" xr:uid="{00000000-0005-0000-0000-000093BC0000}"/>
    <cellStyle name="SAPBEXHLevel1X 4 2 5 2" xfId="48103" xr:uid="{00000000-0005-0000-0000-000094BC0000}"/>
    <cellStyle name="SAPBEXHLevel1X 4 2 6" xfId="48104" xr:uid="{00000000-0005-0000-0000-000095BC0000}"/>
    <cellStyle name="SAPBEXHLevel1X 4 3" xfId="48105" xr:uid="{00000000-0005-0000-0000-000096BC0000}"/>
    <cellStyle name="SAPBEXHLevel1X 4 3 2" xfId="48106" xr:uid="{00000000-0005-0000-0000-000097BC0000}"/>
    <cellStyle name="SAPBEXHLevel1X 4 3 2 2" xfId="48107" xr:uid="{00000000-0005-0000-0000-000098BC0000}"/>
    <cellStyle name="SAPBEXHLevel1X 4 3 2 2 2" xfId="48108" xr:uid="{00000000-0005-0000-0000-000099BC0000}"/>
    <cellStyle name="SAPBEXHLevel1X 4 3 2 2 2 2" xfId="48109" xr:uid="{00000000-0005-0000-0000-00009ABC0000}"/>
    <cellStyle name="SAPBEXHLevel1X 4 3 2 2 3" xfId="48110" xr:uid="{00000000-0005-0000-0000-00009BBC0000}"/>
    <cellStyle name="SAPBEXHLevel1X 4 3 2 3" xfId="48111" xr:uid="{00000000-0005-0000-0000-00009CBC0000}"/>
    <cellStyle name="SAPBEXHLevel1X 4 3 2 3 2" xfId="48112" xr:uid="{00000000-0005-0000-0000-00009DBC0000}"/>
    <cellStyle name="SAPBEXHLevel1X 4 3 2 3 2 2" xfId="48113" xr:uid="{00000000-0005-0000-0000-00009EBC0000}"/>
    <cellStyle name="SAPBEXHLevel1X 4 3 2 3 3" xfId="48114" xr:uid="{00000000-0005-0000-0000-00009FBC0000}"/>
    <cellStyle name="SAPBEXHLevel1X 4 3 2 4" xfId="48115" xr:uid="{00000000-0005-0000-0000-0000A0BC0000}"/>
    <cellStyle name="SAPBEXHLevel1X 4 3 2 4 2" xfId="48116" xr:uid="{00000000-0005-0000-0000-0000A1BC0000}"/>
    <cellStyle name="SAPBEXHLevel1X 4 3 2 5" xfId="48117" xr:uid="{00000000-0005-0000-0000-0000A2BC0000}"/>
    <cellStyle name="SAPBEXHLevel1X 4 3 3" xfId="48118" xr:uid="{00000000-0005-0000-0000-0000A3BC0000}"/>
    <cellStyle name="SAPBEXHLevel1X 4 3 3 2" xfId="48119" xr:uid="{00000000-0005-0000-0000-0000A4BC0000}"/>
    <cellStyle name="SAPBEXHLevel1X 4 3 3 2 2" xfId="48120" xr:uid="{00000000-0005-0000-0000-0000A5BC0000}"/>
    <cellStyle name="SAPBEXHLevel1X 4 3 3 2 2 2" xfId="48121" xr:uid="{00000000-0005-0000-0000-0000A6BC0000}"/>
    <cellStyle name="SAPBEXHLevel1X 4 3 3 2 3" xfId="48122" xr:uid="{00000000-0005-0000-0000-0000A7BC0000}"/>
    <cellStyle name="SAPBEXHLevel1X 4 3 3 3" xfId="48123" xr:uid="{00000000-0005-0000-0000-0000A8BC0000}"/>
    <cellStyle name="SAPBEXHLevel1X 4 3 3 3 2" xfId="48124" xr:uid="{00000000-0005-0000-0000-0000A9BC0000}"/>
    <cellStyle name="SAPBEXHLevel1X 4 3 3 4" xfId="48125" xr:uid="{00000000-0005-0000-0000-0000AABC0000}"/>
    <cellStyle name="SAPBEXHLevel1X 4 3 4" xfId="48126" xr:uid="{00000000-0005-0000-0000-0000ABBC0000}"/>
    <cellStyle name="SAPBEXHLevel1X 4 3 4 2" xfId="48127" xr:uid="{00000000-0005-0000-0000-0000ACBC0000}"/>
    <cellStyle name="SAPBEXHLevel1X 4 3 4 2 2" xfId="48128" xr:uid="{00000000-0005-0000-0000-0000ADBC0000}"/>
    <cellStyle name="SAPBEXHLevel1X 4 3 4 3" xfId="48129" xr:uid="{00000000-0005-0000-0000-0000AEBC0000}"/>
    <cellStyle name="SAPBEXHLevel1X 4 3 5" xfId="48130" xr:uid="{00000000-0005-0000-0000-0000AFBC0000}"/>
    <cellStyle name="SAPBEXHLevel1X 4 3 5 2" xfId="48131" xr:uid="{00000000-0005-0000-0000-0000B0BC0000}"/>
    <cellStyle name="SAPBEXHLevel1X 4 3 5 2 2" xfId="48132" xr:uid="{00000000-0005-0000-0000-0000B1BC0000}"/>
    <cellStyle name="SAPBEXHLevel1X 4 3 5 3" xfId="48133" xr:uid="{00000000-0005-0000-0000-0000B2BC0000}"/>
    <cellStyle name="SAPBEXHLevel1X 4 3 6" xfId="48134" xr:uid="{00000000-0005-0000-0000-0000B3BC0000}"/>
    <cellStyle name="SAPBEXHLevel1X 4 3 6 2" xfId="48135" xr:uid="{00000000-0005-0000-0000-0000B4BC0000}"/>
    <cellStyle name="SAPBEXHLevel1X 4 3 7" xfId="48136" xr:uid="{00000000-0005-0000-0000-0000B5BC0000}"/>
    <cellStyle name="SAPBEXHLevel1X 4 4" xfId="48137" xr:uid="{00000000-0005-0000-0000-0000B6BC0000}"/>
    <cellStyle name="SAPBEXHLevel1X 4 4 2" xfId="48138" xr:uid="{00000000-0005-0000-0000-0000B7BC0000}"/>
    <cellStyle name="SAPBEXHLevel1X 4 4 2 2" xfId="48139" xr:uid="{00000000-0005-0000-0000-0000B8BC0000}"/>
    <cellStyle name="SAPBEXHLevel1X 4 4 2 2 2" xfId="48140" xr:uid="{00000000-0005-0000-0000-0000B9BC0000}"/>
    <cellStyle name="SAPBEXHLevel1X 4 4 2 3" xfId="48141" xr:uid="{00000000-0005-0000-0000-0000BABC0000}"/>
    <cellStyle name="SAPBEXHLevel1X 4 4 3" xfId="48142" xr:uid="{00000000-0005-0000-0000-0000BBBC0000}"/>
    <cellStyle name="SAPBEXHLevel1X 4 4 3 2" xfId="48143" xr:uid="{00000000-0005-0000-0000-0000BCBC0000}"/>
    <cellStyle name="SAPBEXHLevel1X 4 4 4" xfId="48144" xr:uid="{00000000-0005-0000-0000-0000BDBC0000}"/>
    <cellStyle name="SAPBEXHLevel1X 4 5" xfId="48145" xr:uid="{00000000-0005-0000-0000-0000BEBC0000}"/>
    <cellStyle name="SAPBEXHLevel1X 4 5 2" xfId="48146" xr:uid="{00000000-0005-0000-0000-0000BFBC0000}"/>
    <cellStyle name="SAPBEXHLevel1X 4 5 2 2" xfId="48147" xr:uid="{00000000-0005-0000-0000-0000C0BC0000}"/>
    <cellStyle name="SAPBEXHLevel1X 4 5 3" xfId="48148" xr:uid="{00000000-0005-0000-0000-0000C1BC0000}"/>
    <cellStyle name="SAPBEXHLevel1X 4 6" xfId="48149" xr:uid="{00000000-0005-0000-0000-0000C2BC0000}"/>
    <cellStyle name="SAPBEXHLevel1X 4 6 2" xfId="48150" xr:uid="{00000000-0005-0000-0000-0000C3BC0000}"/>
    <cellStyle name="SAPBEXHLevel1X 4 6 2 2" xfId="48151" xr:uid="{00000000-0005-0000-0000-0000C4BC0000}"/>
    <cellStyle name="SAPBEXHLevel1X 4 6 3" xfId="48152" xr:uid="{00000000-0005-0000-0000-0000C5BC0000}"/>
    <cellStyle name="SAPBEXHLevel1X 4 7" xfId="48153" xr:uid="{00000000-0005-0000-0000-0000C6BC0000}"/>
    <cellStyle name="SAPBEXHLevel1X 4 7 2" xfId="48154" xr:uid="{00000000-0005-0000-0000-0000C7BC0000}"/>
    <cellStyle name="SAPBEXHLevel1X 4 8" xfId="48155" xr:uid="{00000000-0005-0000-0000-0000C8BC0000}"/>
    <cellStyle name="SAPBEXHLevel1X 5" xfId="48156" xr:uid="{00000000-0005-0000-0000-0000C9BC0000}"/>
    <cellStyle name="SAPBEXHLevel1X 5 2" xfId="48157" xr:uid="{00000000-0005-0000-0000-0000CABC0000}"/>
    <cellStyle name="SAPBEXHLevel1X 5 2 2" xfId="48158" xr:uid="{00000000-0005-0000-0000-0000CBBC0000}"/>
    <cellStyle name="SAPBEXHLevel1X 5 2 2 2" xfId="48159" xr:uid="{00000000-0005-0000-0000-0000CCBC0000}"/>
    <cellStyle name="SAPBEXHLevel1X 5 2 3" xfId="48160" xr:uid="{00000000-0005-0000-0000-0000CDBC0000}"/>
    <cellStyle name="SAPBEXHLevel1X 5 3" xfId="48161" xr:uid="{00000000-0005-0000-0000-0000CEBC0000}"/>
    <cellStyle name="SAPBEXHLevel1X 5 3 2" xfId="48162" xr:uid="{00000000-0005-0000-0000-0000CFBC0000}"/>
    <cellStyle name="SAPBEXHLevel1X 5 3 2 2" xfId="48163" xr:uid="{00000000-0005-0000-0000-0000D0BC0000}"/>
    <cellStyle name="SAPBEXHLevel1X 5 3 3" xfId="48164" xr:uid="{00000000-0005-0000-0000-0000D1BC0000}"/>
    <cellStyle name="SAPBEXHLevel1X 5 4" xfId="48165" xr:uid="{00000000-0005-0000-0000-0000D2BC0000}"/>
    <cellStyle name="SAPBEXHLevel1X 5 4 2" xfId="48166" xr:uid="{00000000-0005-0000-0000-0000D3BC0000}"/>
    <cellStyle name="SAPBEXHLevel1X 5 4 2 2" xfId="48167" xr:uid="{00000000-0005-0000-0000-0000D4BC0000}"/>
    <cellStyle name="SAPBEXHLevel1X 5 4 3" xfId="48168" xr:uid="{00000000-0005-0000-0000-0000D5BC0000}"/>
    <cellStyle name="SAPBEXHLevel1X 5 5" xfId="48169" xr:uid="{00000000-0005-0000-0000-0000D6BC0000}"/>
    <cellStyle name="SAPBEXHLevel1X 5 5 2" xfId="48170" xr:uid="{00000000-0005-0000-0000-0000D7BC0000}"/>
    <cellStyle name="SAPBEXHLevel1X 5 6" xfId="48171" xr:uid="{00000000-0005-0000-0000-0000D8BC0000}"/>
    <cellStyle name="SAPBEXHLevel1X 6" xfId="48172" xr:uid="{00000000-0005-0000-0000-0000D9BC0000}"/>
    <cellStyle name="SAPBEXHLevel1X 6 2" xfId="48173" xr:uid="{00000000-0005-0000-0000-0000DABC0000}"/>
    <cellStyle name="SAPBEXHLevel1X 6 2 2" xfId="48174" xr:uid="{00000000-0005-0000-0000-0000DBBC0000}"/>
    <cellStyle name="SAPBEXHLevel1X 6 3" xfId="48175" xr:uid="{00000000-0005-0000-0000-0000DCBC0000}"/>
    <cellStyle name="SAPBEXHLevel1X 6 3 2" xfId="48176" xr:uid="{00000000-0005-0000-0000-0000DDBC0000}"/>
    <cellStyle name="SAPBEXHLevel1X 6 3 2 2" xfId="48177" xr:uid="{00000000-0005-0000-0000-0000DEBC0000}"/>
    <cellStyle name="SAPBEXHLevel1X 6 3 3" xfId="48178" xr:uid="{00000000-0005-0000-0000-0000DFBC0000}"/>
    <cellStyle name="SAPBEXHLevel1X 6 4" xfId="48179" xr:uid="{00000000-0005-0000-0000-0000E0BC0000}"/>
    <cellStyle name="SAPBEXHLevel1X 6 4 2" xfId="48180" xr:uid="{00000000-0005-0000-0000-0000E1BC0000}"/>
    <cellStyle name="SAPBEXHLevel1X 6 4 2 2" xfId="48181" xr:uid="{00000000-0005-0000-0000-0000E2BC0000}"/>
    <cellStyle name="SAPBEXHLevel1X 6 4 3" xfId="48182" xr:uid="{00000000-0005-0000-0000-0000E3BC0000}"/>
    <cellStyle name="SAPBEXHLevel1X 6 5" xfId="48183" xr:uid="{00000000-0005-0000-0000-0000E4BC0000}"/>
    <cellStyle name="SAPBEXHLevel1X 7" xfId="48184" xr:uid="{00000000-0005-0000-0000-0000E5BC0000}"/>
    <cellStyle name="SAPBEXHLevel1X 7 2" xfId="48185" xr:uid="{00000000-0005-0000-0000-0000E6BC0000}"/>
    <cellStyle name="SAPBEXHLevel1X 7 2 2" xfId="48186" xr:uid="{00000000-0005-0000-0000-0000E7BC0000}"/>
    <cellStyle name="SAPBEXHLevel1X 7 2 2 2" xfId="48187" xr:uid="{00000000-0005-0000-0000-0000E8BC0000}"/>
    <cellStyle name="SAPBEXHLevel1X 7 2 3" xfId="48188" xr:uid="{00000000-0005-0000-0000-0000E9BC0000}"/>
    <cellStyle name="SAPBEXHLevel1X 7 2 3 2" xfId="48189" xr:uid="{00000000-0005-0000-0000-0000EABC0000}"/>
    <cellStyle name="SAPBEXHLevel1X 7 2 3 2 2" xfId="48190" xr:uid="{00000000-0005-0000-0000-0000EBBC0000}"/>
    <cellStyle name="SAPBEXHLevel1X 7 2 3 3" xfId="48191" xr:uid="{00000000-0005-0000-0000-0000ECBC0000}"/>
    <cellStyle name="SAPBEXHLevel1X 7 2 4" xfId="48192" xr:uid="{00000000-0005-0000-0000-0000EDBC0000}"/>
    <cellStyle name="SAPBEXHLevel1X 7 3" xfId="48193" xr:uid="{00000000-0005-0000-0000-0000EEBC0000}"/>
    <cellStyle name="SAPBEXHLevel1X 7 3 2" xfId="48194" xr:uid="{00000000-0005-0000-0000-0000EFBC0000}"/>
    <cellStyle name="SAPBEXHLevel1X 7 3 2 2" xfId="48195" xr:uid="{00000000-0005-0000-0000-0000F0BC0000}"/>
    <cellStyle name="SAPBEXHLevel1X 7 3 3" xfId="48196" xr:uid="{00000000-0005-0000-0000-0000F1BC0000}"/>
    <cellStyle name="SAPBEXHLevel1X 7 4" xfId="48197" xr:uid="{00000000-0005-0000-0000-0000F2BC0000}"/>
    <cellStyle name="SAPBEXHLevel1X 7 4 2" xfId="48198" xr:uid="{00000000-0005-0000-0000-0000F3BC0000}"/>
    <cellStyle name="SAPBEXHLevel1X 7 4 2 2" xfId="48199" xr:uid="{00000000-0005-0000-0000-0000F4BC0000}"/>
    <cellStyle name="SAPBEXHLevel1X 7 4 3" xfId="48200" xr:uid="{00000000-0005-0000-0000-0000F5BC0000}"/>
    <cellStyle name="SAPBEXHLevel1X 7 5" xfId="48201" xr:uid="{00000000-0005-0000-0000-0000F6BC0000}"/>
    <cellStyle name="SAPBEXHLevel1X 7 5 2" xfId="48202" xr:uid="{00000000-0005-0000-0000-0000F7BC0000}"/>
    <cellStyle name="SAPBEXHLevel1X 7 5 2 2" xfId="48203" xr:uid="{00000000-0005-0000-0000-0000F8BC0000}"/>
    <cellStyle name="SAPBEXHLevel1X 7 5 3" xfId="48204" xr:uid="{00000000-0005-0000-0000-0000F9BC0000}"/>
    <cellStyle name="SAPBEXHLevel1X 7 6" xfId="48205" xr:uid="{00000000-0005-0000-0000-0000FABC0000}"/>
    <cellStyle name="SAPBEXHLevel1X 8" xfId="48206" xr:uid="{00000000-0005-0000-0000-0000FBBC0000}"/>
    <cellStyle name="SAPBEXHLevel1X 8 2" xfId="48207" xr:uid="{00000000-0005-0000-0000-0000FCBC0000}"/>
    <cellStyle name="SAPBEXHLevel1X 8 2 2" xfId="48208" xr:uid="{00000000-0005-0000-0000-0000FDBC0000}"/>
    <cellStyle name="SAPBEXHLevel1X 8 2 2 2" xfId="48209" xr:uid="{00000000-0005-0000-0000-0000FEBC0000}"/>
    <cellStyle name="SAPBEXHLevel1X 8 2 3" xfId="48210" xr:uid="{00000000-0005-0000-0000-0000FFBC0000}"/>
    <cellStyle name="SAPBEXHLevel1X 8 3" xfId="48211" xr:uid="{00000000-0005-0000-0000-000000BD0000}"/>
    <cellStyle name="SAPBEXHLevel1X 8 3 2" xfId="48212" xr:uid="{00000000-0005-0000-0000-000001BD0000}"/>
    <cellStyle name="SAPBEXHLevel1X 8 3 2 2" xfId="48213" xr:uid="{00000000-0005-0000-0000-000002BD0000}"/>
    <cellStyle name="SAPBEXHLevel1X 8 3 3" xfId="48214" xr:uid="{00000000-0005-0000-0000-000003BD0000}"/>
    <cellStyle name="SAPBEXHLevel1X 8 4" xfId="48215" xr:uid="{00000000-0005-0000-0000-000004BD0000}"/>
    <cellStyle name="SAPBEXHLevel1X 8 4 2" xfId="48216" xr:uid="{00000000-0005-0000-0000-000005BD0000}"/>
    <cellStyle name="SAPBEXHLevel1X 8 5" xfId="48217" xr:uid="{00000000-0005-0000-0000-000006BD0000}"/>
    <cellStyle name="SAPBEXHLevel1X 9" xfId="48218" xr:uid="{00000000-0005-0000-0000-000007BD0000}"/>
    <cellStyle name="SAPBEXHLevel1X 9 2" xfId="48219" xr:uid="{00000000-0005-0000-0000-000008BD0000}"/>
    <cellStyle name="SAPBEXHLevel1X 9 2 2" xfId="48220" xr:uid="{00000000-0005-0000-0000-000009BD0000}"/>
    <cellStyle name="SAPBEXHLevel1X 9 2 2 2" xfId="48221" xr:uid="{00000000-0005-0000-0000-00000ABD0000}"/>
    <cellStyle name="SAPBEXHLevel1X 9 2 2 2 2" xfId="48222" xr:uid="{00000000-0005-0000-0000-00000BBD0000}"/>
    <cellStyle name="SAPBEXHLevel1X 9 2 2 3" xfId="48223" xr:uid="{00000000-0005-0000-0000-00000CBD0000}"/>
    <cellStyle name="SAPBEXHLevel1X 9 2 3" xfId="48224" xr:uid="{00000000-0005-0000-0000-00000DBD0000}"/>
    <cellStyle name="SAPBEXHLevel1X 9 2 3 2" xfId="48225" xr:uid="{00000000-0005-0000-0000-00000EBD0000}"/>
    <cellStyle name="SAPBEXHLevel1X 9 2 4" xfId="48226" xr:uid="{00000000-0005-0000-0000-00000FBD0000}"/>
    <cellStyle name="SAPBEXHLevel1X 9 3" xfId="48227" xr:uid="{00000000-0005-0000-0000-000010BD0000}"/>
    <cellStyle name="SAPBEXHLevel1X 9 3 2" xfId="48228" xr:uid="{00000000-0005-0000-0000-000011BD0000}"/>
    <cellStyle name="SAPBEXHLevel1X 9 3 2 2" xfId="48229" xr:uid="{00000000-0005-0000-0000-000012BD0000}"/>
    <cellStyle name="SAPBEXHLevel1X 9 3 2 2 2" xfId="48230" xr:uid="{00000000-0005-0000-0000-000013BD0000}"/>
    <cellStyle name="SAPBEXHLevel1X 9 3 2 2 2 2" xfId="48231" xr:uid="{00000000-0005-0000-0000-000014BD0000}"/>
    <cellStyle name="SAPBEXHLevel1X 9 3 2 2 3" xfId="48232" xr:uid="{00000000-0005-0000-0000-000015BD0000}"/>
    <cellStyle name="SAPBEXHLevel1X 9 3 2 3" xfId="48233" xr:uid="{00000000-0005-0000-0000-000016BD0000}"/>
    <cellStyle name="SAPBEXHLevel1X 9 3 2 3 2" xfId="48234" xr:uid="{00000000-0005-0000-0000-000017BD0000}"/>
    <cellStyle name="SAPBEXHLevel1X 9 3 2 4" xfId="48235" xr:uid="{00000000-0005-0000-0000-000018BD0000}"/>
    <cellStyle name="SAPBEXHLevel1X 9 3 3" xfId="48236" xr:uid="{00000000-0005-0000-0000-000019BD0000}"/>
    <cellStyle name="SAPBEXHLevel1X 9 3 3 2" xfId="48237" xr:uid="{00000000-0005-0000-0000-00001ABD0000}"/>
    <cellStyle name="SAPBEXHLevel1X 9 3 3 2 2" xfId="48238" xr:uid="{00000000-0005-0000-0000-00001BBD0000}"/>
    <cellStyle name="SAPBEXHLevel1X 9 3 3 3" xfId="48239" xr:uid="{00000000-0005-0000-0000-00001CBD0000}"/>
    <cellStyle name="SAPBEXHLevel1X 9 3 4" xfId="48240" xr:uid="{00000000-0005-0000-0000-00001DBD0000}"/>
    <cellStyle name="SAPBEXHLevel1X 9 3 4 2" xfId="48241" xr:uid="{00000000-0005-0000-0000-00001EBD0000}"/>
    <cellStyle name="SAPBEXHLevel1X 9 3 5" xfId="48242" xr:uid="{00000000-0005-0000-0000-00001FBD0000}"/>
    <cellStyle name="SAPBEXHLevel1X 9 4" xfId="48243" xr:uid="{00000000-0005-0000-0000-000020BD0000}"/>
    <cellStyle name="SAPBEXHLevel1X 9 4 2" xfId="48244" xr:uid="{00000000-0005-0000-0000-000021BD0000}"/>
    <cellStyle name="SAPBEXHLevel1X 9 4 2 2" xfId="48245" xr:uid="{00000000-0005-0000-0000-000022BD0000}"/>
    <cellStyle name="SAPBEXHLevel1X 9 4 3" xfId="48246" xr:uid="{00000000-0005-0000-0000-000023BD0000}"/>
    <cellStyle name="SAPBEXHLevel1X 9 5" xfId="48247" xr:uid="{00000000-0005-0000-0000-000024BD0000}"/>
    <cellStyle name="SAPBEXHLevel1X 9 5 2" xfId="48248" xr:uid="{00000000-0005-0000-0000-000025BD0000}"/>
    <cellStyle name="SAPBEXHLevel1X 9 5 2 2" xfId="48249" xr:uid="{00000000-0005-0000-0000-000026BD0000}"/>
    <cellStyle name="SAPBEXHLevel1X 9 5 3" xfId="48250" xr:uid="{00000000-0005-0000-0000-000027BD0000}"/>
    <cellStyle name="SAPBEXHLevel1X 9 6" xfId="48251" xr:uid="{00000000-0005-0000-0000-000028BD0000}"/>
    <cellStyle name="SAPBEXHLevel1X 9 6 2" xfId="48252" xr:uid="{00000000-0005-0000-0000-000029BD0000}"/>
    <cellStyle name="SAPBEXHLevel1X 9 7" xfId="48253" xr:uid="{00000000-0005-0000-0000-00002ABD0000}"/>
    <cellStyle name="SAPBEXHLevel2" xfId="64" xr:uid="{00000000-0005-0000-0000-00002BBD0000}"/>
    <cellStyle name="SAPBEXHLevel2 10" xfId="48254" xr:uid="{00000000-0005-0000-0000-00002CBD0000}"/>
    <cellStyle name="SAPBEXHLevel2 10 2" xfId="48255" xr:uid="{00000000-0005-0000-0000-00002DBD0000}"/>
    <cellStyle name="SAPBEXHLevel2 10 2 2" xfId="48256" xr:uid="{00000000-0005-0000-0000-00002EBD0000}"/>
    <cellStyle name="SAPBEXHLevel2 10 3" xfId="48257" xr:uid="{00000000-0005-0000-0000-00002FBD0000}"/>
    <cellStyle name="SAPBEXHLevel2 11" xfId="48258" xr:uid="{00000000-0005-0000-0000-000030BD0000}"/>
    <cellStyle name="SAPBEXHLevel2 11 2" xfId="48259" xr:uid="{00000000-0005-0000-0000-000031BD0000}"/>
    <cellStyle name="SAPBEXHLevel2 12" xfId="48260" xr:uid="{00000000-0005-0000-0000-000032BD0000}"/>
    <cellStyle name="SAPBEXHLevel2 12 2" xfId="48261" xr:uid="{00000000-0005-0000-0000-000033BD0000}"/>
    <cellStyle name="SAPBEXHLevel2 12 2 2" xfId="48262" xr:uid="{00000000-0005-0000-0000-000034BD0000}"/>
    <cellStyle name="SAPBEXHLevel2 12 3" xfId="48263" xr:uid="{00000000-0005-0000-0000-000035BD0000}"/>
    <cellStyle name="SAPBEXHLevel2 12 3 2" xfId="48264" xr:uid="{00000000-0005-0000-0000-000036BD0000}"/>
    <cellStyle name="SAPBEXHLevel2 12 4" xfId="48265" xr:uid="{00000000-0005-0000-0000-000037BD0000}"/>
    <cellStyle name="SAPBEXHLevel2 13" xfId="48266" xr:uid="{00000000-0005-0000-0000-000038BD0000}"/>
    <cellStyle name="SAPBEXHLevel2 13 2" xfId="48267" xr:uid="{00000000-0005-0000-0000-000039BD0000}"/>
    <cellStyle name="SAPBEXHLevel2 14" xfId="48268" xr:uid="{00000000-0005-0000-0000-00003ABD0000}"/>
    <cellStyle name="SAPBEXHLevel2 14 2" xfId="48269" xr:uid="{00000000-0005-0000-0000-00003BBD0000}"/>
    <cellStyle name="SAPBEXHLevel2 14 3" xfId="48270" xr:uid="{00000000-0005-0000-0000-00003CBD0000}"/>
    <cellStyle name="SAPBEXHLevel2 15" xfId="48271" xr:uid="{00000000-0005-0000-0000-00003DBD0000}"/>
    <cellStyle name="SAPBEXHLevel2 15 2" xfId="48272" xr:uid="{00000000-0005-0000-0000-00003EBD0000}"/>
    <cellStyle name="SAPBEXHLevel2 16" xfId="48273" xr:uid="{00000000-0005-0000-0000-00003FBD0000}"/>
    <cellStyle name="SAPBEXHLevel2 16 2" xfId="48274" xr:uid="{00000000-0005-0000-0000-000040BD0000}"/>
    <cellStyle name="SAPBEXHLevel2 17" xfId="48275" xr:uid="{00000000-0005-0000-0000-000041BD0000}"/>
    <cellStyle name="SAPBEXHLevel2 18" xfId="48276" xr:uid="{00000000-0005-0000-0000-000042BD0000}"/>
    <cellStyle name="SAPBEXHLevel2 2" xfId="88" xr:uid="{00000000-0005-0000-0000-000043BD0000}"/>
    <cellStyle name="SAPBEXHLevel2 2 2" xfId="48277" xr:uid="{00000000-0005-0000-0000-000044BD0000}"/>
    <cellStyle name="SAPBEXHLevel2 2 2 2" xfId="48278" xr:uid="{00000000-0005-0000-0000-000045BD0000}"/>
    <cellStyle name="SAPBEXHLevel2 2 2 2 2" xfId="48279" xr:uid="{00000000-0005-0000-0000-000046BD0000}"/>
    <cellStyle name="SAPBEXHLevel2 2 2 2 2 2" xfId="48280" xr:uid="{00000000-0005-0000-0000-000047BD0000}"/>
    <cellStyle name="SAPBEXHLevel2 2 2 2 3" xfId="48281" xr:uid="{00000000-0005-0000-0000-000048BD0000}"/>
    <cellStyle name="SAPBEXHLevel2 2 2 3" xfId="48282" xr:uid="{00000000-0005-0000-0000-000049BD0000}"/>
    <cellStyle name="SAPBEXHLevel2 2 2 3 2" xfId="48283" xr:uid="{00000000-0005-0000-0000-00004ABD0000}"/>
    <cellStyle name="SAPBEXHLevel2 2 2 3 2 2" xfId="48284" xr:uid="{00000000-0005-0000-0000-00004BBD0000}"/>
    <cellStyle name="SAPBEXHLevel2 2 2 3 3" xfId="48285" xr:uid="{00000000-0005-0000-0000-00004CBD0000}"/>
    <cellStyle name="SAPBEXHLevel2 2 2 4" xfId="48286" xr:uid="{00000000-0005-0000-0000-00004DBD0000}"/>
    <cellStyle name="SAPBEXHLevel2 2 2 4 2" xfId="48287" xr:uid="{00000000-0005-0000-0000-00004EBD0000}"/>
    <cellStyle name="SAPBEXHLevel2 2 2 4 2 2" xfId="48288" xr:uid="{00000000-0005-0000-0000-00004FBD0000}"/>
    <cellStyle name="SAPBEXHLevel2 2 2 4 3" xfId="48289" xr:uid="{00000000-0005-0000-0000-000050BD0000}"/>
    <cellStyle name="SAPBEXHLevel2 2 2 5" xfId="48290" xr:uid="{00000000-0005-0000-0000-000051BD0000}"/>
    <cellStyle name="SAPBEXHLevel2 2 2 5 2" xfId="48291" xr:uid="{00000000-0005-0000-0000-000052BD0000}"/>
    <cellStyle name="SAPBEXHLevel2 2 2 6" xfId="48292" xr:uid="{00000000-0005-0000-0000-000053BD0000}"/>
    <cellStyle name="SAPBEXHLevel2 2 3" xfId="48293" xr:uid="{00000000-0005-0000-0000-000054BD0000}"/>
    <cellStyle name="SAPBEXHLevel2 2 3 2" xfId="48294" xr:uid="{00000000-0005-0000-0000-000055BD0000}"/>
    <cellStyle name="SAPBEXHLevel2 2 3 2 2" xfId="48295" xr:uid="{00000000-0005-0000-0000-000056BD0000}"/>
    <cellStyle name="SAPBEXHLevel2 2 3 2 2 2" xfId="48296" xr:uid="{00000000-0005-0000-0000-000057BD0000}"/>
    <cellStyle name="SAPBEXHLevel2 2 3 2 2 2 2" xfId="48297" xr:uid="{00000000-0005-0000-0000-000058BD0000}"/>
    <cellStyle name="SAPBEXHLevel2 2 3 2 2 3" xfId="48298" xr:uid="{00000000-0005-0000-0000-000059BD0000}"/>
    <cellStyle name="SAPBEXHLevel2 2 3 2 3" xfId="48299" xr:uid="{00000000-0005-0000-0000-00005ABD0000}"/>
    <cellStyle name="SAPBEXHLevel2 2 3 2 3 2" xfId="48300" xr:uid="{00000000-0005-0000-0000-00005BBD0000}"/>
    <cellStyle name="SAPBEXHLevel2 2 3 2 3 2 2" xfId="48301" xr:uid="{00000000-0005-0000-0000-00005CBD0000}"/>
    <cellStyle name="SAPBEXHLevel2 2 3 2 3 3" xfId="48302" xr:uid="{00000000-0005-0000-0000-00005DBD0000}"/>
    <cellStyle name="SAPBEXHLevel2 2 3 2 4" xfId="48303" xr:uid="{00000000-0005-0000-0000-00005EBD0000}"/>
    <cellStyle name="SAPBEXHLevel2 2 3 2 4 2" xfId="48304" xr:uid="{00000000-0005-0000-0000-00005FBD0000}"/>
    <cellStyle name="SAPBEXHLevel2 2 3 2 5" xfId="48305" xr:uid="{00000000-0005-0000-0000-000060BD0000}"/>
    <cellStyle name="SAPBEXHLevel2 2 3 3" xfId="48306" xr:uid="{00000000-0005-0000-0000-000061BD0000}"/>
    <cellStyle name="SAPBEXHLevel2 2 3 3 2" xfId="48307" xr:uid="{00000000-0005-0000-0000-000062BD0000}"/>
    <cellStyle name="SAPBEXHLevel2 2 3 3 2 2" xfId="48308" xr:uid="{00000000-0005-0000-0000-000063BD0000}"/>
    <cellStyle name="SAPBEXHLevel2 2 3 3 2 2 2" xfId="48309" xr:uid="{00000000-0005-0000-0000-000064BD0000}"/>
    <cellStyle name="SAPBEXHLevel2 2 3 3 2 3" xfId="48310" xr:uid="{00000000-0005-0000-0000-000065BD0000}"/>
    <cellStyle name="SAPBEXHLevel2 2 3 3 3" xfId="48311" xr:uid="{00000000-0005-0000-0000-000066BD0000}"/>
    <cellStyle name="SAPBEXHLevel2 2 3 3 3 2" xfId="48312" xr:uid="{00000000-0005-0000-0000-000067BD0000}"/>
    <cellStyle name="SAPBEXHLevel2 2 3 3 4" xfId="48313" xr:uid="{00000000-0005-0000-0000-000068BD0000}"/>
    <cellStyle name="SAPBEXHLevel2 2 3 4" xfId="48314" xr:uid="{00000000-0005-0000-0000-000069BD0000}"/>
    <cellStyle name="SAPBEXHLevel2 2 3 4 2" xfId="48315" xr:uid="{00000000-0005-0000-0000-00006ABD0000}"/>
    <cellStyle name="SAPBEXHLevel2 2 3 4 2 2" xfId="48316" xr:uid="{00000000-0005-0000-0000-00006BBD0000}"/>
    <cellStyle name="SAPBEXHLevel2 2 3 4 3" xfId="48317" xr:uid="{00000000-0005-0000-0000-00006CBD0000}"/>
    <cellStyle name="SAPBEXHLevel2 2 3 5" xfId="48318" xr:uid="{00000000-0005-0000-0000-00006DBD0000}"/>
    <cellStyle name="SAPBEXHLevel2 2 3 5 2" xfId="48319" xr:uid="{00000000-0005-0000-0000-00006EBD0000}"/>
    <cellStyle name="SAPBEXHLevel2 2 3 5 2 2" xfId="48320" xr:uid="{00000000-0005-0000-0000-00006FBD0000}"/>
    <cellStyle name="SAPBEXHLevel2 2 3 5 3" xfId="48321" xr:uid="{00000000-0005-0000-0000-000070BD0000}"/>
    <cellStyle name="SAPBEXHLevel2 2 3 6" xfId="48322" xr:uid="{00000000-0005-0000-0000-000071BD0000}"/>
    <cellStyle name="SAPBEXHLevel2 2 3 6 2" xfId="48323" xr:uid="{00000000-0005-0000-0000-000072BD0000}"/>
    <cellStyle name="SAPBEXHLevel2 2 3 7" xfId="48324" xr:uid="{00000000-0005-0000-0000-000073BD0000}"/>
    <cellStyle name="SAPBEXHLevel2 2 4" xfId="48325" xr:uid="{00000000-0005-0000-0000-000074BD0000}"/>
    <cellStyle name="SAPBEXHLevel2 2 4 2" xfId="48326" xr:uid="{00000000-0005-0000-0000-000075BD0000}"/>
    <cellStyle name="SAPBEXHLevel2 2 4 2 2" xfId="48327" xr:uid="{00000000-0005-0000-0000-000076BD0000}"/>
    <cellStyle name="SAPBEXHLevel2 2 4 2 2 2" xfId="48328" xr:uid="{00000000-0005-0000-0000-000077BD0000}"/>
    <cellStyle name="SAPBEXHLevel2 2 4 2 2 2 2" xfId="48329" xr:uid="{00000000-0005-0000-0000-000078BD0000}"/>
    <cellStyle name="SAPBEXHLevel2 2 4 2 2 2 2 2" xfId="48330" xr:uid="{00000000-0005-0000-0000-000079BD0000}"/>
    <cellStyle name="SAPBEXHLevel2 2 4 2 2 2 2 2 2" xfId="48331" xr:uid="{00000000-0005-0000-0000-00007ABD0000}"/>
    <cellStyle name="SAPBEXHLevel2 2 4 2 2 2 2 3" xfId="48332" xr:uid="{00000000-0005-0000-0000-00007BBD0000}"/>
    <cellStyle name="SAPBEXHLevel2 2 4 2 2 2 3" xfId="48333" xr:uid="{00000000-0005-0000-0000-00007CBD0000}"/>
    <cellStyle name="SAPBEXHLevel2 2 4 2 2 2 3 2" xfId="48334" xr:uid="{00000000-0005-0000-0000-00007DBD0000}"/>
    <cellStyle name="SAPBEXHLevel2 2 4 2 2 2 4" xfId="48335" xr:uid="{00000000-0005-0000-0000-00007EBD0000}"/>
    <cellStyle name="SAPBEXHLevel2 2 4 2 2 3" xfId="48336" xr:uid="{00000000-0005-0000-0000-00007FBD0000}"/>
    <cellStyle name="SAPBEXHLevel2 2 4 2 2 3 2" xfId="48337" xr:uid="{00000000-0005-0000-0000-000080BD0000}"/>
    <cellStyle name="SAPBEXHLevel2 2 4 2 2 3 2 2" xfId="48338" xr:uid="{00000000-0005-0000-0000-000081BD0000}"/>
    <cellStyle name="SAPBEXHLevel2 2 4 2 2 3 3" xfId="48339" xr:uid="{00000000-0005-0000-0000-000082BD0000}"/>
    <cellStyle name="SAPBEXHLevel2 2 4 2 2 4" xfId="48340" xr:uid="{00000000-0005-0000-0000-000083BD0000}"/>
    <cellStyle name="SAPBEXHLevel2 2 4 2 2 4 2" xfId="48341" xr:uid="{00000000-0005-0000-0000-000084BD0000}"/>
    <cellStyle name="SAPBEXHLevel2 2 4 2 2 5" xfId="48342" xr:uid="{00000000-0005-0000-0000-000085BD0000}"/>
    <cellStyle name="SAPBEXHLevel2 2 4 2 3" xfId="48343" xr:uid="{00000000-0005-0000-0000-000086BD0000}"/>
    <cellStyle name="SAPBEXHLevel2 2 4 2 3 2" xfId="48344" xr:uid="{00000000-0005-0000-0000-000087BD0000}"/>
    <cellStyle name="SAPBEXHLevel2 2 4 2 3 2 2" xfId="48345" xr:uid="{00000000-0005-0000-0000-000088BD0000}"/>
    <cellStyle name="SAPBEXHLevel2 2 4 2 3 3" xfId="48346" xr:uid="{00000000-0005-0000-0000-000089BD0000}"/>
    <cellStyle name="SAPBEXHLevel2 2 4 2 4" xfId="48347" xr:uid="{00000000-0005-0000-0000-00008ABD0000}"/>
    <cellStyle name="SAPBEXHLevel2 2 4 2 4 2" xfId="48348" xr:uid="{00000000-0005-0000-0000-00008BBD0000}"/>
    <cellStyle name="SAPBEXHLevel2 2 4 2 4 2 2" xfId="48349" xr:uid="{00000000-0005-0000-0000-00008CBD0000}"/>
    <cellStyle name="SAPBEXHLevel2 2 4 2 4 2 2 2" xfId="48350" xr:uid="{00000000-0005-0000-0000-00008DBD0000}"/>
    <cellStyle name="SAPBEXHLevel2 2 4 2 4 2 3" xfId="48351" xr:uid="{00000000-0005-0000-0000-00008EBD0000}"/>
    <cellStyle name="SAPBEXHLevel2 2 4 2 4 3" xfId="48352" xr:uid="{00000000-0005-0000-0000-00008FBD0000}"/>
    <cellStyle name="SAPBEXHLevel2 2 4 2 4 3 2" xfId="48353" xr:uid="{00000000-0005-0000-0000-000090BD0000}"/>
    <cellStyle name="SAPBEXHLevel2 2 4 2 4 4" xfId="48354" xr:uid="{00000000-0005-0000-0000-000091BD0000}"/>
    <cellStyle name="SAPBEXHLevel2 2 4 2 5" xfId="48355" xr:uid="{00000000-0005-0000-0000-000092BD0000}"/>
    <cellStyle name="SAPBEXHLevel2 2 4 2 5 2" xfId="48356" xr:uid="{00000000-0005-0000-0000-000093BD0000}"/>
    <cellStyle name="SAPBEXHLevel2 2 4 2 5 2 2" xfId="48357" xr:uid="{00000000-0005-0000-0000-000094BD0000}"/>
    <cellStyle name="SAPBEXHLevel2 2 4 2 5 3" xfId="48358" xr:uid="{00000000-0005-0000-0000-000095BD0000}"/>
    <cellStyle name="SAPBEXHLevel2 2 4 2 6" xfId="48359" xr:uid="{00000000-0005-0000-0000-000096BD0000}"/>
    <cellStyle name="SAPBEXHLevel2 2 4 2 6 2" xfId="48360" xr:uid="{00000000-0005-0000-0000-000097BD0000}"/>
    <cellStyle name="SAPBEXHLevel2 2 4 2 7" xfId="48361" xr:uid="{00000000-0005-0000-0000-000098BD0000}"/>
    <cellStyle name="SAPBEXHLevel2 2 4 3" xfId="48362" xr:uid="{00000000-0005-0000-0000-000099BD0000}"/>
    <cellStyle name="SAPBEXHLevel2 2 4 3 2" xfId="48363" xr:uid="{00000000-0005-0000-0000-00009ABD0000}"/>
    <cellStyle name="SAPBEXHLevel2 2 4 3 2 2" xfId="48364" xr:uid="{00000000-0005-0000-0000-00009BBD0000}"/>
    <cellStyle name="SAPBEXHLevel2 2 4 3 2 2 2" xfId="48365" xr:uid="{00000000-0005-0000-0000-00009CBD0000}"/>
    <cellStyle name="SAPBEXHLevel2 2 4 3 2 2 2 2" xfId="48366" xr:uid="{00000000-0005-0000-0000-00009DBD0000}"/>
    <cellStyle name="SAPBEXHLevel2 2 4 3 2 2 2 2 2" xfId="48367" xr:uid="{00000000-0005-0000-0000-00009EBD0000}"/>
    <cellStyle name="SAPBEXHLevel2 2 4 3 2 2 2 3" xfId="48368" xr:uid="{00000000-0005-0000-0000-00009FBD0000}"/>
    <cellStyle name="SAPBEXHLevel2 2 4 3 2 2 3" xfId="48369" xr:uid="{00000000-0005-0000-0000-0000A0BD0000}"/>
    <cellStyle name="SAPBEXHLevel2 2 4 3 2 2 3 2" xfId="48370" xr:uid="{00000000-0005-0000-0000-0000A1BD0000}"/>
    <cellStyle name="SAPBEXHLevel2 2 4 3 2 2 4" xfId="48371" xr:uid="{00000000-0005-0000-0000-0000A2BD0000}"/>
    <cellStyle name="SAPBEXHLevel2 2 4 3 2 3" xfId="48372" xr:uid="{00000000-0005-0000-0000-0000A3BD0000}"/>
    <cellStyle name="SAPBEXHLevel2 2 4 3 2 3 2" xfId="48373" xr:uid="{00000000-0005-0000-0000-0000A4BD0000}"/>
    <cellStyle name="SAPBEXHLevel2 2 4 3 2 3 2 2" xfId="48374" xr:uid="{00000000-0005-0000-0000-0000A5BD0000}"/>
    <cellStyle name="SAPBEXHLevel2 2 4 3 2 3 3" xfId="48375" xr:uid="{00000000-0005-0000-0000-0000A6BD0000}"/>
    <cellStyle name="SAPBEXHLevel2 2 4 3 2 4" xfId="48376" xr:uid="{00000000-0005-0000-0000-0000A7BD0000}"/>
    <cellStyle name="SAPBEXHLevel2 2 4 3 2 4 2" xfId="48377" xr:uid="{00000000-0005-0000-0000-0000A8BD0000}"/>
    <cellStyle name="SAPBEXHLevel2 2 4 3 2 5" xfId="48378" xr:uid="{00000000-0005-0000-0000-0000A9BD0000}"/>
    <cellStyle name="SAPBEXHLevel2 2 4 3 3" xfId="48379" xr:uid="{00000000-0005-0000-0000-0000AABD0000}"/>
    <cellStyle name="SAPBEXHLevel2 2 4 3 3 2" xfId="48380" xr:uid="{00000000-0005-0000-0000-0000ABBD0000}"/>
    <cellStyle name="SAPBEXHLevel2 2 4 3 3 2 2" xfId="48381" xr:uid="{00000000-0005-0000-0000-0000ACBD0000}"/>
    <cellStyle name="SAPBEXHLevel2 2 4 3 3 2 2 2" xfId="48382" xr:uid="{00000000-0005-0000-0000-0000ADBD0000}"/>
    <cellStyle name="SAPBEXHLevel2 2 4 3 3 2 3" xfId="48383" xr:uid="{00000000-0005-0000-0000-0000AEBD0000}"/>
    <cellStyle name="SAPBEXHLevel2 2 4 3 3 3" xfId="48384" xr:uid="{00000000-0005-0000-0000-0000AFBD0000}"/>
    <cellStyle name="SAPBEXHLevel2 2 4 3 3 3 2" xfId="48385" xr:uid="{00000000-0005-0000-0000-0000B0BD0000}"/>
    <cellStyle name="SAPBEXHLevel2 2 4 3 3 4" xfId="48386" xr:uid="{00000000-0005-0000-0000-0000B1BD0000}"/>
    <cellStyle name="SAPBEXHLevel2 2 4 3 4" xfId="48387" xr:uid="{00000000-0005-0000-0000-0000B2BD0000}"/>
    <cellStyle name="SAPBEXHLevel2 2 4 3 4 2" xfId="48388" xr:uid="{00000000-0005-0000-0000-0000B3BD0000}"/>
    <cellStyle name="SAPBEXHLevel2 2 4 3 4 2 2" xfId="48389" xr:uid="{00000000-0005-0000-0000-0000B4BD0000}"/>
    <cellStyle name="SAPBEXHLevel2 2 4 3 4 3" xfId="48390" xr:uid="{00000000-0005-0000-0000-0000B5BD0000}"/>
    <cellStyle name="SAPBEXHLevel2 2 4 3 5" xfId="48391" xr:uid="{00000000-0005-0000-0000-0000B6BD0000}"/>
    <cellStyle name="SAPBEXHLevel2 2 4 3 5 2" xfId="48392" xr:uid="{00000000-0005-0000-0000-0000B7BD0000}"/>
    <cellStyle name="SAPBEXHLevel2 2 4 3 6" xfId="48393" xr:uid="{00000000-0005-0000-0000-0000B8BD0000}"/>
    <cellStyle name="SAPBEXHLevel2 2 4 4" xfId="48394" xr:uid="{00000000-0005-0000-0000-0000B9BD0000}"/>
    <cellStyle name="SAPBEXHLevel2 2 4 4 2" xfId="48395" xr:uid="{00000000-0005-0000-0000-0000BABD0000}"/>
    <cellStyle name="SAPBEXHLevel2 2 4 4 2 2" xfId="48396" xr:uid="{00000000-0005-0000-0000-0000BBBD0000}"/>
    <cellStyle name="SAPBEXHLevel2 2 4 4 3" xfId="48397" xr:uid="{00000000-0005-0000-0000-0000BCBD0000}"/>
    <cellStyle name="SAPBEXHLevel2 2 4 5" xfId="48398" xr:uid="{00000000-0005-0000-0000-0000BDBD0000}"/>
    <cellStyle name="SAPBEXHLevel2 2 4 5 2" xfId="48399" xr:uid="{00000000-0005-0000-0000-0000BEBD0000}"/>
    <cellStyle name="SAPBEXHLevel2 2 4 5 2 2" xfId="48400" xr:uid="{00000000-0005-0000-0000-0000BFBD0000}"/>
    <cellStyle name="SAPBEXHLevel2 2 4 5 2 2 2" xfId="48401" xr:uid="{00000000-0005-0000-0000-0000C0BD0000}"/>
    <cellStyle name="SAPBEXHLevel2 2 4 5 2 3" xfId="48402" xr:uid="{00000000-0005-0000-0000-0000C1BD0000}"/>
    <cellStyle name="SAPBEXHLevel2 2 4 5 3" xfId="48403" xr:uid="{00000000-0005-0000-0000-0000C2BD0000}"/>
    <cellStyle name="SAPBEXHLevel2 2 4 5 3 2" xfId="48404" xr:uid="{00000000-0005-0000-0000-0000C3BD0000}"/>
    <cellStyle name="SAPBEXHLevel2 2 4 5 4" xfId="48405" xr:uid="{00000000-0005-0000-0000-0000C4BD0000}"/>
    <cellStyle name="SAPBEXHLevel2 2 4 6" xfId="48406" xr:uid="{00000000-0005-0000-0000-0000C5BD0000}"/>
    <cellStyle name="SAPBEXHLevel2 2 4 6 2" xfId="48407" xr:uid="{00000000-0005-0000-0000-0000C6BD0000}"/>
    <cellStyle name="SAPBEXHLevel2 2 4 6 2 2" xfId="48408" xr:uid="{00000000-0005-0000-0000-0000C7BD0000}"/>
    <cellStyle name="SAPBEXHLevel2 2 4 6 3" xfId="48409" xr:uid="{00000000-0005-0000-0000-0000C8BD0000}"/>
    <cellStyle name="SAPBEXHLevel2 2 4 7" xfId="48410" xr:uid="{00000000-0005-0000-0000-0000C9BD0000}"/>
    <cellStyle name="SAPBEXHLevel2 2 4 7 2" xfId="48411" xr:uid="{00000000-0005-0000-0000-0000CABD0000}"/>
    <cellStyle name="SAPBEXHLevel2 2 4 8" xfId="48412" xr:uid="{00000000-0005-0000-0000-0000CBBD0000}"/>
    <cellStyle name="SAPBEXHLevel2 2 5" xfId="48413" xr:uid="{00000000-0005-0000-0000-0000CCBD0000}"/>
    <cellStyle name="SAPBEXHLevel2 2 5 2" xfId="48414" xr:uid="{00000000-0005-0000-0000-0000CDBD0000}"/>
    <cellStyle name="SAPBEXHLevel2 2 5 2 2" xfId="48415" xr:uid="{00000000-0005-0000-0000-0000CEBD0000}"/>
    <cellStyle name="SAPBEXHLevel2 2 5 2 2 2" xfId="48416" xr:uid="{00000000-0005-0000-0000-0000CFBD0000}"/>
    <cellStyle name="SAPBEXHLevel2 2 5 2 3" xfId="48417" xr:uid="{00000000-0005-0000-0000-0000D0BD0000}"/>
    <cellStyle name="SAPBEXHLevel2 2 5 3" xfId="48418" xr:uid="{00000000-0005-0000-0000-0000D1BD0000}"/>
    <cellStyle name="SAPBEXHLevel2 2 5 3 2" xfId="48419" xr:uid="{00000000-0005-0000-0000-0000D2BD0000}"/>
    <cellStyle name="SAPBEXHLevel2 2 5 4" xfId="48420" xr:uid="{00000000-0005-0000-0000-0000D3BD0000}"/>
    <cellStyle name="SAPBEXHLevel2 2 6" xfId="48421" xr:uid="{00000000-0005-0000-0000-0000D4BD0000}"/>
    <cellStyle name="SAPBEXHLevel2 2 6 2" xfId="48422" xr:uid="{00000000-0005-0000-0000-0000D5BD0000}"/>
    <cellStyle name="SAPBEXHLevel2 2 6 2 2" xfId="48423" xr:uid="{00000000-0005-0000-0000-0000D6BD0000}"/>
    <cellStyle name="SAPBEXHLevel2 2 6 3" xfId="48424" xr:uid="{00000000-0005-0000-0000-0000D7BD0000}"/>
    <cellStyle name="SAPBEXHLevel2 2 7" xfId="48425" xr:uid="{00000000-0005-0000-0000-0000D8BD0000}"/>
    <cellStyle name="SAPBEXHLevel2 2 7 2" xfId="48426" xr:uid="{00000000-0005-0000-0000-0000D9BD0000}"/>
    <cellStyle name="SAPBEXHLevel2 2 7 2 2" xfId="48427" xr:uid="{00000000-0005-0000-0000-0000DABD0000}"/>
    <cellStyle name="SAPBEXHLevel2 2 7 3" xfId="48428" xr:uid="{00000000-0005-0000-0000-0000DBBD0000}"/>
    <cellStyle name="SAPBEXHLevel2 2 8" xfId="48429" xr:uid="{00000000-0005-0000-0000-0000DCBD0000}"/>
    <cellStyle name="SAPBEXHLevel2 2 8 2" xfId="48430" xr:uid="{00000000-0005-0000-0000-0000DDBD0000}"/>
    <cellStyle name="SAPBEXHLevel2 2 9" xfId="48431" xr:uid="{00000000-0005-0000-0000-0000DEBD0000}"/>
    <cellStyle name="SAPBEXHLevel2 3" xfId="48432" xr:uid="{00000000-0005-0000-0000-0000DFBD0000}"/>
    <cellStyle name="SAPBEXHLevel2 3 2" xfId="48433" xr:uid="{00000000-0005-0000-0000-0000E0BD0000}"/>
    <cellStyle name="SAPBEXHLevel2 3 2 2" xfId="48434" xr:uid="{00000000-0005-0000-0000-0000E1BD0000}"/>
    <cellStyle name="SAPBEXHLevel2 3 2 2 2" xfId="48435" xr:uid="{00000000-0005-0000-0000-0000E2BD0000}"/>
    <cellStyle name="SAPBEXHLevel2 3 2 2 2 2" xfId="48436" xr:uid="{00000000-0005-0000-0000-0000E3BD0000}"/>
    <cellStyle name="SAPBEXHLevel2 3 2 2 3" xfId="48437" xr:uid="{00000000-0005-0000-0000-0000E4BD0000}"/>
    <cellStyle name="SAPBEXHLevel2 3 2 3" xfId="48438" xr:uid="{00000000-0005-0000-0000-0000E5BD0000}"/>
    <cellStyle name="SAPBEXHLevel2 3 2 3 2" xfId="48439" xr:uid="{00000000-0005-0000-0000-0000E6BD0000}"/>
    <cellStyle name="SAPBEXHLevel2 3 2 3 2 2" xfId="48440" xr:uid="{00000000-0005-0000-0000-0000E7BD0000}"/>
    <cellStyle name="SAPBEXHLevel2 3 2 3 3" xfId="48441" xr:uid="{00000000-0005-0000-0000-0000E8BD0000}"/>
    <cellStyle name="SAPBEXHLevel2 3 2 4" xfId="48442" xr:uid="{00000000-0005-0000-0000-0000E9BD0000}"/>
    <cellStyle name="SAPBEXHLevel2 3 2 4 2" xfId="48443" xr:uid="{00000000-0005-0000-0000-0000EABD0000}"/>
    <cellStyle name="SAPBEXHLevel2 3 2 4 2 2" xfId="48444" xr:uid="{00000000-0005-0000-0000-0000EBBD0000}"/>
    <cellStyle name="SAPBEXHLevel2 3 2 4 3" xfId="48445" xr:uid="{00000000-0005-0000-0000-0000ECBD0000}"/>
    <cellStyle name="SAPBEXHLevel2 3 2 5" xfId="48446" xr:uid="{00000000-0005-0000-0000-0000EDBD0000}"/>
    <cellStyle name="SAPBEXHLevel2 3 2 5 2" xfId="48447" xr:uid="{00000000-0005-0000-0000-0000EEBD0000}"/>
    <cellStyle name="SAPBEXHLevel2 3 2 6" xfId="48448" xr:uid="{00000000-0005-0000-0000-0000EFBD0000}"/>
    <cellStyle name="SAPBEXHLevel2 3 3" xfId="48449" xr:uid="{00000000-0005-0000-0000-0000F0BD0000}"/>
    <cellStyle name="SAPBEXHLevel2 3 3 2" xfId="48450" xr:uid="{00000000-0005-0000-0000-0000F1BD0000}"/>
    <cellStyle name="SAPBEXHLevel2 3 3 2 2" xfId="48451" xr:uid="{00000000-0005-0000-0000-0000F2BD0000}"/>
    <cellStyle name="SAPBEXHLevel2 3 3 2 2 2" xfId="48452" xr:uid="{00000000-0005-0000-0000-0000F3BD0000}"/>
    <cellStyle name="SAPBEXHLevel2 3 3 2 3" xfId="48453" xr:uid="{00000000-0005-0000-0000-0000F4BD0000}"/>
    <cellStyle name="SAPBEXHLevel2 3 3 3" xfId="48454" xr:uid="{00000000-0005-0000-0000-0000F5BD0000}"/>
    <cellStyle name="SAPBEXHLevel2 3 3 3 2" xfId="48455" xr:uid="{00000000-0005-0000-0000-0000F6BD0000}"/>
    <cellStyle name="SAPBEXHLevel2 3 3 4" xfId="48456" xr:uid="{00000000-0005-0000-0000-0000F7BD0000}"/>
    <cellStyle name="SAPBEXHLevel2 3 4" xfId="48457" xr:uid="{00000000-0005-0000-0000-0000F8BD0000}"/>
    <cellStyle name="SAPBEXHLevel2 3 4 2" xfId="48458" xr:uid="{00000000-0005-0000-0000-0000F9BD0000}"/>
    <cellStyle name="SAPBEXHLevel2 3 4 2 2" xfId="48459" xr:uid="{00000000-0005-0000-0000-0000FABD0000}"/>
    <cellStyle name="SAPBEXHLevel2 3 4 3" xfId="48460" xr:uid="{00000000-0005-0000-0000-0000FBBD0000}"/>
    <cellStyle name="SAPBEXHLevel2 3 5" xfId="48461" xr:uid="{00000000-0005-0000-0000-0000FCBD0000}"/>
    <cellStyle name="SAPBEXHLevel2 3 5 2" xfId="48462" xr:uid="{00000000-0005-0000-0000-0000FDBD0000}"/>
    <cellStyle name="SAPBEXHLevel2 3 5 2 2" xfId="48463" xr:uid="{00000000-0005-0000-0000-0000FEBD0000}"/>
    <cellStyle name="SAPBEXHLevel2 3 5 3" xfId="48464" xr:uid="{00000000-0005-0000-0000-0000FFBD0000}"/>
    <cellStyle name="SAPBEXHLevel2 3 6" xfId="48465" xr:uid="{00000000-0005-0000-0000-000000BE0000}"/>
    <cellStyle name="SAPBEXHLevel2 3 6 2" xfId="48466" xr:uid="{00000000-0005-0000-0000-000001BE0000}"/>
    <cellStyle name="SAPBEXHLevel2 3 7" xfId="48467" xr:uid="{00000000-0005-0000-0000-000002BE0000}"/>
    <cellStyle name="SAPBEXHLevel2 4" xfId="48468" xr:uid="{00000000-0005-0000-0000-000003BE0000}"/>
    <cellStyle name="SAPBEXHLevel2 4 2" xfId="48469" xr:uid="{00000000-0005-0000-0000-000004BE0000}"/>
    <cellStyle name="SAPBEXHLevel2 4 2 2" xfId="48470" xr:uid="{00000000-0005-0000-0000-000005BE0000}"/>
    <cellStyle name="SAPBEXHLevel2 4 2 2 2" xfId="48471" xr:uid="{00000000-0005-0000-0000-000006BE0000}"/>
    <cellStyle name="SAPBEXHLevel2 4 2 2 2 2" xfId="48472" xr:uid="{00000000-0005-0000-0000-000007BE0000}"/>
    <cellStyle name="SAPBEXHLevel2 4 2 2 3" xfId="48473" xr:uid="{00000000-0005-0000-0000-000008BE0000}"/>
    <cellStyle name="SAPBEXHLevel2 4 2 3" xfId="48474" xr:uid="{00000000-0005-0000-0000-000009BE0000}"/>
    <cellStyle name="SAPBEXHLevel2 4 2 3 2" xfId="48475" xr:uid="{00000000-0005-0000-0000-00000ABE0000}"/>
    <cellStyle name="SAPBEXHLevel2 4 2 3 2 2" xfId="48476" xr:uid="{00000000-0005-0000-0000-00000BBE0000}"/>
    <cellStyle name="SAPBEXHLevel2 4 2 3 3" xfId="48477" xr:uid="{00000000-0005-0000-0000-00000CBE0000}"/>
    <cellStyle name="SAPBEXHLevel2 4 2 4" xfId="48478" xr:uid="{00000000-0005-0000-0000-00000DBE0000}"/>
    <cellStyle name="SAPBEXHLevel2 4 2 4 2" xfId="48479" xr:uid="{00000000-0005-0000-0000-00000EBE0000}"/>
    <cellStyle name="SAPBEXHLevel2 4 2 4 2 2" xfId="48480" xr:uid="{00000000-0005-0000-0000-00000FBE0000}"/>
    <cellStyle name="SAPBEXHLevel2 4 2 4 3" xfId="48481" xr:uid="{00000000-0005-0000-0000-000010BE0000}"/>
    <cellStyle name="SAPBEXHLevel2 4 2 5" xfId="48482" xr:uid="{00000000-0005-0000-0000-000011BE0000}"/>
    <cellStyle name="SAPBEXHLevel2 4 2 5 2" xfId="48483" xr:uid="{00000000-0005-0000-0000-000012BE0000}"/>
    <cellStyle name="SAPBEXHLevel2 4 2 6" xfId="48484" xr:uid="{00000000-0005-0000-0000-000013BE0000}"/>
    <cellStyle name="SAPBEXHLevel2 4 3" xfId="48485" xr:uid="{00000000-0005-0000-0000-000014BE0000}"/>
    <cellStyle name="SAPBEXHLevel2 4 3 2" xfId="48486" xr:uid="{00000000-0005-0000-0000-000015BE0000}"/>
    <cellStyle name="SAPBEXHLevel2 4 3 2 2" xfId="48487" xr:uid="{00000000-0005-0000-0000-000016BE0000}"/>
    <cellStyle name="SAPBEXHLevel2 4 3 2 2 2" xfId="48488" xr:uid="{00000000-0005-0000-0000-000017BE0000}"/>
    <cellStyle name="SAPBEXHLevel2 4 3 2 2 2 2" xfId="48489" xr:uid="{00000000-0005-0000-0000-000018BE0000}"/>
    <cellStyle name="SAPBEXHLevel2 4 3 2 2 3" xfId="48490" xr:uid="{00000000-0005-0000-0000-000019BE0000}"/>
    <cellStyle name="SAPBEXHLevel2 4 3 2 3" xfId="48491" xr:uid="{00000000-0005-0000-0000-00001ABE0000}"/>
    <cellStyle name="SAPBEXHLevel2 4 3 2 3 2" xfId="48492" xr:uid="{00000000-0005-0000-0000-00001BBE0000}"/>
    <cellStyle name="SAPBEXHLevel2 4 3 2 3 2 2" xfId="48493" xr:uid="{00000000-0005-0000-0000-00001CBE0000}"/>
    <cellStyle name="SAPBEXHLevel2 4 3 2 3 3" xfId="48494" xr:uid="{00000000-0005-0000-0000-00001DBE0000}"/>
    <cellStyle name="SAPBEXHLevel2 4 3 2 4" xfId="48495" xr:uid="{00000000-0005-0000-0000-00001EBE0000}"/>
    <cellStyle name="SAPBEXHLevel2 4 3 2 4 2" xfId="48496" xr:uid="{00000000-0005-0000-0000-00001FBE0000}"/>
    <cellStyle name="SAPBEXHLevel2 4 3 2 5" xfId="48497" xr:uid="{00000000-0005-0000-0000-000020BE0000}"/>
    <cellStyle name="SAPBEXHLevel2 4 3 3" xfId="48498" xr:uid="{00000000-0005-0000-0000-000021BE0000}"/>
    <cellStyle name="SAPBEXHLevel2 4 3 3 2" xfId="48499" xr:uid="{00000000-0005-0000-0000-000022BE0000}"/>
    <cellStyle name="SAPBEXHLevel2 4 3 3 2 2" xfId="48500" xr:uid="{00000000-0005-0000-0000-000023BE0000}"/>
    <cellStyle name="SAPBEXHLevel2 4 3 3 2 2 2" xfId="48501" xr:uid="{00000000-0005-0000-0000-000024BE0000}"/>
    <cellStyle name="SAPBEXHLevel2 4 3 3 2 3" xfId="48502" xr:uid="{00000000-0005-0000-0000-000025BE0000}"/>
    <cellStyle name="SAPBEXHLevel2 4 3 3 3" xfId="48503" xr:uid="{00000000-0005-0000-0000-000026BE0000}"/>
    <cellStyle name="SAPBEXHLevel2 4 3 3 3 2" xfId="48504" xr:uid="{00000000-0005-0000-0000-000027BE0000}"/>
    <cellStyle name="SAPBEXHLevel2 4 3 3 4" xfId="48505" xr:uid="{00000000-0005-0000-0000-000028BE0000}"/>
    <cellStyle name="SAPBEXHLevel2 4 3 4" xfId="48506" xr:uid="{00000000-0005-0000-0000-000029BE0000}"/>
    <cellStyle name="SAPBEXHLevel2 4 3 4 2" xfId="48507" xr:uid="{00000000-0005-0000-0000-00002ABE0000}"/>
    <cellStyle name="SAPBEXHLevel2 4 3 4 2 2" xfId="48508" xr:uid="{00000000-0005-0000-0000-00002BBE0000}"/>
    <cellStyle name="SAPBEXHLevel2 4 3 4 3" xfId="48509" xr:uid="{00000000-0005-0000-0000-00002CBE0000}"/>
    <cellStyle name="SAPBEXHLevel2 4 3 5" xfId="48510" xr:uid="{00000000-0005-0000-0000-00002DBE0000}"/>
    <cellStyle name="SAPBEXHLevel2 4 3 5 2" xfId="48511" xr:uid="{00000000-0005-0000-0000-00002EBE0000}"/>
    <cellStyle name="SAPBEXHLevel2 4 3 5 2 2" xfId="48512" xr:uid="{00000000-0005-0000-0000-00002FBE0000}"/>
    <cellStyle name="SAPBEXHLevel2 4 3 5 3" xfId="48513" xr:uid="{00000000-0005-0000-0000-000030BE0000}"/>
    <cellStyle name="SAPBEXHLevel2 4 3 6" xfId="48514" xr:uid="{00000000-0005-0000-0000-000031BE0000}"/>
    <cellStyle name="SAPBEXHLevel2 4 3 6 2" xfId="48515" xr:uid="{00000000-0005-0000-0000-000032BE0000}"/>
    <cellStyle name="SAPBEXHLevel2 4 3 7" xfId="48516" xr:uid="{00000000-0005-0000-0000-000033BE0000}"/>
    <cellStyle name="SAPBEXHLevel2 4 4" xfId="48517" xr:uid="{00000000-0005-0000-0000-000034BE0000}"/>
    <cellStyle name="SAPBEXHLevel2 4 4 2" xfId="48518" xr:uid="{00000000-0005-0000-0000-000035BE0000}"/>
    <cellStyle name="SAPBEXHLevel2 4 4 2 2" xfId="48519" xr:uid="{00000000-0005-0000-0000-000036BE0000}"/>
    <cellStyle name="SAPBEXHLevel2 4 4 2 2 2" xfId="48520" xr:uid="{00000000-0005-0000-0000-000037BE0000}"/>
    <cellStyle name="SAPBEXHLevel2 4 4 2 3" xfId="48521" xr:uid="{00000000-0005-0000-0000-000038BE0000}"/>
    <cellStyle name="SAPBEXHLevel2 4 4 3" xfId="48522" xr:uid="{00000000-0005-0000-0000-000039BE0000}"/>
    <cellStyle name="SAPBEXHLevel2 4 4 3 2" xfId="48523" xr:uid="{00000000-0005-0000-0000-00003ABE0000}"/>
    <cellStyle name="SAPBEXHLevel2 4 4 4" xfId="48524" xr:uid="{00000000-0005-0000-0000-00003BBE0000}"/>
    <cellStyle name="SAPBEXHLevel2 4 5" xfId="48525" xr:uid="{00000000-0005-0000-0000-00003CBE0000}"/>
    <cellStyle name="SAPBEXHLevel2 4 5 2" xfId="48526" xr:uid="{00000000-0005-0000-0000-00003DBE0000}"/>
    <cellStyle name="SAPBEXHLevel2 4 5 2 2" xfId="48527" xr:uid="{00000000-0005-0000-0000-00003EBE0000}"/>
    <cellStyle name="SAPBEXHLevel2 4 5 3" xfId="48528" xr:uid="{00000000-0005-0000-0000-00003FBE0000}"/>
    <cellStyle name="SAPBEXHLevel2 4 6" xfId="48529" xr:uid="{00000000-0005-0000-0000-000040BE0000}"/>
    <cellStyle name="SAPBEXHLevel2 4 6 2" xfId="48530" xr:uid="{00000000-0005-0000-0000-000041BE0000}"/>
    <cellStyle name="SAPBEXHLevel2 4 6 2 2" xfId="48531" xr:uid="{00000000-0005-0000-0000-000042BE0000}"/>
    <cellStyle name="SAPBEXHLevel2 4 6 3" xfId="48532" xr:uid="{00000000-0005-0000-0000-000043BE0000}"/>
    <cellStyle name="SAPBEXHLevel2 4 7" xfId="48533" xr:uid="{00000000-0005-0000-0000-000044BE0000}"/>
    <cellStyle name="SAPBEXHLevel2 4 7 2" xfId="48534" xr:uid="{00000000-0005-0000-0000-000045BE0000}"/>
    <cellStyle name="SAPBEXHLevel2 4 8" xfId="48535" xr:uid="{00000000-0005-0000-0000-000046BE0000}"/>
    <cellStyle name="SAPBEXHLevel2 5" xfId="48536" xr:uid="{00000000-0005-0000-0000-000047BE0000}"/>
    <cellStyle name="SAPBEXHLevel2 5 2" xfId="48537" xr:uid="{00000000-0005-0000-0000-000048BE0000}"/>
    <cellStyle name="SAPBEXHLevel2 5 2 2" xfId="48538" xr:uid="{00000000-0005-0000-0000-000049BE0000}"/>
    <cellStyle name="SAPBEXHLevel2 5 2 2 2" xfId="48539" xr:uid="{00000000-0005-0000-0000-00004ABE0000}"/>
    <cellStyle name="SAPBEXHLevel2 5 2 3" xfId="48540" xr:uid="{00000000-0005-0000-0000-00004BBE0000}"/>
    <cellStyle name="SAPBEXHLevel2 5 3" xfId="48541" xr:uid="{00000000-0005-0000-0000-00004CBE0000}"/>
    <cellStyle name="SAPBEXHLevel2 5 3 2" xfId="48542" xr:uid="{00000000-0005-0000-0000-00004DBE0000}"/>
    <cellStyle name="SAPBEXHLevel2 5 3 2 2" xfId="48543" xr:uid="{00000000-0005-0000-0000-00004EBE0000}"/>
    <cellStyle name="SAPBEXHLevel2 5 3 3" xfId="48544" xr:uid="{00000000-0005-0000-0000-00004FBE0000}"/>
    <cellStyle name="SAPBEXHLevel2 5 4" xfId="48545" xr:uid="{00000000-0005-0000-0000-000050BE0000}"/>
    <cellStyle name="SAPBEXHLevel2 5 4 2" xfId="48546" xr:uid="{00000000-0005-0000-0000-000051BE0000}"/>
    <cellStyle name="SAPBEXHLevel2 5 4 2 2" xfId="48547" xr:uid="{00000000-0005-0000-0000-000052BE0000}"/>
    <cellStyle name="SAPBEXHLevel2 5 4 3" xfId="48548" xr:uid="{00000000-0005-0000-0000-000053BE0000}"/>
    <cellStyle name="SAPBEXHLevel2 5 5" xfId="48549" xr:uid="{00000000-0005-0000-0000-000054BE0000}"/>
    <cellStyle name="SAPBEXHLevel2 5 5 2" xfId="48550" xr:uid="{00000000-0005-0000-0000-000055BE0000}"/>
    <cellStyle name="SAPBEXHLevel2 5 6" xfId="48551" xr:uid="{00000000-0005-0000-0000-000056BE0000}"/>
    <cellStyle name="SAPBEXHLevel2 6" xfId="48552" xr:uid="{00000000-0005-0000-0000-000057BE0000}"/>
    <cellStyle name="SAPBEXHLevel2 6 2" xfId="48553" xr:uid="{00000000-0005-0000-0000-000058BE0000}"/>
    <cellStyle name="SAPBEXHLevel2 6 2 2" xfId="48554" xr:uid="{00000000-0005-0000-0000-000059BE0000}"/>
    <cellStyle name="SAPBEXHLevel2 6 3" xfId="48555" xr:uid="{00000000-0005-0000-0000-00005ABE0000}"/>
    <cellStyle name="SAPBEXHLevel2 6 3 2" xfId="48556" xr:uid="{00000000-0005-0000-0000-00005BBE0000}"/>
    <cellStyle name="SAPBEXHLevel2 6 3 2 2" xfId="48557" xr:uid="{00000000-0005-0000-0000-00005CBE0000}"/>
    <cellStyle name="SAPBEXHLevel2 6 3 3" xfId="48558" xr:uid="{00000000-0005-0000-0000-00005DBE0000}"/>
    <cellStyle name="SAPBEXHLevel2 6 4" xfId="48559" xr:uid="{00000000-0005-0000-0000-00005EBE0000}"/>
    <cellStyle name="SAPBEXHLevel2 6 4 2" xfId="48560" xr:uid="{00000000-0005-0000-0000-00005FBE0000}"/>
    <cellStyle name="SAPBEXHLevel2 6 4 2 2" xfId="48561" xr:uid="{00000000-0005-0000-0000-000060BE0000}"/>
    <cellStyle name="SAPBEXHLevel2 6 4 3" xfId="48562" xr:uid="{00000000-0005-0000-0000-000061BE0000}"/>
    <cellStyle name="SAPBEXHLevel2 6 5" xfId="48563" xr:uid="{00000000-0005-0000-0000-000062BE0000}"/>
    <cellStyle name="SAPBEXHLevel2 7" xfId="48564" xr:uid="{00000000-0005-0000-0000-000063BE0000}"/>
    <cellStyle name="SAPBEXHLevel2 7 2" xfId="48565" xr:uid="{00000000-0005-0000-0000-000064BE0000}"/>
    <cellStyle name="SAPBEXHLevel2 7 2 2" xfId="48566" xr:uid="{00000000-0005-0000-0000-000065BE0000}"/>
    <cellStyle name="SAPBEXHLevel2 7 2 2 2" xfId="48567" xr:uid="{00000000-0005-0000-0000-000066BE0000}"/>
    <cellStyle name="SAPBEXHLevel2 7 2 3" xfId="48568" xr:uid="{00000000-0005-0000-0000-000067BE0000}"/>
    <cellStyle name="SAPBEXHLevel2 7 2 3 2" xfId="48569" xr:uid="{00000000-0005-0000-0000-000068BE0000}"/>
    <cellStyle name="SAPBEXHLevel2 7 2 3 2 2" xfId="48570" xr:uid="{00000000-0005-0000-0000-000069BE0000}"/>
    <cellStyle name="SAPBEXHLevel2 7 2 3 3" xfId="48571" xr:uid="{00000000-0005-0000-0000-00006ABE0000}"/>
    <cellStyle name="SAPBEXHLevel2 7 2 4" xfId="48572" xr:uid="{00000000-0005-0000-0000-00006BBE0000}"/>
    <cellStyle name="SAPBEXHLevel2 7 3" xfId="48573" xr:uid="{00000000-0005-0000-0000-00006CBE0000}"/>
    <cellStyle name="SAPBEXHLevel2 7 3 2" xfId="48574" xr:uid="{00000000-0005-0000-0000-00006DBE0000}"/>
    <cellStyle name="SAPBEXHLevel2 7 3 2 2" xfId="48575" xr:uid="{00000000-0005-0000-0000-00006EBE0000}"/>
    <cellStyle name="SAPBEXHLevel2 7 3 3" xfId="48576" xr:uid="{00000000-0005-0000-0000-00006FBE0000}"/>
    <cellStyle name="SAPBEXHLevel2 7 4" xfId="48577" xr:uid="{00000000-0005-0000-0000-000070BE0000}"/>
    <cellStyle name="SAPBEXHLevel2 7 4 2" xfId="48578" xr:uid="{00000000-0005-0000-0000-000071BE0000}"/>
    <cellStyle name="SAPBEXHLevel2 7 4 2 2" xfId="48579" xr:uid="{00000000-0005-0000-0000-000072BE0000}"/>
    <cellStyle name="SAPBEXHLevel2 7 4 3" xfId="48580" xr:uid="{00000000-0005-0000-0000-000073BE0000}"/>
    <cellStyle name="SAPBEXHLevel2 7 5" xfId="48581" xr:uid="{00000000-0005-0000-0000-000074BE0000}"/>
    <cellStyle name="SAPBEXHLevel2 7 5 2" xfId="48582" xr:uid="{00000000-0005-0000-0000-000075BE0000}"/>
    <cellStyle name="SAPBEXHLevel2 7 5 2 2" xfId="48583" xr:uid="{00000000-0005-0000-0000-000076BE0000}"/>
    <cellStyle name="SAPBEXHLevel2 7 5 3" xfId="48584" xr:uid="{00000000-0005-0000-0000-000077BE0000}"/>
    <cellStyle name="SAPBEXHLevel2 7 6" xfId="48585" xr:uid="{00000000-0005-0000-0000-000078BE0000}"/>
    <cellStyle name="SAPBEXHLevel2 8" xfId="48586" xr:uid="{00000000-0005-0000-0000-000079BE0000}"/>
    <cellStyle name="SAPBEXHLevel2 8 2" xfId="48587" xr:uid="{00000000-0005-0000-0000-00007ABE0000}"/>
    <cellStyle name="SAPBEXHLevel2 8 2 2" xfId="48588" xr:uid="{00000000-0005-0000-0000-00007BBE0000}"/>
    <cellStyle name="SAPBEXHLevel2 8 3" xfId="48589" xr:uid="{00000000-0005-0000-0000-00007CBE0000}"/>
    <cellStyle name="SAPBEXHLevel2 9" xfId="48590" xr:uid="{00000000-0005-0000-0000-00007DBE0000}"/>
    <cellStyle name="SAPBEXHLevel2 9 2" xfId="48591" xr:uid="{00000000-0005-0000-0000-00007EBE0000}"/>
    <cellStyle name="SAPBEXHLevel2 9 2 2" xfId="48592" xr:uid="{00000000-0005-0000-0000-00007FBE0000}"/>
    <cellStyle name="SAPBEXHLevel2 9 3" xfId="48593" xr:uid="{00000000-0005-0000-0000-000080BE0000}"/>
    <cellStyle name="SAPBEXHLevel2X" xfId="65" xr:uid="{00000000-0005-0000-0000-000081BE0000}"/>
    <cellStyle name="SAPBEXHLevel2X 10" xfId="48594" xr:uid="{00000000-0005-0000-0000-000082BE0000}"/>
    <cellStyle name="SAPBEXHLevel2X 10 2" xfId="48595" xr:uid="{00000000-0005-0000-0000-000083BE0000}"/>
    <cellStyle name="SAPBEXHLevel2X 10 2 2" xfId="48596" xr:uid="{00000000-0005-0000-0000-000084BE0000}"/>
    <cellStyle name="SAPBEXHLevel2X 10 3" xfId="48597" xr:uid="{00000000-0005-0000-0000-000085BE0000}"/>
    <cellStyle name="SAPBEXHLevel2X 11" xfId="48598" xr:uid="{00000000-0005-0000-0000-000086BE0000}"/>
    <cellStyle name="SAPBEXHLevel2X 11 2" xfId="48599" xr:uid="{00000000-0005-0000-0000-000087BE0000}"/>
    <cellStyle name="SAPBEXHLevel2X 11 2 2" xfId="48600" xr:uid="{00000000-0005-0000-0000-000088BE0000}"/>
    <cellStyle name="SAPBEXHLevel2X 11 3" xfId="48601" xr:uid="{00000000-0005-0000-0000-000089BE0000}"/>
    <cellStyle name="SAPBEXHLevel2X 12" xfId="48602" xr:uid="{00000000-0005-0000-0000-00008ABE0000}"/>
    <cellStyle name="SAPBEXHLevel2X 12 2" xfId="48603" xr:uid="{00000000-0005-0000-0000-00008BBE0000}"/>
    <cellStyle name="SAPBEXHLevel2X 12 2 2" xfId="48604" xr:uid="{00000000-0005-0000-0000-00008CBE0000}"/>
    <cellStyle name="SAPBEXHLevel2X 12 3" xfId="48605" xr:uid="{00000000-0005-0000-0000-00008DBE0000}"/>
    <cellStyle name="SAPBEXHLevel2X 13" xfId="48606" xr:uid="{00000000-0005-0000-0000-00008EBE0000}"/>
    <cellStyle name="SAPBEXHLevel2X 13 2" xfId="48607" xr:uid="{00000000-0005-0000-0000-00008FBE0000}"/>
    <cellStyle name="SAPBEXHLevel2X 13 2 2" xfId="48608" xr:uid="{00000000-0005-0000-0000-000090BE0000}"/>
    <cellStyle name="SAPBEXHLevel2X 13 3" xfId="48609" xr:uid="{00000000-0005-0000-0000-000091BE0000}"/>
    <cellStyle name="SAPBEXHLevel2X 14" xfId="48610" xr:uid="{00000000-0005-0000-0000-000092BE0000}"/>
    <cellStyle name="SAPBEXHLevel2X 14 2" xfId="48611" xr:uid="{00000000-0005-0000-0000-000093BE0000}"/>
    <cellStyle name="SAPBEXHLevel2X 15" xfId="48612" xr:uid="{00000000-0005-0000-0000-000094BE0000}"/>
    <cellStyle name="SAPBEXHLevel2X 15 2" xfId="48613" xr:uid="{00000000-0005-0000-0000-000095BE0000}"/>
    <cellStyle name="SAPBEXHLevel2X 15 2 2" xfId="48614" xr:uid="{00000000-0005-0000-0000-000096BE0000}"/>
    <cellStyle name="SAPBEXHLevel2X 15 3" xfId="48615" xr:uid="{00000000-0005-0000-0000-000097BE0000}"/>
    <cellStyle name="SAPBEXHLevel2X 15 3 2" xfId="48616" xr:uid="{00000000-0005-0000-0000-000098BE0000}"/>
    <cellStyle name="SAPBEXHLevel2X 15 4" xfId="48617" xr:uid="{00000000-0005-0000-0000-000099BE0000}"/>
    <cellStyle name="SAPBEXHLevel2X 16" xfId="48618" xr:uid="{00000000-0005-0000-0000-00009ABE0000}"/>
    <cellStyle name="SAPBEXHLevel2X 16 2" xfId="48619" xr:uid="{00000000-0005-0000-0000-00009BBE0000}"/>
    <cellStyle name="SAPBEXHLevel2X 17" xfId="48620" xr:uid="{00000000-0005-0000-0000-00009CBE0000}"/>
    <cellStyle name="SAPBEXHLevel2X 17 2" xfId="48621" xr:uid="{00000000-0005-0000-0000-00009DBE0000}"/>
    <cellStyle name="SAPBEXHLevel2X 17 3" xfId="48622" xr:uid="{00000000-0005-0000-0000-00009EBE0000}"/>
    <cellStyle name="SAPBEXHLevel2X 18" xfId="48623" xr:uid="{00000000-0005-0000-0000-00009FBE0000}"/>
    <cellStyle name="SAPBEXHLevel2X 18 2" xfId="48624" xr:uid="{00000000-0005-0000-0000-0000A0BE0000}"/>
    <cellStyle name="SAPBEXHLevel2X 19" xfId="48625" xr:uid="{00000000-0005-0000-0000-0000A1BE0000}"/>
    <cellStyle name="SAPBEXHLevel2X 19 2" xfId="48626" xr:uid="{00000000-0005-0000-0000-0000A2BE0000}"/>
    <cellStyle name="SAPBEXHLevel2X 2" xfId="89" xr:uid="{00000000-0005-0000-0000-0000A3BE0000}"/>
    <cellStyle name="SAPBEXHLevel2X 2 2" xfId="48627" xr:uid="{00000000-0005-0000-0000-0000A4BE0000}"/>
    <cellStyle name="SAPBEXHLevel2X 2 2 2" xfId="48628" xr:uid="{00000000-0005-0000-0000-0000A5BE0000}"/>
    <cellStyle name="SAPBEXHLevel2X 2 2 2 2" xfId="48629" xr:uid="{00000000-0005-0000-0000-0000A6BE0000}"/>
    <cellStyle name="SAPBEXHLevel2X 2 2 2 2 2" xfId="48630" xr:uid="{00000000-0005-0000-0000-0000A7BE0000}"/>
    <cellStyle name="SAPBEXHLevel2X 2 2 2 3" xfId="48631" xr:uid="{00000000-0005-0000-0000-0000A8BE0000}"/>
    <cellStyle name="SAPBEXHLevel2X 2 2 3" xfId="48632" xr:uid="{00000000-0005-0000-0000-0000A9BE0000}"/>
    <cellStyle name="SAPBEXHLevel2X 2 2 3 2" xfId="48633" xr:uid="{00000000-0005-0000-0000-0000AABE0000}"/>
    <cellStyle name="SAPBEXHLevel2X 2 2 3 2 2" xfId="48634" xr:uid="{00000000-0005-0000-0000-0000ABBE0000}"/>
    <cellStyle name="SAPBEXHLevel2X 2 2 3 3" xfId="48635" xr:uid="{00000000-0005-0000-0000-0000ACBE0000}"/>
    <cellStyle name="SAPBEXHLevel2X 2 2 4" xfId="48636" xr:uid="{00000000-0005-0000-0000-0000ADBE0000}"/>
    <cellStyle name="SAPBEXHLevel2X 2 2 4 2" xfId="48637" xr:uid="{00000000-0005-0000-0000-0000AEBE0000}"/>
    <cellStyle name="SAPBEXHLevel2X 2 2 4 2 2" xfId="48638" xr:uid="{00000000-0005-0000-0000-0000AFBE0000}"/>
    <cellStyle name="SAPBEXHLevel2X 2 2 4 3" xfId="48639" xr:uid="{00000000-0005-0000-0000-0000B0BE0000}"/>
    <cellStyle name="SAPBEXHLevel2X 2 2 5" xfId="48640" xr:uid="{00000000-0005-0000-0000-0000B1BE0000}"/>
    <cellStyle name="SAPBEXHLevel2X 2 2 5 2" xfId="48641" xr:uid="{00000000-0005-0000-0000-0000B2BE0000}"/>
    <cellStyle name="SAPBEXHLevel2X 2 2 6" xfId="48642" xr:uid="{00000000-0005-0000-0000-0000B3BE0000}"/>
    <cellStyle name="SAPBEXHLevel2X 2 3" xfId="48643" xr:uid="{00000000-0005-0000-0000-0000B4BE0000}"/>
    <cellStyle name="SAPBEXHLevel2X 2 3 2" xfId="48644" xr:uid="{00000000-0005-0000-0000-0000B5BE0000}"/>
    <cellStyle name="SAPBEXHLevel2X 2 3 2 2" xfId="48645" xr:uid="{00000000-0005-0000-0000-0000B6BE0000}"/>
    <cellStyle name="SAPBEXHLevel2X 2 3 2 2 2" xfId="48646" xr:uid="{00000000-0005-0000-0000-0000B7BE0000}"/>
    <cellStyle name="SAPBEXHLevel2X 2 3 2 2 2 2" xfId="48647" xr:uid="{00000000-0005-0000-0000-0000B8BE0000}"/>
    <cellStyle name="SAPBEXHLevel2X 2 3 2 2 3" xfId="48648" xr:uid="{00000000-0005-0000-0000-0000B9BE0000}"/>
    <cellStyle name="SAPBEXHLevel2X 2 3 2 3" xfId="48649" xr:uid="{00000000-0005-0000-0000-0000BABE0000}"/>
    <cellStyle name="SAPBEXHLevel2X 2 3 2 3 2" xfId="48650" xr:uid="{00000000-0005-0000-0000-0000BBBE0000}"/>
    <cellStyle name="SAPBEXHLevel2X 2 3 2 3 2 2" xfId="48651" xr:uid="{00000000-0005-0000-0000-0000BCBE0000}"/>
    <cellStyle name="SAPBEXHLevel2X 2 3 2 3 3" xfId="48652" xr:uid="{00000000-0005-0000-0000-0000BDBE0000}"/>
    <cellStyle name="SAPBEXHLevel2X 2 3 2 4" xfId="48653" xr:uid="{00000000-0005-0000-0000-0000BEBE0000}"/>
    <cellStyle name="SAPBEXHLevel2X 2 3 2 4 2" xfId="48654" xr:uid="{00000000-0005-0000-0000-0000BFBE0000}"/>
    <cellStyle name="SAPBEXHLevel2X 2 3 2 5" xfId="48655" xr:uid="{00000000-0005-0000-0000-0000C0BE0000}"/>
    <cellStyle name="SAPBEXHLevel2X 2 3 3" xfId="48656" xr:uid="{00000000-0005-0000-0000-0000C1BE0000}"/>
    <cellStyle name="SAPBEXHLevel2X 2 3 3 2" xfId="48657" xr:uid="{00000000-0005-0000-0000-0000C2BE0000}"/>
    <cellStyle name="SAPBEXHLevel2X 2 3 3 2 2" xfId="48658" xr:uid="{00000000-0005-0000-0000-0000C3BE0000}"/>
    <cellStyle name="SAPBEXHLevel2X 2 3 3 2 2 2" xfId="48659" xr:uid="{00000000-0005-0000-0000-0000C4BE0000}"/>
    <cellStyle name="SAPBEXHLevel2X 2 3 3 2 3" xfId="48660" xr:uid="{00000000-0005-0000-0000-0000C5BE0000}"/>
    <cellStyle name="SAPBEXHLevel2X 2 3 3 3" xfId="48661" xr:uid="{00000000-0005-0000-0000-0000C6BE0000}"/>
    <cellStyle name="SAPBEXHLevel2X 2 3 3 3 2" xfId="48662" xr:uid="{00000000-0005-0000-0000-0000C7BE0000}"/>
    <cellStyle name="SAPBEXHLevel2X 2 3 3 4" xfId="48663" xr:uid="{00000000-0005-0000-0000-0000C8BE0000}"/>
    <cellStyle name="SAPBEXHLevel2X 2 3 4" xfId="48664" xr:uid="{00000000-0005-0000-0000-0000C9BE0000}"/>
    <cellStyle name="SAPBEXHLevel2X 2 3 4 2" xfId="48665" xr:uid="{00000000-0005-0000-0000-0000CABE0000}"/>
    <cellStyle name="SAPBEXHLevel2X 2 3 4 2 2" xfId="48666" xr:uid="{00000000-0005-0000-0000-0000CBBE0000}"/>
    <cellStyle name="SAPBEXHLevel2X 2 3 4 3" xfId="48667" xr:uid="{00000000-0005-0000-0000-0000CCBE0000}"/>
    <cellStyle name="SAPBEXHLevel2X 2 3 5" xfId="48668" xr:uid="{00000000-0005-0000-0000-0000CDBE0000}"/>
    <cellStyle name="SAPBEXHLevel2X 2 3 5 2" xfId="48669" xr:uid="{00000000-0005-0000-0000-0000CEBE0000}"/>
    <cellStyle name="SAPBEXHLevel2X 2 3 5 2 2" xfId="48670" xr:uid="{00000000-0005-0000-0000-0000CFBE0000}"/>
    <cellStyle name="SAPBEXHLevel2X 2 3 5 3" xfId="48671" xr:uid="{00000000-0005-0000-0000-0000D0BE0000}"/>
    <cellStyle name="SAPBEXHLevel2X 2 3 6" xfId="48672" xr:uid="{00000000-0005-0000-0000-0000D1BE0000}"/>
    <cellStyle name="SAPBEXHLevel2X 2 3 6 2" xfId="48673" xr:uid="{00000000-0005-0000-0000-0000D2BE0000}"/>
    <cellStyle name="SAPBEXHLevel2X 2 3 7" xfId="48674" xr:uid="{00000000-0005-0000-0000-0000D3BE0000}"/>
    <cellStyle name="SAPBEXHLevel2X 2 4" xfId="48675" xr:uid="{00000000-0005-0000-0000-0000D4BE0000}"/>
    <cellStyle name="SAPBEXHLevel2X 2 4 2" xfId="48676" xr:uid="{00000000-0005-0000-0000-0000D5BE0000}"/>
    <cellStyle name="SAPBEXHLevel2X 2 4 2 2" xfId="48677" xr:uid="{00000000-0005-0000-0000-0000D6BE0000}"/>
    <cellStyle name="SAPBEXHLevel2X 2 4 2 2 2" xfId="48678" xr:uid="{00000000-0005-0000-0000-0000D7BE0000}"/>
    <cellStyle name="SAPBEXHLevel2X 2 4 2 2 2 2" xfId="48679" xr:uid="{00000000-0005-0000-0000-0000D8BE0000}"/>
    <cellStyle name="SAPBEXHLevel2X 2 4 2 2 3" xfId="48680" xr:uid="{00000000-0005-0000-0000-0000D9BE0000}"/>
    <cellStyle name="SAPBEXHLevel2X 2 4 2 3" xfId="48681" xr:uid="{00000000-0005-0000-0000-0000DABE0000}"/>
    <cellStyle name="SAPBEXHLevel2X 2 4 2 3 2" xfId="48682" xr:uid="{00000000-0005-0000-0000-0000DBBE0000}"/>
    <cellStyle name="SAPBEXHLevel2X 2 4 2 3 2 2" xfId="48683" xr:uid="{00000000-0005-0000-0000-0000DCBE0000}"/>
    <cellStyle name="SAPBEXHLevel2X 2 4 2 3 3" xfId="48684" xr:uid="{00000000-0005-0000-0000-0000DDBE0000}"/>
    <cellStyle name="SAPBEXHLevel2X 2 4 2 4" xfId="48685" xr:uid="{00000000-0005-0000-0000-0000DEBE0000}"/>
    <cellStyle name="SAPBEXHLevel2X 2 4 2 4 2" xfId="48686" xr:uid="{00000000-0005-0000-0000-0000DFBE0000}"/>
    <cellStyle name="SAPBEXHLevel2X 2 4 2 5" xfId="48687" xr:uid="{00000000-0005-0000-0000-0000E0BE0000}"/>
    <cellStyle name="SAPBEXHLevel2X 2 4 3" xfId="48688" xr:uid="{00000000-0005-0000-0000-0000E1BE0000}"/>
    <cellStyle name="SAPBEXHLevel2X 2 4 3 2" xfId="48689" xr:uid="{00000000-0005-0000-0000-0000E2BE0000}"/>
    <cellStyle name="SAPBEXHLevel2X 2 4 3 2 2" xfId="48690" xr:uid="{00000000-0005-0000-0000-0000E3BE0000}"/>
    <cellStyle name="SAPBEXHLevel2X 2 4 3 2 2 2" xfId="48691" xr:uid="{00000000-0005-0000-0000-0000E4BE0000}"/>
    <cellStyle name="SAPBEXHLevel2X 2 4 3 2 3" xfId="48692" xr:uid="{00000000-0005-0000-0000-0000E5BE0000}"/>
    <cellStyle name="SAPBEXHLevel2X 2 4 3 3" xfId="48693" xr:uid="{00000000-0005-0000-0000-0000E6BE0000}"/>
    <cellStyle name="SAPBEXHLevel2X 2 4 3 3 2" xfId="48694" xr:uid="{00000000-0005-0000-0000-0000E7BE0000}"/>
    <cellStyle name="SAPBEXHLevel2X 2 4 3 4" xfId="48695" xr:uid="{00000000-0005-0000-0000-0000E8BE0000}"/>
    <cellStyle name="SAPBEXHLevel2X 2 4 4" xfId="48696" xr:uid="{00000000-0005-0000-0000-0000E9BE0000}"/>
    <cellStyle name="SAPBEXHLevel2X 2 4 4 2" xfId="48697" xr:uid="{00000000-0005-0000-0000-0000EABE0000}"/>
    <cellStyle name="SAPBEXHLevel2X 2 4 4 2 2" xfId="48698" xr:uid="{00000000-0005-0000-0000-0000EBBE0000}"/>
    <cellStyle name="SAPBEXHLevel2X 2 4 4 3" xfId="48699" xr:uid="{00000000-0005-0000-0000-0000ECBE0000}"/>
    <cellStyle name="SAPBEXHLevel2X 2 4 5" xfId="48700" xr:uid="{00000000-0005-0000-0000-0000EDBE0000}"/>
    <cellStyle name="SAPBEXHLevel2X 2 4 5 2" xfId="48701" xr:uid="{00000000-0005-0000-0000-0000EEBE0000}"/>
    <cellStyle name="SAPBEXHLevel2X 2 4 6" xfId="48702" xr:uid="{00000000-0005-0000-0000-0000EFBE0000}"/>
    <cellStyle name="SAPBEXHLevel2X 2 5" xfId="48703" xr:uid="{00000000-0005-0000-0000-0000F0BE0000}"/>
    <cellStyle name="SAPBEXHLevel2X 2 5 2" xfId="48704" xr:uid="{00000000-0005-0000-0000-0000F1BE0000}"/>
    <cellStyle name="SAPBEXHLevel2X 2 5 2 2" xfId="48705" xr:uid="{00000000-0005-0000-0000-0000F2BE0000}"/>
    <cellStyle name="SAPBEXHLevel2X 2 5 2 2 2" xfId="48706" xr:uid="{00000000-0005-0000-0000-0000F3BE0000}"/>
    <cellStyle name="SAPBEXHLevel2X 2 5 2 3" xfId="48707" xr:uid="{00000000-0005-0000-0000-0000F4BE0000}"/>
    <cellStyle name="SAPBEXHLevel2X 2 5 3" xfId="48708" xr:uid="{00000000-0005-0000-0000-0000F5BE0000}"/>
    <cellStyle name="SAPBEXHLevel2X 2 5 3 2" xfId="48709" xr:uid="{00000000-0005-0000-0000-0000F6BE0000}"/>
    <cellStyle name="SAPBEXHLevel2X 2 5 4" xfId="48710" xr:uid="{00000000-0005-0000-0000-0000F7BE0000}"/>
    <cellStyle name="SAPBEXHLevel2X 2 6" xfId="48711" xr:uid="{00000000-0005-0000-0000-0000F8BE0000}"/>
    <cellStyle name="SAPBEXHLevel2X 2 6 2" xfId="48712" xr:uid="{00000000-0005-0000-0000-0000F9BE0000}"/>
    <cellStyle name="SAPBEXHLevel2X 2 6 2 2" xfId="48713" xr:uid="{00000000-0005-0000-0000-0000FABE0000}"/>
    <cellStyle name="SAPBEXHLevel2X 2 6 3" xfId="48714" xr:uid="{00000000-0005-0000-0000-0000FBBE0000}"/>
    <cellStyle name="SAPBEXHLevel2X 2 7" xfId="48715" xr:uid="{00000000-0005-0000-0000-0000FCBE0000}"/>
    <cellStyle name="SAPBEXHLevel2X 2 7 2" xfId="48716" xr:uid="{00000000-0005-0000-0000-0000FDBE0000}"/>
    <cellStyle name="SAPBEXHLevel2X 2 7 2 2" xfId="48717" xr:uid="{00000000-0005-0000-0000-0000FEBE0000}"/>
    <cellStyle name="SAPBEXHLevel2X 2 7 3" xfId="48718" xr:uid="{00000000-0005-0000-0000-0000FFBE0000}"/>
    <cellStyle name="SAPBEXHLevel2X 2 8" xfId="48719" xr:uid="{00000000-0005-0000-0000-000000BF0000}"/>
    <cellStyle name="SAPBEXHLevel2X 2 8 2" xfId="48720" xr:uid="{00000000-0005-0000-0000-000001BF0000}"/>
    <cellStyle name="SAPBEXHLevel2X 2 9" xfId="48721" xr:uid="{00000000-0005-0000-0000-000002BF0000}"/>
    <cellStyle name="SAPBEXHLevel2X 20" xfId="48722" xr:uid="{00000000-0005-0000-0000-000003BF0000}"/>
    <cellStyle name="SAPBEXHLevel2X 21" xfId="48723" xr:uid="{00000000-0005-0000-0000-000004BF0000}"/>
    <cellStyle name="SAPBEXHLevel2X 22" xfId="48724" xr:uid="{00000000-0005-0000-0000-000005BF0000}"/>
    <cellStyle name="SAPBEXHLevel2X 23" xfId="48725" xr:uid="{00000000-0005-0000-0000-000006BF0000}"/>
    <cellStyle name="SAPBEXHLevel2X 3" xfId="48726" xr:uid="{00000000-0005-0000-0000-000007BF0000}"/>
    <cellStyle name="SAPBEXHLevel2X 3 2" xfId="48727" xr:uid="{00000000-0005-0000-0000-000008BF0000}"/>
    <cellStyle name="SAPBEXHLevel2X 3 2 2" xfId="48728" xr:uid="{00000000-0005-0000-0000-000009BF0000}"/>
    <cellStyle name="SAPBEXHLevel2X 3 2 2 2" xfId="48729" xr:uid="{00000000-0005-0000-0000-00000ABF0000}"/>
    <cellStyle name="SAPBEXHLevel2X 3 2 2 2 2" xfId="48730" xr:uid="{00000000-0005-0000-0000-00000BBF0000}"/>
    <cellStyle name="SAPBEXHLevel2X 3 2 2 3" xfId="48731" xr:uid="{00000000-0005-0000-0000-00000CBF0000}"/>
    <cellStyle name="SAPBEXHLevel2X 3 2 3" xfId="48732" xr:uid="{00000000-0005-0000-0000-00000DBF0000}"/>
    <cellStyle name="SAPBEXHLevel2X 3 2 3 2" xfId="48733" xr:uid="{00000000-0005-0000-0000-00000EBF0000}"/>
    <cellStyle name="SAPBEXHLevel2X 3 2 3 2 2" xfId="48734" xr:uid="{00000000-0005-0000-0000-00000FBF0000}"/>
    <cellStyle name="SAPBEXHLevel2X 3 2 3 3" xfId="48735" xr:uid="{00000000-0005-0000-0000-000010BF0000}"/>
    <cellStyle name="SAPBEXHLevel2X 3 2 4" xfId="48736" xr:uid="{00000000-0005-0000-0000-000011BF0000}"/>
    <cellStyle name="SAPBEXHLevel2X 3 2 4 2" xfId="48737" xr:uid="{00000000-0005-0000-0000-000012BF0000}"/>
    <cellStyle name="SAPBEXHLevel2X 3 2 4 2 2" xfId="48738" xr:uid="{00000000-0005-0000-0000-000013BF0000}"/>
    <cellStyle name="SAPBEXHLevel2X 3 2 4 3" xfId="48739" xr:uid="{00000000-0005-0000-0000-000014BF0000}"/>
    <cellStyle name="SAPBEXHLevel2X 3 2 5" xfId="48740" xr:uid="{00000000-0005-0000-0000-000015BF0000}"/>
    <cellStyle name="SAPBEXHLevel2X 3 2 5 2" xfId="48741" xr:uid="{00000000-0005-0000-0000-000016BF0000}"/>
    <cellStyle name="SAPBEXHLevel2X 3 2 6" xfId="48742" xr:uid="{00000000-0005-0000-0000-000017BF0000}"/>
    <cellStyle name="SAPBEXHLevel2X 3 3" xfId="48743" xr:uid="{00000000-0005-0000-0000-000018BF0000}"/>
    <cellStyle name="SAPBEXHLevel2X 3 3 2" xfId="48744" xr:uid="{00000000-0005-0000-0000-000019BF0000}"/>
    <cellStyle name="SAPBEXHLevel2X 3 3 2 2" xfId="48745" xr:uid="{00000000-0005-0000-0000-00001ABF0000}"/>
    <cellStyle name="SAPBEXHLevel2X 3 3 2 2 2" xfId="48746" xr:uid="{00000000-0005-0000-0000-00001BBF0000}"/>
    <cellStyle name="SAPBEXHLevel2X 3 3 2 3" xfId="48747" xr:uid="{00000000-0005-0000-0000-00001CBF0000}"/>
    <cellStyle name="SAPBEXHLevel2X 3 3 3" xfId="48748" xr:uid="{00000000-0005-0000-0000-00001DBF0000}"/>
    <cellStyle name="SAPBEXHLevel2X 3 3 3 2" xfId="48749" xr:uid="{00000000-0005-0000-0000-00001EBF0000}"/>
    <cellStyle name="SAPBEXHLevel2X 3 3 4" xfId="48750" xr:uid="{00000000-0005-0000-0000-00001FBF0000}"/>
    <cellStyle name="SAPBEXHLevel2X 3 4" xfId="48751" xr:uid="{00000000-0005-0000-0000-000020BF0000}"/>
    <cellStyle name="SAPBEXHLevel2X 3 4 2" xfId="48752" xr:uid="{00000000-0005-0000-0000-000021BF0000}"/>
    <cellStyle name="SAPBEXHLevel2X 3 4 2 2" xfId="48753" xr:uid="{00000000-0005-0000-0000-000022BF0000}"/>
    <cellStyle name="SAPBEXHLevel2X 3 4 3" xfId="48754" xr:uid="{00000000-0005-0000-0000-000023BF0000}"/>
    <cellStyle name="SAPBEXHLevel2X 3 5" xfId="48755" xr:uid="{00000000-0005-0000-0000-000024BF0000}"/>
    <cellStyle name="SAPBEXHLevel2X 3 5 2" xfId="48756" xr:uid="{00000000-0005-0000-0000-000025BF0000}"/>
    <cellStyle name="SAPBEXHLevel2X 3 5 2 2" xfId="48757" xr:uid="{00000000-0005-0000-0000-000026BF0000}"/>
    <cellStyle name="SAPBEXHLevel2X 3 5 3" xfId="48758" xr:uid="{00000000-0005-0000-0000-000027BF0000}"/>
    <cellStyle name="SAPBEXHLevel2X 3 6" xfId="48759" xr:uid="{00000000-0005-0000-0000-000028BF0000}"/>
    <cellStyle name="SAPBEXHLevel2X 3 6 2" xfId="48760" xr:uid="{00000000-0005-0000-0000-000029BF0000}"/>
    <cellStyle name="SAPBEXHLevel2X 3 7" xfId="48761" xr:uid="{00000000-0005-0000-0000-00002ABF0000}"/>
    <cellStyle name="SAPBEXHLevel2X 4" xfId="48762" xr:uid="{00000000-0005-0000-0000-00002BBF0000}"/>
    <cellStyle name="SAPBEXHLevel2X 4 2" xfId="48763" xr:uid="{00000000-0005-0000-0000-00002CBF0000}"/>
    <cellStyle name="SAPBEXHLevel2X 4 2 2" xfId="48764" xr:uid="{00000000-0005-0000-0000-00002DBF0000}"/>
    <cellStyle name="SAPBEXHLevel2X 4 2 2 2" xfId="48765" xr:uid="{00000000-0005-0000-0000-00002EBF0000}"/>
    <cellStyle name="SAPBEXHLevel2X 4 2 2 2 2" xfId="48766" xr:uid="{00000000-0005-0000-0000-00002FBF0000}"/>
    <cellStyle name="SAPBEXHLevel2X 4 2 2 3" xfId="48767" xr:uid="{00000000-0005-0000-0000-000030BF0000}"/>
    <cellStyle name="SAPBEXHLevel2X 4 2 3" xfId="48768" xr:uid="{00000000-0005-0000-0000-000031BF0000}"/>
    <cellStyle name="SAPBEXHLevel2X 4 2 3 2" xfId="48769" xr:uid="{00000000-0005-0000-0000-000032BF0000}"/>
    <cellStyle name="SAPBEXHLevel2X 4 2 3 2 2" xfId="48770" xr:uid="{00000000-0005-0000-0000-000033BF0000}"/>
    <cellStyle name="SAPBEXHLevel2X 4 2 3 3" xfId="48771" xr:uid="{00000000-0005-0000-0000-000034BF0000}"/>
    <cellStyle name="SAPBEXHLevel2X 4 2 4" xfId="48772" xr:uid="{00000000-0005-0000-0000-000035BF0000}"/>
    <cellStyle name="SAPBEXHLevel2X 4 2 4 2" xfId="48773" xr:uid="{00000000-0005-0000-0000-000036BF0000}"/>
    <cellStyle name="SAPBEXHLevel2X 4 2 4 2 2" xfId="48774" xr:uid="{00000000-0005-0000-0000-000037BF0000}"/>
    <cellStyle name="SAPBEXHLevel2X 4 2 4 3" xfId="48775" xr:uid="{00000000-0005-0000-0000-000038BF0000}"/>
    <cellStyle name="SAPBEXHLevel2X 4 2 5" xfId="48776" xr:uid="{00000000-0005-0000-0000-000039BF0000}"/>
    <cellStyle name="SAPBEXHLevel2X 4 2 5 2" xfId="48777" xr:uid="{00000000-0005-0000-0000-00003ABF0000}"/>
    <cellStyle name="SAPBEXHLevel2X 4 2 6" xfId="48778" xr:uid="{00000000-0005-0000-0000-00003BBF0000}"/>
    <cellStyle name="SAPBEXHLevel2X 4 3" xfId="48779" xr:uid="{00000000-0005-0000-0000-00003CBF0000}"/>
    <cellStyle name="SAPBEXHLevel2X 4 3 2" xfId="48780" xr:uid="{00000000-0005-0000-0000-00003DBF0000}"/>
    <cellStyle name="SAPBEXHLevel2X 4 3 2 2" xfId="48781" xr:uid="{00000000-0005-0000-0000-00003EBF0000}"/>
    <cellStyle name="SAPBEXHLevel2X 4 3 2 2 2" xfId="48782" xr:uid="{00000000-0005-0000-0000-00003FBF0000}"/>
    <cellStyle name="SAPBEXHLevel2X 4 3 2 2 2 2" xfId="48783" xr:uid="{00000000-0005-0000-0000-000040BF0000}"/>
    <cellStyle name="SAPBEXHLevel2X 4 3 2 2 3" xfId="48784" xr:uid="{00000000-0005-0000-0000-000041BF0000}"/>
    <cellStyle name="SAPBEXHLevel2X 4 3 2 3" xfId="48785" xr:uid="{00000000-0005-0000-0000-000042BF0000}"/>
    <cellStyle name="SAPBEXHLevel2X 4 3 2 3 2" xfId="48786" xr:uid="{00000000-0005-0000-0000-000043BF0000}"/>
    <cellStyle name="SAPBEXHLevel2X 4 3 2 3 2 2" xfId="48787" xr:uid="{00000000-0005-0000-0000-000044BF0000}"/>
    <cellStyle name="SAPBEXHLevel2X 4 3 2 3 3" xfId="48788" xr:uid="{00000000-0005-0000-0000-000045BF0000}"/>
    <cellStyle name="SAPBEXHLevel2X 4 3 2 4" xfId="48789" xr:uid="{00000000-0005-0000-0000-000046BF0000}"/>
    <cellStyle name="SAPBEXHLevel2X 4 3 2 4 2" xfId="48790" xr:uid="{00000000-0005-0000-0000-000047BF0000}"/>
    <cellStyle name="SAPBEXHLevel2X 4 3 2 5" xfId="48791" xr:uid="{00000000-0005-0000-0000-000048BF0000}"/>
    <cellStyle name="SAPBEXHLevel2X 4 3 3" xfId="48792" xr:uid="{00000000-0005-0000-0000-000049BF0000}"/>
    <cellStyle name="SAPBEXHLevel2X 4 3 3 2" xfId="48793" xr:uid="{00000000-0005-0000-0000-00004ABF0000}"/>
    <cellStyle name="SAPBEXHLevel2X 4 3 3 2 2" xfId="48794" xr:uid="{00000000-0005-0000-0000-00004BBF0000}"/>
    <cellStyle name="SAPBEXHLevel2X 4 3 3 2 2 2" xfId="48795" xr:uid="{00000000-0005-0000-0000-00004CBF0000}"/>
    <cellStyle name="SAPBEXHLevel2X 4 3 3 2 3" xfId="48796" xr:uid="{00000000-0005-0000-0000-00004DBF0000}"/>
    <cellStyle name="SAPBEXHLevel2X 4 3 3 3" xfId="48797" xr:uid="{00000000-0005-0000-0000-00004EBF0000}"/>
    <cellStyle name="SAPBEXHLevel2X 4 3 3 3 2" xfId="48798" xr:uid="{00000000-0005-0000-0000-00004FBF0000}"/>
    <cellStyle name="SAPBEXHLevel2X 4 3 3 4" xfId="48799" xr:uid="{00000000-0005-0000-0000-000050BF0000}"/>
    <cellStyle name="SAPBEXHLevel2X 4 3 4" xfId="48800" xr:uid="{00000000-0005-0000-0000-000051BF0000}"/>
    <cellStyle name="SAPBEXHLevel2X 4 3 4 2" xfId="48801" xr:uid="{00000000-0005-0000-0000-000052BF0000}"/>
    <cellStyle name="SAPBEXHLevel2X 4 3 4 2 2" xfId="48802" xr:uid="{00000000-0005-0000-0000-000053BF0000}"/>
    <cellStyle name="SAPBEXHLevel2X 4 3 4 3" xfId="48803" xr:uid="{00000000-0005-0000-0000-000054BF0000}"/>
    <cellStyle name="SAPBEXHLevel2X 4 3 5" xfId="48804" xr:uid="{00000000-0005-0000-0000-000055BF0000}"/>
    <cellStyle name="SAPBEXHLevel2X 4 3 5 2" xfId="48805" xr:uid="{00000000-0005-0000-0000-000056BF0000}"/>
    <cellStyle name="SAPBEXHLevel2X 4 3 5 2 2" xfId="48806" xr:uid="{00000000-0005-0000-0000-000057BF0000}"/>
    <cellStyle name="SAPBEXHLevel2X 4 3 5 3" xfId="48807" xr:uid="{00000000-0005-0000-0000-000058BF0000}"/>
    <cellStyle name="SAPBEXHLevel2X 4 3 6" xfId="48808" xr:uid="{00000000-0005-0000-0000-000059BF0000}"/>
    <cellStyle name="SAPBEXHLevel2X 4 3 6 2" xfId="48809" xr:uid="{00000000-0005-0000-0000-00005ABF0000}"/>
    <cellStyle name="SAPBEXHLevel2X 4 3 7" xfId="48810" xr:uid="{00000000-0005-0000-0000-00005BBF0000}"/>
    <cellStyle name="SAPBEXHLevel2X 4 4" xfId="48811" xr:uid="{00000000-0005-0000-0000-00005CBF0000}"/>
    <cellStyle name="SAPBEXHLevel2X 4 4 2" xfId="48812" xr:uid="{00000000-0005-0000-0000-00005DBF0000}"/>
    <cellStyle name="SAPBEXHLevel2X 4 4 2 2" xfId="48813" xr:uid="{00000000-0005-0000-0000-00005EBF0000}"/>
    <cellStyle name="SAPBEXHLevel2X 4 4 2 2 2" xfId="48814" xr:uid="{00000000-0005-0000-0000-00005FBF0000}"/>
    <cellStyle name="SAPBEXHLevel2X 4 4 2 3" xfId="48815" xr:uid="{00000000-0005-0000-0000-000060BF0000}"/>
    <cellStyle name="SAPBEXHLevel2X 4 4 3" xfId="48816" xr:uid="{00000000-0005-0000-0000-000061BF0000}"/>
    <cellStyle name="SAPBEXHLevel2X 4 4 3 2" xfId="48817" xr:uid="{00000000-0005-0000-0000-000062BF0000}"/>
    <cellStyle name="SAPBEXHLevel2X 4 4 4" xfId="48818" xr:uid="{00000000-0005-0000-0000-000063BF0000}"/>
    <cellStyle name="SAPBEXHLevel2X 4 5" xfId="48819" xr:uid="{00000000-0005-0000-0000-000064BF0000}"/>
    <cellStyle name="SAPBEXHLevel2X 4 5 2" xfId="48820" xr:uid="{00000000-0005-0000-0000-000065BF0000}"/>
    <cellStyle name="SAPBEXHLevel2X 4 5 2 2" xfId="48821" xr:uid="{00000000-0005-0000-0000-000066BF0000}"/>
    <cellStyle name="SAPBEXHLevel2X 4 5 3" xfId="48822" xr:uid="{00000000-0005-0000-0000-000067BF0000}"/>
    <cellStyle name="SAPBEXHLevel2X 4 6" xfId="48823" xr:uid="{00000000-0005-0000-0000-000068BF0000}"/>
    <cellStyle name="SAPBEXHLevel2X 4 6 2" xfId="48824" xr:uid="{00000000-0005-0000-0000-000069BF0000}"/>
    <cellStyle name="SAPBEXHLevel2X 4 6 2 2" xfId="48825" xr:uid="{00000000-0005-0000-0000-00006ABF0000}"/>
    <cellStyle name="SAPBEXHLevel2X 4 6 3" xfId="48826" xr:uid="{00000000-0005-0000-0000-00006BBF0000}"/>
    <cellStyle name="SAPBEXHLevel2X 4 7" xfId="48827" xr:uid="{00000000-0005-0000-0000-00006CBF0000}"/>
    <cellStyle name="SAPBEXHLevel2X 4 7 2" xfId="48828" xr:uid="{00000000-0005-0000-0000-00006DBF0000}"/>
    <cellStyle name="SAPBEXHLevel2X 4 8" xfId="48829" xr:uid="{00000000-0005-0000-0000-00006EBF0000}"/>
    <cellStyle name="SAPBEXHLevel2X 5" xfId="48830" xr:uid="{00000000-0005-0000-0000-00006FBF0000}"/>
    <cellStyle name="SAPBEXHLevel2X 5 2" xfId="48831" xr:uid="{00000000-0005-0000-0000-000070BF0000}"/>
    <cellStyle name="SAPBEXHLevel2X 5 2 2" xfId="48832" xr:uid="{00000000-0005-0000-0000-000071BF0000}"/>
    <cellStyle name="SAPBEXHLevel2X 5 2 2 2" xfId="48833" xr:uid="{00000000-0005-0000-0000-000072BF0000}"/>
    <cellStyle name="SAPBEXHLevel2X 5 2 3" xfId="48834" xr:uid="{00000000-0005-0000-0000-000073BF0000}"/>
    <cellStyle name="SAPBEXHLevel2X 5 3" xfId="48835" xr:uid="{00000000-0005-0000-0000-000074BF0000}"/>
    <cellStyle name="SAPBEXHLevel2X 5 3 2" xfId="48836" xr:uid="{00000000-0005-0000-0000-000075BF0000}"/>
    <cellStyle name="SAPBEXHLevel2X 5 3 2 2" xfId="48837" xr:uid="{00000000-0005-0000-0000-000076BF0000}"/>
    <cellStyle name="SAPBEXHLevel2X 5 3 3" xfId="48838" xr:uid="{00000000-0005-0000-0000-000077BF0000}"/>
    <cellStyle name="SAPBEXHLevel2X 5 4" xfId="48839" xr:uid="{00000000-0005-0000-0000-000078BF0000}"/>
    <cellStyle name="SAPBEXHLevel2X 5 4 2" xfId="48840" xr:uid="{00000000-0005-0000-0000-000079BF0000}"/>
    <cellStyle name="SAPBEXHLevel2X 5 4 2 2" xfId="48841" xr:uid="{00000000-0005-0000-0000-00007ABF0000}"/>
    <cellStyle name="SAPBEXHLevel2X 5 4 3" xfId="48842" xr:uid="{00000000-0005-0000-0000-00007BBF0000}"/>
    <cellStyle name="SAPBEXHLevel2X 5 5" xfId="48843" xr:uid="{00000000-0005-0000-0000-00007CBF0000}"/>
    <cellStyle name="SAPBEXHLevel2X 5 5 2" xfId="48844" xr:uid="{00000000-0005-0000-0000-00007DBF0000}"/>
    <cellStyle name="SAPBEXHLevel2X 5 6" xfId="48845" xr:uid="{00000000-0005-0000-0000-00007EBF0000}"/>
    <cellStyle name="SAPBEXHLevel2X 6" xfId="48846" xr:uid="{00000000-0005-0000-0000-00007FBF0000}"/>
    <cellStyle name="SAPBEXHLevel2X 6 2" xfId="48847" xr:uid="{00000000-0005-0000-0000-000080BF0000}"/>
    <cellStyle name="SAPBEXHLevel2X 6 2 2" xfId="48848" xr:uid="{00000000-0005-0000-0000-000081BF0000}"/>
    <cellStyle name="SAPBEXHLevel2X 6 3" xfId="48849" xr:uid="{00000000-0005-0000-0000-000082BF0000}"/>
    <cellStyle name="SAPBEXHLevel2X 6 3 2" xfId="48850" xr:uid="{00000000-0005-0000-0000-000083BF0000}"/>
    <cellStyle name="SAPBEXHLevel2X 6 3 2 2" xfId="48851" xr:uid="{00000000-0005-0000-0000-000084BF0000}"/>
    <cellStyle name="SAPBEXHLevel2X 6 3 3" xfId="48852" xr:uid="{00000000-0005-0000-0000-000085BF0000}"/>
    <cellStyle name="SAPBEXHLevel2X 6 4" xfId="48853" xr:uid="{00000000-0005-0000-0000-000086BF0000}"/>
    <cellStyle name="SAPBEXHLevel2X 6 4 2" xfId="48854" xr:uid="{00000000-0005-0000-0000-000087BF0000}"/>
    <cellStyle name="SAPBEXHLevel2X 6 4 2 2" xfId="48855" xr:uid="{00000000-0005-0000-0000-000088BF0000}"/>
    <cellStyle name="SAPBEXHLevel2X 6 4 3" xfId="48856" xr:uid="{00000000-0005-0000-0000-000089BF0000}"/>
    <cellStyle name="SAPBEXHLevel2X 6 5" xfId="48857" xr:uid="{00000000-0005-0000-0000-00008ABF0000}"/>
    <cellStyle name="SAPBEXHLevel2X 7" xfId="48858" xr:uid="{00000000-0005-0000-0000-00008BBF0000}"/>
    <cellStyle name="SAPBEXHLevel2X 7 2" xfId="48859" xr:uid="{00000000-0005-0000-0000-00008CBF0000}"/>
    <cellStyle name="SAPBEXHLevel2X 7 2 2" xfId="48860" xr:uid="{00000000-0005-0000-0000-00008DBF0000}"/>
    <cellStyle name="SAPBEXHLevel2X 7 2 2 2" xfId="48861" xr:uid="{00000000-0005-0000-0000-00008EBF0000}"/>
    <cellStyle name="SAPBEXHLevel2X 7 2 3" xfId="48862" xr:uid="{00000000-0005-0000-0000-00008FBF0000}"/>
    <cellStyle name="SAPBEXHLevel2X 7 2 3 2" xfId="48863" xr:uid="{00000000-0005-0000-0000-000090BF0000}"/>
    <cellStyle name="SAPBEXHLevel2X 7 2 3 2 2" xfId="48864" xr:uid="{00000000-0005-0000-0000-000091BF0000}"/>
    <cellStyle name="SAPBEXHLevel2X 7 2 3 3" xfId="48865" xr:uid="{00000000-0005-0000-0000-000092BF0000}"/>
    <cellStyle name="SAPBEXHLevel2X 7 2 4" xfId="48866" xr:uid="{00000000-0005-0000-0000-000093BF0000}"/>
    <cellStyle name="SAPBEXHLevel2X 7 3" xfId="48867" xr:uid="{00000000-0005-0000-0000-000094BF0000}"/>
    <cellStyle name="SAPBEXHLevel2X 7 3 2" xfId="48868" xr:uid="{00000000-0005-0000-0000-000095BF0000}"/>
    <cellStyle name="SAPBEXHLevel2X 7 3 2 2" xfId="48869" xr:uid="{00000000-0005-0000-0000-000096BF0000}"/>
    <cellStyle name="SAPBEXHLevel2X 7 3 3" xfId="48870" xr:uid="{00000000-0005-0000-0000-000097BF0000}"/>
    <cellStyle name="SAPBEXHLevel2X 7 4" xfId="48871" xr:uid="{00000000-0005-0000-0000-000098BF0000}"/>
    <cellStyle name="SAPBEXHLevel2X 7 4 2" xfId="48872" xr:uid="{00000000-0005-0000-0000-000099BF0000}"/>
    <cellStyle name="SAPBEXHLevel2X 7 4 2 2" xfId="48873" xr:uid="{00000000-0005-0000-0000-00009ABF0000}"/>
    <cellStyle name="SAPBEXHLevel2X 7 4 3" xfId="48874" xr:uid="{00000000-0005-0000-0000-00009BBF0000}"/>
    <cellStyle name="SAPBEXHLevel2X 7 5" xfId="48875" xr:uid="{00000000-0005-0000-0000-00009CBF0000}"/>
    <cellStyle name="SAPBEXHLevel2X 7 5 2" xfId="48876" xr:uid="{00000000-0005-0000-0000-00009DBF0000}"/>
    <cellStyle name="SAPBEXHLevel2X 7 5 2 2" xfId="48877" xr:uid="{00000000-0005-0000-0000-00009EBF0000}"/>
    <cellStyle name="SAPBEXHLevel2X 7 5 3" xfId="48878" xr:uid="{00000000-0005-0000-0000-00009FBF0000}"/>
    <cellStyle name="SAPBEXHLevel2X 7 6" xfId="48879" xr:uid="{00000000-0005-0000-0000-0000A0BF0000}"/>
    <cellStyle name="SAPBEXHLevel2X 8" xfId="48880" xr:uid="{00000000-0005-0000-0000-0000A1BF0000}"/>
    <cellStyle name="SAPBEXHLevel2X 8 2" xfId="48881" xr:uid="{00000000-0005-0000-0000-0000A2BF0000}"/>
    <cellStyle name="SAPBEXHLevel2X 8 2 2" xfId="48882" xr:uid="{00000000-0005-0000-0000-0000A3BF0000}"/>
    <cellStyle name="SAPBEXHLevel2X 8 2 2 2" xfId="48883" xr:uid="{00000000-0005-0000-0000-0000A4BF0000}"/>
    <cellStyle name="SAPBEXHLevel2X 8 2 3" xfId="48884" xr:uid="{00000000-0005-0000-0000-0000A5BF0000}"/>
    <cellStyle name="SAPBEXHLevel2X 8 3" xfId="48885" xr:uid="{00000000-0005-0000-0000-0000A6BF0000}"/>
    <cellStyle name="SAPBEXHLevel2X 8 3 2" xfId="48886" xr:uid="{00000000-0005-0000-0000-0000A7BF0000}"/>
    <cellStyle name="SAPBEXHLevel2X 8 3 2 2" xfId="48887" xr:uid="{00000000-0005-0000-0000-0000A8BF0000}"/>
    <cellStyle name="SAPBEXHLevel2X 8 3 3" xfId="48888" xr:uid="{00000000-0005-0000-0000-0000A9BF0000}"/>
    <cellStyle name="SAPBEXHLevel2X 8 4" xfId="48889" xr:uid="{00000000-0005-0000-0000-0000AABF0000}"/>
    <cellStyle name="SAPBEXHLevel2X 8 4 2" xfId="48890" xr:uid="{00000000-0005-0000-0000-0000ABBF0000}"/>
    <cellStyle name="SAPBEXHLevel2X 8 5" xfId="48891" xr:uid="{00000000-0005-0000-0000-0000ACBF0000}"/>
    <cellStyle name="SAPBEXHLevel2X 9" xfId="48892" xr:uid="{00000000-0005-0000-0000-0000ADBF0000}"/>
    <cellStyle name="SAPBEXHLevel2X 9 2" xfId="48893" xr:uid="{00000000-0005-0000-0000-0000AEBF0000}"/>
    <cellStyle name="SAPBEXHLevel2X 9 2 2" xfId="48894" xr:uid="{00000000-0005-0000-0000-0000AFBF0000}"/>
    <cellStyle name="SAPBEXHLevel2X 9 2 2 2" xfId="48895" xr:uid="{00000000-0005-0000-0000-0000B0BF0000}"/>
    <cellStyle name="SAPBEXHLevel2X 9 2 2 2 2" xfId="48896" xr:uid="{00000000-0005-0000-0000-0000B1BF0000}"/>
    <cellStyle name="SAPBEXHLevel2X 9 2 2 3" xfId="48897" xr:uid="{00000000-0005-0000-0000-0000B2BF0000}"/>
    <cellStyle name="SAPBEXHLevel2X 9 2 3" xfId="48898" xr:uid="{00000000-0005-0000-0000-0000B3BF0000}"/>
    <cellStyle name="SAPBEXHLevel2X 9 2 3 2" xfId="48899" xr:uid="{00000000-0005-0000-0000-0000B4BF0000}"/>
    <cellStyle name="SAPBEXHLevel2X 9 2 4" xfId="48900" xr:uid="{00000000-0005-0000-0000-0000B5BF0000}"/>
    <cellStyle name="SAPBEXHLevel2X 9 3" xfId="48901" xr:uid="{00000000-0005-0000-0000-0000B6BF0000}"/>
    <cellStyle name="SAPBEXHLevel2X 9 3 2" xfId="48902" xr:uid="{00000000-0005-0000-0000-0000B7BF0000}"/>
    <cellStyle name="SAPBEXHLevel2X 9 3 2 2" xfId="48903" xr:uid="{00000000-0005-0000-0000-0000B8BF0000}"/>
    <cellStyle name="SAPBEXHLevel2X 9 3 2 2 2" xfId="48904" xr:uid="{00000000-0005-0000-0000-0000B9BF0000}"/>
    <cellStyle name="SAPBEXHLevel2X 9 3 2 2 2 2" xfId="48905" xr:uid="{00000000-0005-0000-0000-0000BABF0000}"/>
    <cellStyle name="SAPBEXHLevel2X 9 3 2 2 3" xfId="48906" xr:uid="{00000000-0005-0000-0000-0000BBBF0000}"/>
    <cellStyle name="SAPBEXHLevel2X 9 3 2 3" xfId="48907" xr:uid="{00000000-0005-0000-0000-0000BCBF0000}"/>
    <cellStyle name="SAPBEXHLevel2X 9 3 2 3 2" xfId="48908" xr:uid="{00000000-0005-0000-0000-0000BDBF0000}"/>
    <cellStyle name="SAPBEXHLevel2X 9 3 2 4" xfId="48909" xr:uid="{00000000-0005-0000-0000-0000BEBF0000}"/>
    <cellStyle name="SAPBEXHLevel2X 9 3 3" xfId="48910" xr:uid="{00000000-0005-0000-0000-0000BFBF0000}"/>
    <cellStyle name="SAPBEXHLevel2X 9 3 3 2" xfId="48911" xr:uid="{00000000-0005-0000-0000-0000C0BF0000}"/>
    <cellStyle name="SAPBEXHLevel2X 9 3 3 2 2" xfId="48912" xr:uid="{00000000-0005-0000-0000-0000C1BF0000}"/>
    <cellStyle name="SAPBEXHLevel2X 9 3 3 3" xfId="48913" xr:uid="{00000000-0005-0000-0000-0000C2BF0000}"/>
    <cellStyle name="SAPBEXHLevel2X 9 3 4" xfId="48914" xr:uid="{00000000-0005-0000-0000-0000C3BF0000}"/>
    <cellStyle name="SAPBEXHLevel2X 9 3 4 2" xfId="48915" xr:uid="{00000000-0005-0000-0000-0000C4BF0000}"/>
    <cellStyle name="SAPBEXHLevel2X 9 3 5" xfId="48916" xr:uid="{00000000-0005-0000-0000-0000C5BF0000}"/>
    <cellStyle name="SAPBEXHLevel2X 9 4" xfId="48917" xr:uid="{00000000-0005-0000-0000-0000C6BF0000}"/>
    <cellStyle name="SAPBEXHLevel2X 9 4 2" xfId="48918" xr:uid="{00000000-0005-0000-0000-0000C7BF0000}"/>
    <cellStyle name="SAPBEXHLevel2X 9 4 2 2" xfId="48919" xr:uid="{00000000-0005-0000-0000-0000C8BF0000}"/>
    <cellStyle name="SAPBEXHLevel2X 9 4 3" xfId="48920" xr:uid="{00000000-0005-0000-0000-0000C9BF0000}"/>
    <cellStyle name="SAPBEXHLevel2X 9 5" xfId="48921" xr:uid="{00000000-0005-0000-0000-0000CABF0000}"/>
    <cellStyle name="SAPBEXHLevel2X 9 5 2" xfId="48922" xr:uid="{00000000-0005-0000-0000-0000CBBF0000}"/>
    <cellStyle name="SAPBEXHLevel2X 9 5 2 2" xfId="48923" xr:uid="{00000000-0005-0000-0000-0000CCBF0000}"/>
    <cellStyle name="SAPBEXHLevel2X 9 5 3" xfId="48924" xr:uid="{00000000-0005-0000-0000-0000CDBF0000}"/>
    <cellStyle name="SAPBEXHLevel2X 9 6" xfId="48925" xr:uid="{00000000-0005-0000-0000-0000CEBF0000}"/>
    <cellStyle name="SAPBEXHLevel2X 9 6 2" xfId="48926" xr:uid="{00000000-0005-0000-0000-0000CFBF0000}"/>
    <cellStyle name="SAPBEXHLevel2X 9 7" xfId="48927" xr:uid="{00000000-0005-0000-0000-0000D0BF0000}"/>
    <cellStyle name="SAPBEXHLevel3" xfId="66" xr:uid="{00000000-0005-0000-0000-0000D1BF0000}"/>
    <cellStyle name="SAPBEXHLevel3 10" xfId="48928" xr:uid="{00000000-0005-0000-0000-0000D2BF0000}"/>
    <cellStyle name="SAPBEXHLevel3 10 2" xfId="48929" xr:uid="{00000000-0005-0000-0000-0000D3BF0000}"/>
    <cellStyle name="SAPBEXHLevel3 10 2 2" xfId="48930" xr:uid="{00000000-0005-0000-0000-0000D4BF0000}"/>
    <cellStyle name="SAPBEXHLevel3 10 3" xfId="48931" xr:uid="{00000000-0005-0000-0000-0000D5BF0000}"/>
    <cellStyle name="SAPBEXHLevel3 11" xfId="48932" xr:uid="{00000000-0005-0000-0000-0000D6BF0000}"/>
    <cellStyle name="SAPBEXHLevel3 11 2" xfId="48933" xr:uid="{00000000-0005-0000-0000-0000D7BF0000}"/>
    <cellStyle name="SAPBEXHLevel3 12" xfId="48934" xr:uid="{00000000-0005-0000-0000-0000D8BF0000}"/>
    <cellStyle name="SAPBEXHLevel3 12 2" xfId="48935" xr:uid="{00000000-0005-0000-0000-0000D9BF0000}"/>
    <cellStyle name="SAPBEXHLevel3 12 2 2" xfId="48936" xr:uid="{00000000-0005-0000-0000-0000DABF0000}"/>
    <cellStyle name="SAPBEXHLevel3 12 3" xfId="48937" xr:uid="{00000000-0005-0000-0000-0000DBBF0000}"/>
    <cellStyle name="SAPBEXHLevel3 12 3 2" xfId="48938" xr:uid="{00000000-0005-0000-0000-0000DCBF0000}"/>
    <cellStyle name="SAPBEXHLevel3 12 4" xfId="48939" xr:uid="{00000000-0005-0000-0000-0000DDBF0000}"/>
    <cellStyle name="SAPBEXHLevel3 13" xfId="48940" xr:uid="{00000000-0005-0000-0000-0000DEBF0000}"/>
    <cellStyle name="SAPBEXHLevel3 13 2" xfId="48941" xr:uid="{00000000-0005-0000-0000-0000DFBF0000}"/>
    <cellStyle name="SAPBEXHLevel3 14" xfId="48942" xr:uid="{00000000-0005-0000-0000-0000E0BF0000}"/>
    <cellStyle name="SAPBEXHLevel3 14 2" xfId="48943" xr:uid="{00000000-0005-0000-0000-0000E1BF0000}"/>
    <cellStyle name="SAPBEXHLevel3 14 3" xfId="48944" xr:uid="{00000000-0005-0000-0000-0000E2BF0000}"/>
    <cellStyle name="SAPBEXHLevel3 15" xfId="48945" xr:uid="{00000000-0005-0000-0000-0000E3BF0000}"/>
    <cellStyle name="SAPBEXHLevel3 15 2" xfId="48946" xr:uid="{00000000-0005-0000-0000-0000E4BF0000}"/>
    <cellStyle name="SAPBEXHLevel3 16" xfId="48947" xr:uid="{00000000-0005-0000-0000-0000E5BF0000}"/>
    <cellStyle name="SAPBEXHLevel3 16 2" xfId="48948" xr:uid="{00000000-0005-0000-0000-0000E6BF0000}"/>
    <cellStyle name="SAPBEXHLevel3 17" xfId="48949" xr:uid="{00000000-0005-0000-0000-0000E7BF0000}"/>
    <cellStyle name="SAPBEXHLevel3 18" xfId="48950" xr:uid="{00000000-0005-0000-0000-0000E8BF0000}"/>
    <cellStyle name="SAPBEXHLevel3 2" xfId="90" xr:uid="{00000000-0005-0000-0000-0000E9BF0000}"/>
    <cellStyle name="SAPBEXHLevel3 2 2" xfId="48951" xr:uid="{00000000-0005-0000-0000-0000EABF0000}"/>
    <cellStyle name="SAPBEXHLevel3 2 2 2" xfId="48952" xr:uid="{00000000-0005-0000-0000-0000EBBF0000}"/>
    <cellStyle name="SAPBEXHLevel3 2 2 2 2" xfId="48953" xr:uid="{00000000-0005-0000-0000-0000ECBF0000}"/>
    <cellStyle name="SAPBEXHLevel3 2 2 2 2 2" xfId="48954" xr:uid="{00000000-0005-0000-0000-0000EDBF0000}"/>
    <cellStyle name="SAPBEXHLevel3 2 2 2 3" xfId="48955" xr:uid="{00000000-0005-0000-0000-0000EEBF0000}"/>
    <cellStyle name="SAPBEXHLevel3 2 2 3" xfId="48956" xr:uid="{00000000-0005-0000-0000-0000EFBF0000}"/>
    <cellStyle name="SAPBEXHLevel3 2 2 3 2" xfId="48957" xr:uid="{00000000-0005-0000-0000-0000F0BF0000}"/>
    <cellStyle name="SAPBEXHLevel3 2 2 3 2 2" xfId="48958" xr:uid="{00000000-0005-0000-0000-0000F1BF0000}"/>
    <cellStyle name="SAPBEXHLevel3 2 2 3 3" xfId="48959" xr:uid="{00000000-0005-0000-0000-0000F2BF0000}"/>
    <cellStyle name="SAPBEXHLevel3 2 2 4" xfId="48960" xr:uid="{00000000-0005-0000-0000-0000F3BF0000}"/>
    <cellStyle name="SAPBEXHLevel3 2 2 4 2" xfId="48961" xr:uid="{00000000-0005-0000-0000-0000F4BF0000}"/>
    <cellStyle name="SAPBEXHLevel3 2 2 4 2 2" xfId="48962" xr:uid="{00000000-0005-0000-0000-0000F5BF0000}"/>
    <cellStyle name="SAPBEXHLevel3 2 2 4 3" xfId="48963" xr:uid="{00000000-0005-0000-0000-0000F6BF0000}"/>
    <cellStyle name="SAPBEXHLevel3 2 2 5" xfId="48964" xr:uid="{00000000-0005-0000-0000-0000F7BF0000}"/>
    <cellStyle name="SAPBEXHLevel3 2 2 5 2" xfId="48965" xr:uid="{00000000-0005-0000-0000-0000F8BF0000}"/>
    <cellStyle name="SAPBEXHLevel3 2 2 6" xfId="48966" xr:uid="{00000000-0005-0000-0000-0000F9BF0000}"/>
    <cellStyle name="SAPBEXHLevel3 2 3" xfId="48967" xr:uid="{00000000-0005-0000-0000-0000FABF0000}"/>
    <cellStyle name="SAPBEXHLevel3 2 3 2" xfId="48968" xr:uid="{00000000-0005-0000-0000-0000FBBF0000}"/>
    <cellStyle name="SAPBEXHLevel3 2 3 2 2" xfId="48969" xr:uid="{00000000-0005-0000-0000-0000FCBF0000}"/>
    <cellStyle name="SAPBEXHLevel3 2 3 2 2 2" xfId="48970" xr:uid="{00000000-0005-0000-0000-0000FDBF0000}"/>
    <cellStyle name="SAPBEXHLevel3 2 3 2 2 2 2" xfId="48971" xr:uid="{00000000-0005-0000-0000-0000FEBF0000}"/>
    <cellStyle name="SAPBEXHLevel3 2 3 2 2 3" xfId="48972" xr:uid="{00000000-0005-0000-0000-0000FFBF0000}"/>
    <cellStyle name="SAPBEXHLevel3 2 3 2 3" xfId="48973" xr:uid="{00000000-0005-0000-0000-000000C00000}"/>
    <cellStyle name="SAPBEXHLevel3 2 3 2 3 2" xfId="48974" xr:uid="{00000000-0005-0000-0000-000001C00000}"/>
    <cellStyle name="SAPBEXHLevel3 2 3 2 3 2 2" xfId="48975" xr:uid="{00000000-0005-0000-0000-000002C00000}"/>
    <cellStyle name="SAPBEXHLevel3 2 3 2 3 3" xfId="48976" xr:uid="{00000000-0005-0000-0000-000003C00000}"/>
    <cellStyle name="SAPBEXHLevel3 2 3 2 4" xfId="48977" xr:uid="{00000000-0005-0000-0000-000004C00000}"/>
    <cellStyle name="SAPBEXHLevel3 2 3 2 4 2" xfId="48978" xr:uid="{00000000-0005-0000-0000-000005C00000}"/>
    <cellStyle name="SAPBEXHLevel3 2 3 2 5" xfId="48979" xr:uid="{00000000-0005-0000-0000-000006C00000}"/>
    <cellStyle name="SAPBEXHLevel3 2 3 3" xfId="48980" xr:uid="{00000000-0005-0000-0000-000007C00000}"/>
    <cellStyle name="SAPBEXHLevel3 2 3 3 2" xfId="48981" xr:uid="{00000000-0005-0000-0000-000008C00000}"/>
    <cellStyle name="SAPBEXHLevel3 2 3 3 2 2" xfId="48982" xr:uid="{00000000-0005-0000-0000-000009C00000}"/>
    <cellStyle name="SAPBEXHLevel3 2 3 3 2 2 2" xfId="48983" xr:uid="{00000000-0005-0000-0000-00000AC00000}"/>
    <cellStyle name="SAPBEXHLevel3 2 3 3 2 3" xfId="48984" xr:uid="{00000000-0005-0000-0000-00000BC00000}"/>
    <cellStyle name="SAPBEXHLevel3 2 3 3 3" xfId="48985" xr:uid="{00000000-0005-0000-0000-00000CC00000}"/>
    <cellStyle name="SAPBEXHLevel3 2 3 3 3 2" xfId="48986" xr:uid="{00000000-0005-0000-0000-00000DC00000}"/>
    <cellStyle name="SAPBEXHLevel3 2 3 3 4" xfId="48987" xr:uid="{00000000-0005-0000-0000-00000EC00000}"/>
    <cellStyle name="SAPBEXHLevel3 2 3 4" xfId="48988" xr:uid="{00000000-0005-0000-0000-00000FC00000}"/>
    <cellStyle name="SAPBEXHLevel3 2 3 4 2" xfId="48989" xr:uid="{00000000-0005-0000-0000-000010C00000}"/>
    <cellStyle name="SAPBEXHLevel3 2 3 4 2 2" xfId="48990" xr:uid="{00000000-0005-0000-0000-000011C00000}"/>
    <cellStyle name="SAPBEXHLevel3 2 3 4 3" xfId="48991" xr:uid="{00000000-0005-0000-0000-000012C00000}"/>
    <cellStyle name="SAPBEXHLevel3 2 3 5" xfId="48992" xr:uid="{00000000-0005-0000-0000-000013C00000}"/>
    <cellStyle name="SAPBEXHLevel3 2 3 5 2" xfId="48993" xr:uid="{00000000-0005-0000-0000-000014C00000}"/>
    <cellStyle name="SAPBEXHLevel3 2 3 5 2 2" xfId="48994" xr:uid="{00000000-0005-0000-0000-000015C00000}"/>
    <cellStyle name="SAPBEXHLevel3 2 3 5 3" xfId="48995" xr:uid="{00000000-0005-0000-0000-000016C00000}"/>
    <cellStyle name="SAPBEXHLevel3 2 3 6" xfId="48996" xr:uid="{00000000-0005-0000-0000-000017C00000}"/>
    <cellStyle name="SAPBEXHLevel3 2 3 6 2" xfId="48997" xr:uid="{00000000-0005-0000-0000-000018C00000}"/>
    <cellStyle name="SAPBEXHLevel3 2 3 7" xfId="48998" xr:uid="{00000000-0005-0000-0000-000019C00000}"/>
    <cellStyle name="SAPBEXHLevel3 2 4" xfId="48999" xr:uid="{00000000-0005-0000-0000-00001AC00000}"/>
    <cellStyle name="SAPBEXHLevel3 2 4 2" xfId="49000" xr:uid="{00000000-0005-0000-0000-00001BC00000}"/>
    <cellStyle name="SAPBEXHLevel3 2 4 2 2" xfId="49001" xr:uid="{00000000-0005-0000-0000-00001CC00000}"/>
    <cellStyle name="SAPBEXHLevel3 2 4 2 2 2" xfId="49002" xr:uid="{00000000-0005-0000-0000-00001DC00000}"/>
    <cellStyle name="SAPBEXHLevel3 2 4 2 2 2 2" xfId="49003" xr:uid="{00000000-0005-0000-0000-00001EC00000}"/>
    <cellStyle name="SAPBEXHLevel3 2 4 2 2 2 2 2" xfId="49004" xr:uid="{00000000-0005-0000-0000-00001FC00000}"/>
    <cellStyle name="SAPBEXHLevel3 2 4 2 2 2 2 2 2" xfId="49005" xr:uid="{00000000-0005-0000-0000-000020C00000}"/>
    <cellStyle name="SAPBEXHLevel3 2 4 2 2 2 2 3" xfId="49006" xr:uid="{00000000-0005-0000-0000-000021C00000}"/>
    <cellStyle name="SAPBEXHLevel3 2 4 2 2 2 3" xfId="49007" xr:uid="{00000000-0005-0000-0000-000022C00000}"/>
    <cellStyle name="SAPBEXHLevel3 2 4 2 2 2 3 2" xfId="49008" xr:uid="{00000000-0005-0000-0000-000023C00000}"/>
    <cellStyle name="SAPBEXHLevel3 2 4 2 2 2 4" xfId="49009" xr:uid="{00000000-0005-0000-0000-000024C00000}"/>
    <cellStyle name="SAPBEXHLevel3 2 4 2 2 3" xfId="49010" xr:uid="{00000000-0005-0000-0000-000025C00000}"/>
    <cellStyle name="SAPBEXHLevel3 2 4 2 2 3 2" xfId="49011" xr:uid="{00000000-0005-0000-0000-000026C00000}"/>
    <cellStyle name="SAPBEXHLevel3 2 4 2 2 3 2 2" xfId="49012" xr:uid="{00000000-0005-0000-0000-000027C00000}"/>
    <cellStyle name="SAPBEXHLevel3 2 4 2 2 3 3" xfId="49013" xr:uid="{00000000-0005-0000-0000-000028C00000}"/>
    <cellStyle name="SAPBEXHLevel3 2 4 2 2 4" xfId="49014" xr:uid="{00000000-0005-0000-0000-000029C00000}"/>
    <cellStyle name="SAPBEXHLevel3 2 4 2 2 4 2" xfId="49015" xr:uid="{00000000-0005-0000-0000-00002AC00000}"/>
    <cellStyle name="SAPBEXHLevel3 2 4 2 2 5" xfId="49016" xr:uid="{00000000-0005-0000-0000-00002BC00000}"/>
    <cellStyle name="SAPBEXHLevel3 2 4 2 3" xfId="49017" xr:uid="{00000000-0005-0000-0000-00002CC00000}"/>
    <cellStyle name="SAPBEXHLevel3 2 4 2 3 2" xfId="49018" xr:uid="{00000000-0005-0000-0000-00002DC00000}"/>
    <cellStyle name="SAPBEXHLevel3 2 4 2 3 2 2" xfId="49019" xr:uid="{00000000-0005-0000-0000-00002EC00000}"/>
    <cellStyle name="SAPBEXHLevel3 2 4 2 3 3" xfId="49020" xr:uid="{00000000-0005-0000-0000-00002FC00000}"/>
    <cellStyle name="SAPBEXHLevel3 2 4 2 4" xfId="49021" xr:uid="{00000000-0005-0000-0000-000030C00000}"/>
    <cellStyle name="SAPBEXHLevel3 2 4 2 4 2" xfId="49022" xr:uid="{00000000-0005-0000-0000-000031C00000}"/>
    <cellStyle name="SAPBEXHLevel3 2 4 2 4 2 2" xfId="49023" xr:uid="{00000000-0005-0000-0000-000032C00000}"/>
    <cellStyle name="SAPBEXHLevel3 2 4 2 4 2 2 2" xfId="49024" xr:uid="{00000000-0005-0000-0000-000033C00000}"/>
    <cellStyle name="SAPBEXHLevel3 2 4 2 4 2 3" xfId="49025" xr:uid="{00000000-0005-0000-0000-000034C00000}"/>
    <cellStyle name="SAPBEXHLevel3 2 4 2 4 3" xfId="49026" xr:uid="{00000000-0005-0000-0000-000035C00000}"/>
    <cellStyle name="SAPBEXHLevel3 2 4 2 4 3 2" xfId="49027" xr:uid="{00000000-0005-0000-0000-000036C00000}"/>
    <cellStyle name="SAPBEXHLevel3 2 4 2 4 4" xfId="49028" xr:uid="{00000000-0005-0000-0000-000037C00000}"/>
    <cellStyle name="SAPBEXHLevel3 2 4 2 5" xfId="49029" xr:uid="{00000000-0005-0000-0000-000038C00000}"/>
    <cellStyle name="SAPBEXHLevel3 2 4 2 5 2" xfId="49030" xr:uid="{00000000-0005-0000-0000-000039C00000}"/>
    <cellStyle name="SAPBEXHLevel3 2 4 2 5 2 2" xfId="49031" xr:uid="{00000000-0005-0000-0000-00003AC00000}"/>
    <cellStyle name="SAPBEXHLevel3 2 4 2 5 3" xfId="49032" xr:uid="{00000000-0005-0000-0000-00003BC00000}"/>
    <cellStyle name="SAPBEXHLevel3 2 4 2 6" xfId="49033" xr:uid="{00000000-0005-0000-0000-00003CC00000}"/>
    <cellStyle name="SAPBEXHLevel3 2 4 2 6 2" xfId="49034" xr:uid="{00000000-0005-0000-0000-00003DC00000}"/>
    <cellStyle name="SAPBEXHLevel3 2 4 2 7" xfId="49035" xr:uid="{00000000-0005-0000-0000-00003EC00000}"/>
    <cellStyle name="SAPBEXHLevel3 2 4 3" xfId="49036" xr:uid="{00000000-0005-0000-0000-00003FC00000}"/>
    <cellStyle name="SAPBEXHLevel3 2 4 3 2" xfId="49037" xr:uid="{00000000-0005-0000-0000-000040C00000}"/>
    <cellStyle name="SAPBEXHLevel3 2 4 3 2 2" xfId="49038" xr:uid="{00000000-0005-0000-0000-000041C00000}"/>
    <cellStyle name="SAPBEXHLevel3 2 4 3 2 2 2" xfId="49039" xr:uid="{00000000-0005-0000-0000-000042C00000}"/>
    <cellStyle name="SAPBEXHLevel3 2 4 3 2 2 2 2" xfId="49040" xr:uid="{00000000-0005-0000-0000-000043C00000}"/>
    <cellStyle name="SAPBEXHLevel3 2 4 3 2 2 2 2 2" xfId="49041" xr:uid="{00000000-0005-0000-0000-000044C00000}"/>
    <cellStyle name="SAPBEXHLevel3 2 4 3 2 2 2 3" xfId="49042" xr:uid="{00000000-0005-0000-0000-000045C00000}"/>
    <cellStyle name="SAPBEXHLevel3 2 4 3 2 2 3" xfId="49043" xr:uid="{00000000-0005-0000-0000-000046C00000}"/>
    <cellStyle name="SAPBEXHLevel3 2 4 3 2 2 3 2" xfId="49044" xr:uid="{00000000-0005-0000-0000-000047C00000}"/>
    <cellStyle name="SAPBEXHLevel3 2 4 3 2 2 4" xfId="49045" xr:uid="{00000000-0005-0000-0000-000048C00000}"/>
    <cellStyle name="SAPBEXHLevel3 2 4 3 2 3" xfId="49046" xr:uid="{00000000-0005-0000-0000-000049C00000}"/>
    <cellStyle name="SAPBEXHLevel3 2 4 3 2 3 2" xfId="49047" xr:uid="{00000000-0005-0000-0000-00004AC00000}"/>
    <cellStyle name="SAPBEXHLevel3 2 4 3 2 3 2 2" xfId="49048" xr:uid="{00000000-0005-0000-0000-00004BC00000}"/>
    <cellStyle name="SAPBEXHLevel3 2 4 3 2 3 3" xfId="49049" xr:uid="{00000000-0005-0000-0000-00004CC00000}"/>
    <cellStyle name="SAPBEXHLevel3 2 4 3 2 4" xfId="49050" xr:uid="{00000000-0005-0000-0000-00004DC00000}"/>
    <cellStyle name="SAPBEXHLevel3 2 4 3 2 4 2" xfId="49051" xr:uid="{00000000-0005-0000-0000-00004EC00000}"/>
    <cellStyle name="SAPBEXHLevel3 2 4 3 2 5" xfId="49052" xr:uid="{00000000-0005-0000-0000-00004FC00000}"/>
    <cellStyle name="SAPBEXHLevel3 2 4 3 3" xfId="49053" xr:uid="{00000000-0005-0000-0000-000050C00000}"/>
    <cellStyle name="SAPBEXHLevel3 2 4 3 3 2" xfId="49054" xr:uid="{00000000-0005-0000-0000-000051C00000}"/>
    <cellStyle name="SAPBEXHLevel3 2 4 3 3 2 2" xfId="49055" xr:uid="{00000000-0005-0000-0000-000052C00000}"/>
    <cellStyle name="SAPBEXHLevel3 2 4 3 3 2 2 2" xfId="49056" xr:uid="{00000000-0005-0000-0000-000053C00000}"/>
    <cellStyle name="SAPBEXHLevel3 2 4 3 3 2 3" xfId="49057" xr:uid="{00000000-0005-0000-0000-000054C00000}"/>
    <cellStyle name="SAPBEXHLevel3 2 4 3 3 3" xfId="49058" xr:uid="{00000000-0005-0000-0000-000055C00000}"/>
    <cellStyle name="SAPBEXHLevel3 2 4 3 3 3 2" xfId="49059" xr:uid="{00000000-0005-0000-0000-000056C00000}"/>
    <cellStyle name="SAPBEXHLevel3 2 4 3 3 4" xfId="49060" xr:uid="{00000000-0005-0000-0000-000057C00000}"/>
    <cellStyle name="SAPBEXHLevel3 2 4 3 4" xfId="49061" xr:uid="{00000000-0005-0000-0000-000058C00000}"/>
    <cellStyle name="SAPBEXHLevel3 2 4 3 4 2" xfId="49062" xr:uid="{00000000-0005-0000-0000-000059C00000}"/>
    <cellStyle name="SAPBEXHLevel3 2 4 3 4 2 2" xfId="49063" xr:uid="{00000000-0005-0000-0000-00005AC00000}"/>
    <cellStyle name="SAPBEXHLevel3 2 4 3 4 3" xfId="49064" xr:uid="{00000000-0005-0000-0000-00005BC00000}"/>
    <cellStyle name="SAPBEXHLevel3 2 4 3 5" xfId="49065" xr:uid="{00000000-0005-0000-0000-00005CC00000}"/>
    <cellStyle name="SAPBEXHLevel3 2 4 3 5 2" xfId="49066" xr:uid="{00000000-0005-0000-0000-00005DC00000}"/>
    <cellStyle name="SAPBEXHLevel3 2 4 3 6" xfId="49067" xr:uid="{00000000-0005-0000-0000-00005EC00000}"/>
    <cellStyle name="SAPBEXHLevel3 2 4 4" xfId="49068" xr:uid="{00000000-0005-0000-0000-00005FC00000}"/>
    <cellStyle name="SAPBEXHLevel3 2 4 4 2" xfId="49069" xr:uid="{00000000-0005-0000-0000-000060C00000}"/>
    <cellStyle name="SAPBEXHLevel3 2 4 4 2 2" xfId="49070" xr:uid="{00000000-0005-0000-0000-000061C00000}"/>
    <cellStyle name="SAPBEXHLevel3 2 4 4 3" xfId="49071" xr:uid="{00000000-0005-0000-0000-000062C00000}"/>
    <cellStyle name="SAPBEXHLevel3 2 4 5" xfId="49072" xr:uid="{00000000-0005-0000-0000-000063C00000}"/>
    <cellStyle name="SAPBEXHLevel3 2 4 5 2" xfId="49073" xr:uid="{00000000-0005-0000-0000-000064C00000}"/>
    <cellStyle name="SAPBEXHLevel3 2 4 5 2 2" xfId="49074" xr:uid="{00000000-0005-0000-0000-000065C00000}"/>
    <cellStyle name="SAPBEXHLevel3 2 4 5 2 2 2" xfId="49075" xr:uid="{00000000-0005-0000-0000-000066C00000}"/>
    <cellStyle name="SAPBEXHLevel3 2 4 5 2 3" xfId="49076" xr:uid="{00000000-0005-0000-0000-000067C00000}"/>
    <cellStyle name="SAPBEXHLevel3 2 4 5 3" xfId="49077" xr:uid="{00000000-0005-0000-0000-000068C00000}"/>
    <cellStyle name="SAPBEXHLevel3 2 4 5 3 2" xfId="49078" xr:uid="{00000000-0005-0000-0000-000069C00000}"/>
    <cellStyle name="SAPBEXHLevel3 2 4 5 4" xfId="49079" xr:uid="{00000000-0005-0000-0000-00006AC00000}"/>
    <cellStyle name="SAPBEXHLevel3 2 4 6" xfId="49080" xr:uid="{00000000-0005-0000-0000-00006BC00000}"/>
    <cellStyle name="SAPBEXHLevel3 2 4 6 2" xfId="49081" xr:uid="{00000000-0005-0000-0000-00006CC00000}"/>
    <cellStyle name="SAPBEXHLevel3 2 4 6 2 2" xfId="49082" xr:uid="{00000000-0005-0000-0000-00006DC00000}"/>
    <cellStyle name="SAPBEXHLevel3 2 4 6 3" xfId="49083" xr:uid="{00000000-0005-0000-0000-00006EC00000}"/>
    <cellStyle name="SAPBEXHLevel3 2 4 7" xfId="49084" xr:uid="{00000000-0005-0000-0000-00006FC00000}"/>
    <cellStyle name="SAPBEXHLevel3 2 4 7 2" xfId="49085" xr:uid="{00000000-0005-0000-0000-000070C00000}"/>
    <cellStyle name="SAPBEXHLevel3 2 4 8" xfId="49086" xr:uid="{00000000-0005-0000-0000-000071C00000}"/>
    <cellStyle name="SAPBEXHLevel3 2 5" xfId="49087" xr:uid="{00000000-0005-0000-0000-000072C00000}"/>
    <cellStyle name="SAPBEXHLevel3 2 5 2" xfId="49088" xr:uid="{00000000-0005-0000-0000-000073C00000}"/>
    <cellStyle name="SAPBEXHLevel3 2 5 2 2" xfId="49089" xr:uid="{00000000-0005-0000-0000-000074C00000}"/>
    <cellStyle name="SAPBEXHLevel3 2 5 2 2 2" xfId="49090" xr:uid="{00000000-0005-0000-0000-000075C00000}"/>
    <cellStyle name="SAPBEXHLevel3 2 5 2 3" xfId="49091" xr:uid="{00000000-0005-0000-0000-000076C00000}"/>
    <cellStyle name="SAPBEXHLevel3 2 5 3" xfId="49092" xr:uid="{00000000-0005-0000-0000-000077C00000}"/>
    <cellStyle name="SAPBEXHLevel3 2 5 3 2" xfId="49093" xr:uid="{00000000-0005-0000-0000-000078C00000}"/>
    <cellStyle name="SAPBEXHLevel3 2 5 4" xfId="49094" xr:uid="{00000000-0005-0000-0000-000079C00000}"/>
    <cellStyle name="SAPBEXHLevel3 2 6" xfId="49095" xr:uid="{00000000-0005-0000-0000-00007AC00000}"/>
    <cellStyle name="SAPBEXHLevel3 2 6 2" xfId="49096" xr:uid="{00000000-0005-0000-0000-00007BC00000}"/>
    <cellStyle name="SAPBEXHLevel3 2 6 2 2" xfId="49097" xr:uid="{00000000-0005-0000-0000-00007CC00000}"/>
    <cellStyle name="SAPBEXHLevel3 2 6 3" xfId="49098" xr:uid="{00000000-0005-0000-0000-00007DC00000}"/>
    <cellStyle name="SAPBEXHLevel3 2 7" xfId="49099" xr:uid="{00000000-0005-0000-0000-00007EC00000}"/>
    <cellStyle name="SAPBEXHLevel3 2 7 2" xfId="49100" xr:uid="{00000000-0005-0000-0000-00007FC00000}"/>
    <cellStyle name="SAPBEXHLevel3 2 7 2 2" xfId="49101" xr:uid="{00000000-0005-0000-0000-000080C00000}"/>
    <cellStyle name="SAPBEXHLevel3 2 7 3" xfId="49102" xr:uid="{00000000-0005-0000-0000-000081C00000}"/>
    <cellStyle name="SAPBEXHLevel3 2 8" xfId="49103" xr:uid="{00000000-0005-0000-0000-000082C00000}"/>
    <cellStyle name="SAPBEXHLevel3 2 8 2" xfId="49104" xr:uid="{00000000-0005-0000-0000-000083C00000}"/>
    <cellStyle name="SAPBEXHLevel3 2 9" xfId="49105" xr:uid="{00000000-0005-0000-0000-000084C00000}"/>
    <cellStyle name="SAPBEXHLevel3 3" xfId="49106" xr:uid="{00000000-0005-0000-0000-000085C00000}"/>
    <cellStyle name="SAPBEXHLevel3 3 2" xfId="49107" xr:uid="{00000000-0005-0000-0000-000086C00000}"/>
    <cellStyle name="SAPBEXHLevel3 3 2 2" xfId="49108" xr:uid="{00000000-0005-0000-0000-000087C00000}"/>
    <cellStyle name="SAPBEXHLevel3 3 2 2 2" xfId="49109" xr:uid="{00000000-0005-0000-0000-000088C00000}"/>
    <cellStyle name="SAPBEXHLevel3 3 2 2 2 2" xfId="49110" xr:uid="{00000000-0005-0000-0000-000089C00000}"/>
    <cellStyle name="SAPBEXHLevel3 3 2 2 3" xfId="49111" xr:uid="{00000000-0005-0000-0000-00008AC00000}"/>
    <cellStyle name="SAPBEXHLevel3 3 2 3" xfId="49112" xr:uid="{00000000-0005-0000-0000-00008BC00000}"/>
    <cellStyle name="SAPBEXHLevel3 3 2 3 2" xfId="49113" xr:uid="{00000000-0005-0000-0000-00008CC00000}"/>
    <cellStyle name="SAPBEXHLevel3 3 2 3 2 2" xfId="49114" xr:uid="{00000000-0005-0000-0000-00008DC00000}"/>
    <cellStyle name="SAPBEXHLevel3 3 2 3 3" xfId="49115" xr:uid="{00000000-0005-0000-0000-00008EC00000}"/>
    <cellStyle name="SAPBEXHLevel3 3 2 4" xfId="49116" xr:uid="{00000000-0005-0000-0000-00008FC00000}"/>
    <cellStyle name="SAPBEXHLevel3 3 2 4 2" xfId="49117" xr:uid="{00000000-0005-0000-0000-000090C00000}"/>
    <cellStyle name="SAPBEXHLevel3 3 2 4 2 2" xfId="49118" xr:uid="{00000000-0005-0000-0000-000091C00000}"/>
    <cellStyle name="SAPBEXHLevel3 3 2 4 3" xfId="49119" xr:uid="{00000000-0005-0000-0000-000092C00000}"/>
    <cellStyle name="SAPBEXHLevel3 3 2 5" xfId="49120" xr:uid="{00000000-0005-0000-0000-000093C00000}"/>
    <cellStyle name="SAPBEXHLevel3 3 2 5 2" xfId="49121" xr:uid="{00000000-0005-0000-0000-000094C00000}"/>
    <cellStyle name="SAPBEXHLevel3 3 2 6" xfId="49122" xr:uid="{00000000-0005-0000-0000-000095C00000}"/>
    <cellStyle name="SAPBEXHLevel3 3 3" xfId="49123" xr:uid="{00000000-0005-0000-0000-000096C00000}"/>
    <cellStyle name="SAPBEXHLevel3 3 3 2" xfId="49124" xr:uid="{00000000-0005-0000-0000-000097C00000}"/>
    <cellStyle name="SAPBEXHLevel3 3 3 2 2" xfId="49125" xr:uid="{00000000-0005-0000-0000-000098C00000}"/>
    <cellStyle name="SAPBEXHLevel3 3 3 2 2 2" xfId="49126" xr:uid="{00000000-0005-0000-0000-000099C00000}"/>
    <cellStyle name="SAPBEXHLevel3 3 3 2 3" xfId="49127" xr:uid="{00000000-0005-0000-0000-00009AC00000}"/>
    <cellStyle name="SAPBEXHLevel3 3 3 3" xfId="49128" xr:uid="{00000000-0005-0000-0000-00009BC00000}"/>
    <cellStyle name="SAPBEXHLevel3 3 3 3 2" xfId="49129" xr:uid="{00000000-0005-0000-0000-00009CC00000}"/>
    <cellStyle name="SAPBEXHLevel3 3 3 4" xfId="49130" xr:uid="{00000000-0005-0000-0000-00009DC00000}"/>
    <cellStyle name="SAPBEXHLevel3 3 4" xfId="49131" xr:uid="{00000000-0005-0000-0000-00009EC00000}"/>
    <cellStyle name="SAPBEXHLevel3 3 4 2" xfId="49132" xr:uid="{00000000-0005-0000-0000-00009FC00000}"/>
    <cellStyle name="SAPBEXHLevel3 3 4 2 2" xfId="49133" xr:uid="{00000000-0005-0000-0000-0000A0C00000}"/>
    <cellStyle name="SAPBEXHLevel3 3 4 3" xfId="49134" xr:uid="{00000000-0005-0000-0000-0000A1C00000}"/>
    <cellStyle name="SAPBEXHLevel3 3 5" xfId="49135" xr:uid="{00000000-0005-0000-0000-0000A2C00000}"/>
    <cellStyle name="SAPBEXHLevel3 3 5 2" xfId="49136" xr:uid="{00000000-0005-0000-0000-0000A3C00000}"/>
    <cellStyle name="SAPBEXHLevel3 3 5 2 2" xfId="49137" xr:uid="{00000000-0005-0000-0000-0000A4C00000}"/>
    <cellStyle name="SAPBEXHLevel3 3 5 3" xfId="49138" xr:uid="{00000000-0005-0000-0000-0000A5C00000}"/>
    <cellStyle name="SAPBEXHLevel3 3 6" xfId="49139" xr:uid="{00000000-0005-0000-0000-0000A6C00000}"/>
    <cellStyle name="SAPBEXHLevel3 3 6 2" xfId="49140" xr:uid="{00000000-0005-0000-0000-0000A7C00000}"/>
    <cellStyle name="SAPBEXHLevel3 3 7" xfId="49141" xr:uid="{00000000-0005-0000-0000-0000A8C00000}"/>
    <cellStyle name="SAPBEXHLevel3 4" xfId="49142" xr:uid="{00000000-0005-0000-0000-0000A9C00000}"/>
    <cellStyle name="SAPBEXHLevel3 4 2" xfId="49143" xr:uid="{00000000-0005-0000-0000-0000AAC00000}"/>
    <cellStyle name="SAPBEXHLevel3 4 2 2" xfId="49144" xr:uid="{00000000-0005-0000-0000-0000ABC00000}"/>
    <cellStyle name="SAPBEXHLevel3 4 2 2 2" xfId="49145" xr:uid="{00000000-0005-0000-0000-0000ACC00000}"/>
    <cellStyle name="SAPBEXHLevel3 4 2 2 2 2" xfId="49146" xr:uid="{00000000-0005-0000-0000-0000ADC00000}"/>
    <cellStyle name="SAPBEXHLevel3 4 2 2 3" xfId="49147" xr:uid="{00000000-0005-0000-0000-0000AEC00000}"/>
    <cellStyle name="SAPBEXHLevel3 4 2 3" xfId="49148" xr:uid="{00000000-0005-0000-0000-0000AFC00000}"/>
    <cellStyle name="SAPBEXHLevel3 4 2 3 2" xfId="49149" xr:uid="{00000000-0005-0000-0000-0000B0C00000}"/>
    <cellStyle name="SAPBEXHLevel3 4 2 3 2 2" xfId="49150" xr:uid="{00000000-0005-0000-0000-0000B1C00000}"/>
    <cellStyle name="SAPBEXHLevel3 4 2 3 3" xfId="49151" xr:uid="{00000000-0005-0000-0000-0000B2C00000}"/>
    <cellStyle name="SAPBEXHLevel3 4 2 4" xfId="49152" xr:uid="{00000000-0005-0000-0000-0000B3C00000}"/>
    <cellStyle name="SAPBEXHLevel3 4 2 4 2" xfId="49153" xr:uid="{00000000-0005-0000-0000-0000B4C00000}"/>
    <cellStyle name="SAPBEXHLevel3 4 2 4 2 2" xfId="49154" xr:uid="{00000000-0005-0000-0000-0000B5C00000}"/>
    <cellStyle name="SAPBEXHLevel3 4 2 4 3" xfId="49155" xr:uid="{00000000-0005-0000-0000-0000B6C00000}"/>
    <cellStyle name="SAPBEXHLevel3 4 2 5" xfId="49156" xr:uid="{00000000-0005-0000-0000-0000B7C00000}"/>
    <cellStyle name="SAPBEXHLevel3 4 2 5 2" xfId="49157" xr:uid="{00000000-0005-0000-0000-0000B8C00000}"/>
    <cellStyle name="SAPBEXHLevel3 4 2 6" xfId="49158" xr:uid="{00000000-0005-0000-0000-0000B9C00000}"/>
    <cellStyle name="SAPBEXHLevel3 4 3" xfId="49159" xr:uid="{00000000-0005-0000-0000-0000BAC00000}"/>
    <cellStyle name="SAPBEXHLevel3 4 3 2" xfId="49160" xr:uid="{00000000-0005-0000-0000-0000BBC00000}"/>
    <cellStyle name="SAPBEXHLevel3 4 3 2 2" xfId="49161" xr:uid="{00000000-0005-0000-0000-0000BCC00000}"/>
    <cellStyle name="SAPBEXHLevel3 4 3 2 2 2" xfId="49162" xr:uid="{00000000-0005-0000-0000-0000BDC00000}"/>
    <cellStyle name="SAPBEXHLevel3 4 3 2 2 2 2" xfId="49163" xr:uid="{00000000-0005-0000-0000-0000BEC00000}"/>
    <cellStyle name="SAPBEXHLevel3 4 3 2 2 3" xfId="49164" xr:uid="{00000000-0005-0000-0000-0000BFC00000}"/>
    <cellStyle name="SAPBEXHLevel3 4 3 2 3" xfId="49165" xr:uid="{00000000-0005-0000-0000-0000C0C00000}"/>
    <cellStyle name="SAPBEXHLevel3 4 3 2 3 2" xfId="49166" xr:uid="{00000000-0005-0000-0000-0000C1C00000}"/>
    <cellStyle name="SAPBEXHLevel3 4 3 2 3 2 2" xfId="49167" xr:uid="{00000000-0005-0000-0000-0000C2C00000}"/>
    <cellStyle name="SAPBEXHLevel3 4 3 2 3 3" xfId="49168" xr:uid="{00000000-0005-0000-0000-0000C3C00000}"/>
    <cellStyle name="SAPBEXHLevel3 4 3 2 4" xfId="49169" xr:uid="{00000000-0005-0000-0000-0000C4C00000}"/>
    <cellStyle name="SAPBEXHLevel3 4 3 2 4 2" xfId="49170" xr:uid="{00000000-0005-0000-0000-0000C5C00000}"/>
    <cellStyle name="SAPBEXHLevel3 4 3 2 5" xfId="49171" xr:uid="{00000000-0005-0000-0000-0000C6C00000}"/>
    <cellStyle name="SAPBEXHLevel3 4 3 3" xfId="49172" xr:uid="{00000000-0005-0000-0000-0000C7C00000}"/>
    <cellStyle name="SAPBEXHLevel3 4 3 3 2" xfId="49173" xr:uid="{00000000-0005-0000-0000-0000C8C00000}"/>
    <cellStyle name="SAPBEXHLevel3 4 3 3 2 2" xfId="49174" xr:uid="{00000000-0005-0000-0000-0000C9C00000}"/>
    <cellStyle name="SAPBEXHLevel3 4 3 3 2 2 2" xfId="49175" xr:uid="{00000000-0005-0000-0000-0000CAC00000}"/>
    <cellStyle name="SAPBEXHLevel3 4 3 3 2 3" xfId="49176" xr:uid="{00000000-0005-0000-0000-0000CBC00000}"/>
    <cellStyle name="SAPBEXHLevel3 4 3 3 3" xfId="49177" xr:uid="{00000000-0005-0000-0000-0000CCC00000}"/>
    <cellStyle name="SAPBEXHLevel3 4 3 3 3 2" xfId="49178" xr:uid="{00000000-0005-0000-0000-0000CDC00000}"/>
    <cellStyle name="SAPBEXHLevel3 4 3 3 4" xfId="49179" xr:uid="{00000000-0005-0000-0000-0000CEC00000}"/>
    <cellStyle name="SAPBEXHLevel3 4 3 4" xfId="49180" xr:uid="{00000000-0005-0000-0000-0000CFC00000}"/>
    <cellStyle name="SAPBEXHLevel3 4 3 4 2" xfId="49181" xr:uid="{00000000-0005-0000-0000-0000D0C00000}"/>
    <cellStyle name="SAPBEXHLevel3 4 3 4 2 2" xfId="49182" xr:uid="{00000000-0005-0000-0000-0000D1C00000}"/>
    <cellStyle name="SAPBEXHLevel3 4 3 4 3" xfId="49183" xr:uid="{00000000-0005-0000-0000-0000D2C00000}"/>
    <cellStyle name="SAPBEXHLevel3 4 3 5" xfId="49184" xr:uid="{00000000-0005-0000-0000-0000D3C00000}"/>
    <cellStyle name="SAPBEXHLevel3 4 3 5 2" xfId="49185" xr:uid="{00000000-0005-0000-0000-0000D4C00000}"/>
    <cellStyle name="SAPBEXHLevel3 4 3 5 2 2" xfId="49186" xr:uid="{00000000-0005-0000-0000-0000D5C00000}"/>
    <cellStyle name="SAPBEXHLevel3 4 3 5 3" xfId="49187" xr:uid="{00000000-0005-0000-0000-0000D6C00000}"/>
    <cellStyle name="SAPBEXHLevel3 4 3 6" xfId="49188" xr:uid="{00000000-0005-0000-0000-0000D7C00000}"/>
    <cellStyle name="SAPBEXHLevel3 4 3 6 2" xfId="49189" xr:uid="{00000000-0005-0000-0000-0000D8C00000}"/>
    <cellStyle name="SAPBEXHLevel3 4 3 7" xfId="49190" xr:uid="{00000000-0005-0000-0000-0000D9C00000}"/>
    <cellStyle name="SAPBEXHLevel3 4 4" xfId="49191" xr:uid="{00000000-0005-0000-0000-0000DAC00000}"/>
    <cellStyle name="SAPBEXHLevel3 4 4 2" xfId="49192" xr:uid="{00000000-0005-0000-0000-0000DBC00000}"/>
    <cellStyle name="SAPBEXHLevel3 4 4 2 2" xfId="49193" xr:uid="{00000000-0005-0000-0000-0000DCC00000}"/>
    <cellStyle name="SAPBEXHLevel3 4 4 2 2 2" xfId="49194" xr:uid="{00000000-0005-0000-0000-0000DDC00000}"/>
    <cellStyle name="SAPBEXHLevel3 4 4 2 3" xfId="49195" xr:uid="{00000000-0005-0000-0000-0000DEC00000}"/>
    <cellStyle name="SAPBEXHLevel3 4 4 3" xfId="49196" xr:uid="{00000000-0005-0000-0000-0000DFC00000}"/>
    <cellStyle name="SAPBEXHLevel3 4 4 3 2" xfId="49197" xr:uid="{00000000-0005-0000-0000-0000E0C00000}"/>
    <cellStyle name="SAPBEXHLevel3 4 4 4" xfId="49198" xr:uid="{00000000-0005-0000-0000-0000E1C00000}"/>
    <cellStyle name="SAPBEXHLevel3 4 5" xfId="49199" xr:uid="{00000000-0005-0000-0000-0000E2C00000}"/>
    <cellStyle name="SAPBEXHLevel3 4 5 2" xfId="49200" xr:uid="{00000000-0005-0000-0000-0000E3C00000}"/>
    <cellStyle name="SAPBEXHLevel3 4 5 2 2" xfId="49201" xr:uid="{00000000-0005-0000-0000-0000E4C00000}"/>
    <cellStyle name="SAPBEXHLevel3 4 5 3" xfId="49202" xr:uid="{00000000-0005-0000-0000-0000E5C00000}"/>
    <cellStyle name="SAPBEXHLevel3 4 6" xfId="49203" xr:uid="{00000000-0005-0000-0000-0000E6C00000}"/>
    <cellStyle name="SAPBEXHLevel3 4 6 2" xfId="49204" xr:uid="{00000000-0005-0000-0000-0000E7C00000}"/>
    <cellStyle name="SAPBEXHLevel3 4 6 2 2" xfId="49205" xr:uid="{00000000-0005-0000-0000-0000E8C00000}"/>
    <cellStyle name="SAPBEXHLevel3 4 6 3" xfId="49206" xr:uid="{00000000-0005-0000-0000-0000E9C00000}"/>
    <cellStyle name="SAPBEXHLevel3 4 7" xfId="49207" xr:uid="{00000000-0005-0000-0000-0000EAC00000}"/>
    <cellStyle name="SAPBEXHLevel3 4 7 2" xfId="49208" xr:uid="{00000000-0005-0000-0000-0000EBC00000}"/>
    <cellStyle name="SAPBEXHLevel3 4 8" xfId="49209" xr:uid="{00000000-0005-0000-0000-0000ECC00000}"/>
    <cellStyle name="SAPBEXHLevel3 5" xfId="49210" xr:uid="{00000000-0005-0000-0000-0000EDC00000}"/>
    <cellStyle name="SAPBEXHLevel3 5 2" xfId="49211" xr:uid="{00000000-0005-0000-0000-0000EEC00000}"/>
    <cellStyle name="SAPBEXHLevel3 5 2 2" xfId="49212" xr:uid="{00000000-0005-0000-0000-0000EFC00000}"/>
    <cellStyle name="SAPBEXHLevel3 5 2 2 2" xfId="49213" xr:uid="{00000000-0005-0000-0000-0000F0C00000}"/>
    <cellStyle name="SAPBEXHLevel3 5 2 3" xfId="49214" xr:uid="{00000000-0005-0000-0000-0000F1C00000}"/>
    <cellStyle name="SAPBEXHLevel3 5 3" xfId="49215" xr:uid="{00000000-0005-0000-0000-0000F2C00000}"/>
    <cellStyle name="SAPBEXHLevel3 5 3 2" xfId="49216" xr:uid="{00000000-0005-0000-0000-0000F3C00000}"/>
    <cellStyle name="SAPBEXHLevel3 5 3 2 2" xfId="49217" xr:uid="{00000000-0005-0000-0000-0000F4C00000}"/>
    <cellStyle name="SAPBEXHLevel3 5 3 3" xfId="49218" xr:uid="{00000000-0005-0000-0000-0000F5C00000}"/>
    <cellStyle name="SAPBEXHLevel3 5 4" xfId="49219" xr:uid="{00000000-0005-0000-0000-0000F6C00000}"/>
    <cellStyle name="SAPBEXHLevel3 5 4 2" xfId="49220" xr:uid="{00000000-0005-0000-0000-0000F7C00000}"/>
    <cellStyle name="SAPBEXHLevel3 5 4 2 2" xfId="49221" xr:uid="{00000000-0005-0000-0000-0000F8C00000}"/>
    <cellStyle name="SAPBEXHLevel3 5 4 3" xfId="49222" xr:uid="{00000000-0005-0000-0000-0000F9C00000}"/>
    <cellStyle name="SAPBEXHLevel3 5 5" xfId="49223" xr:uid="{00000000-0005-0000-0000-0000FAC00000}"/>
    <cellStyle name="SAPBEXHLevel3 5 5 2" xfId="49224" xr:uid="{00000000-0005-0000-0000-0000FBC00000}"/>
    <cellStyle name="SAPBEXHLevel3 5 6" xfId="49225" xr:uid="{00000000-0005-0000-0000-0000FCC00000}"/>
    <cellStyle name="SAPBEXHLevel3 6" xfId="49226" xr:uid="{00000000-0005-0000-0000-0000FDC00000}"/>
    <cellStyle name="SAPBEXHLevel3 6 2" xfId="49227" xr:uid="{00000000-0005-0000-0000-0000FEC00000}"/>
    <cellStyle name="SAPBEXHLevel3 6 2 2" xfId="49228" xr:uid="{00000000-0005-0000-0000-0000FFC00000}"/>
    <cellStyle name="SAPBEXHLevel3 6 3" xfId="49229" xr:uid="{00000000-0005-0000-0000-000000C10000}"/>
    <cellStyle name="SAPBEXHLevel3 6 3 2" xfId="49230" xr:uid="{00000000-0005-0000-0000-000001C10000}"/>
    <cellStyle name="SAPBEXHLevel3 6 3 2 2" xfId="49231" xr:uid="{00000000-0005-0000-0000-000002C10000}"/>
    <cellStyle name="SAPBEXHLevel3 6 3 3" xfId="49232" xr:uid="{00000000-0005-0000-0000-000003C10000}"/>
    <cellStyle name="SAPBEXHLevel3 6 4" xfId="49233" xr:uid="{00000000-0005-0000-0000-000004C10000}"/>
    <cellStyle name="SAPBEXHLevel3 6 4 2" xfId="49234" xr:uid="{00000000-0005-0000-0000-000005C10000}"/>
    <cellStyle name="SAPBEXHLevel3 6 4 2 2" xfId="49235" xr:uid="{00000000-0005-0000-0000-000006C10000}"/>
    <cellStyle name="SAPBEXHLevel3 6 4 3" xfId="49236" xr:uid="{00000000-0005-0000-0000-000007C10000}"/>
    <cellStyle name="SAPBEXHLevel3 6 5" xfId="49237" xr:uid="{00000000-0005-0000-0000-000008C10000}"/>
    <cellStyle name="SAPBEXHLevel3 7" xfId="49238" xr:uid="{00000000-0005-0000-0000-000009C10000}"/>
    <cellStyle name="SAPBEXHLevel3 7 2" xfId="49239" xr:uid="{00000000-0005-0000-0000-00000AC10000}"/>
    <cellStyle name="SAPBEXHLevel3 7 2 2" xfId="49240" xr:uid="{00000000-0005-0000-0000-00000BC10000}"/>
    <cellStyle name="SAPBEXHLevel3 7 2 2 2" xfId="49241" xr:uid="{00000000-0005-0000-0000-00000CC10000}"/>
    <cellStyle name="SAPBEXHLevel3 7 2 3" xfId="49242" xr:uid="{00000000-0005-0000-0000-00000DC10000}"/>
    <cellStyle name="SAPBEXHLevel3 7 2 3 2" xfId="49243" xr:uid="{00000000-0005-0000-0000-00000EC10000}"/>
    <cellStyle name="SAPBEXHLevel3 7 2 3 2 2" xfId="49244" xr:uid="{00000000-0005-0000-0000-00000FC10000}"/>
    <cellStyle name="SAPBEXHLevel3 7 2 3 3" xfId="49245" xr:uid="{00000000-0005-0000-0000-000010C10000}"/>
    <cellStyle name="SAPBEXHLevel3 7 2 4" xfId="49246" xr:uid="{00000000-0005-0000-0000-000011C10000}"/>
    <cellStyle name="SAPBEXHLevel3 7 3" xfId="49247" xr:uid="{00000000-0005-0000-0000-000012C10000}"/>
    <cellStyle name="SAPBEXHLevel3 7 3 2" xfId="49248" xr:uid="{00000000-0005-0000-0000-000013C10000}"/>
    <cellStyle name="SAPBEXHLevel3 7 3 2 2" xfId="49249" xr:uid="{00000000-0005-0000-0000-000014C10000}"/>
    <cellStyle name="SAPBEXHLevel3 7 3 3" xfId="49250" xr:uid="{00000000-0005-0000-0000-000015C10000}"/>
    <cellStyle name="SAPBEXHLevel3 7 4" xfId="49251" xr:uid="{00000000-0005-0000-0000-000016C10000}"/>
    <cellStyle name="SAPBEXHLevel3 7 4 2" xfId="49252" xr:uid="{00000000-0005-0000-0000-000017C10000}"/>
    <cellStyle name="SAPBEXHLevel3 7 4 2 2" xfId="49253" xr:uid="{00000000-0005-0000-0000-000018C10000}"/>
    <cellStyle name="SAPBEXHLevel3 7 4 3" xfId="49254" xr:uid="{00000000-0005-0000-0000-000019C10000}"/>
    <cellStyle name="SAPBEXHLevel3 7 5" xfId="49255" xr:uid="{00000000-0005-0000-0000-00001AC10000}"/>
    <cellStyle name="SAPBEXHLevel3 7 5 2" xfId="49256" xr:uid="{00000000-0005-0000-0000-00001BC10000}"/>
    <cellStyle name="SAPBEXHLevel3 7 5 2 2" xfId="49257" xr:uid="{00000000-0005-0000-0000-00001CC10000}"/>
    <cellStyle name="SAPBEXHLevel3 7 5 3" xfId="49258" xr:uid="{00000000-0005-0000-0000-00001DC10000}"/>
    <cellStyle name="SAPBEXHLevel3 7 6" xfId="49259" xr:uid="{00000000-0005-0000-0000-00001EC10000}"/>
    <cellStyle name="SAPBEXHLevel3 8" xfId="49260" xr:uid="{00000000-0005-0000-0000-00001FC10000}"/>
    <cellStyle name="SAPBEXHLevel3 8 2" xfId="49261" xr:uid="{00000000-0005-0000-0000-000020C10000}"/>
    <cellStyle name="SAPBEXHLevel3 8 2 2" xfId="49262" xr:uid="{00000000-0005-0000-0000-000021C10000}"/>
    <cellStyle name="SAPBEXHLevel3 8 3" xfId="49263" xr:uid="{00000000-0005-0000-0000-000022C10000}"/>
    <cellStyle name="SAPBEXHLevel3 9" xfId="49264" xr:uid="{00000000-0005-0000-0000-000023C10000}"/>
    <cellStyle name="SAPBEXHLevel3 9 2" xfId="49265" xr:uid="{00000000-0005-0000-0000-000024C10000}"/>
    <cellStyle name="SAPBEXHLevel3 9 2 2" xfId="49266" xr:uid="{00000000-0005-0000-0000-000025C10000}"/>
    <cellStyle name="SAPBEXHLevel3 9 3" xfId="49267" xr:uid="{00000000-0005-0000-0000-000026C10000}"/>
    <cellStyle name="SAPBEXHLevel3X" xfId="67" xr:uid="{00000000-0005-0000-0000-000027C10000}"/>
    <cellStyle name="SAPBEXHLevel3X 10" xfId="49268" xr:uid="{00000000-0005-0000-0000-000028C10000}"/>
    <cellStyle name="SAPBEXHLevel3X 10 2" xfId="49269" xr:uid="{00000000-0005-0000-0000-000029C10000}"/>
    <cellStyle name="SAPBEXHLevel3X 10 2 2" xfId="49270" xr:uid="{00000000-0005-0000-0000-00002AC10000}"/>
    <cellStyle name="SAPBEXHLevel3X 10 3" xfId="49271" xr:uid="{00000000-0005-0000-0000-00002BC10000}"/>
    <cellStyle name="SAPBEXHLevel3X 11" xfId="49272" xr:uid="{00000000-0005-0000-0000-00002CC10000}"/>
    <cellStyle name="SAPBEXHLevel3X 11 2" xfId="49273" xr:uid="{00000000-0005-0000-0000-00002DC10000}"/>
    <cellStyle name="SAPBEXHLevel3X 11 2 2" xfId="49274" xr:uid="{00000000-0005-0000-0000-00002EC10000}"/>
    <cellStyle name="SAPBEXHLevel3X 11 3" xfId="49275" xr:uid="{00000000-0005-0000-0000-00002FC10000}"/>
    <cellStyle name="SAPBEXHLevel3X 12" xfId="49276" xr:uid="{00000000-0005-0000-0000-000030C10000}"/>
    <cellStyle name="SAPBEXHLevel3X 12 2" xfId="49277" xr:uid="{00000000-0005-0000-0000-000031C10000}"/>
    <cellStyle name="SAPBEXHLevel3X 12 2 2" xfId="49278" xr:uid="{00000000-0005-0000-0000-000032C10000}"/>
    <cellStyle name="SAPBEXHLevel3X 12 3" xfId="49279" xr:uid="{00000000-0005-0000-0000-000033C10000}"/>
    <cellStyle name="SAPBEXHLevel3X 13" xfId="49280" xr:uid="{00000000-0005-0000-0000-000034C10000}"/>
    <cellStyle name="SAPBEXHLevel3X 13 2" xfId="49281" xr:uid="{00000000-0005-0000-0000-000035C10000}"/>
    <cellStyle name="SAPBEXHLevel3X 13 2 2" xfId="49282" xr:uid="{00000000-0005-0000-0000-000036C10000}"/>
    <cellStyle name="SAPBEXHLevel3X 13 3" xfId="49283" xr:uid="{00000000-0005-0000-0000-000037C10000}"/>
    <cellStyle name="SAPBEXHLevel3X 14" xfId="49284" xr:uid="{00000000-0005-0000-0000-000038C10000}"/>
    <cellStyle name="SAPBEXHLevel3X 14 2" xfId="49285" xr:uid="{00000000-0005-0000-0000-000039C10000}"/>
    <cellStyle name="SAPBEXHLevel3X 15" xfId="49286" xr:uid="{00000000-0005-0000-0000-00003AC10000}"/>
    <cellStyle name="SAPBEXHLevel3X 15 2" xfId="49287" xr:uid="{00000000-0005-0000-0000-00003BC10000}"/>
    <cellStyle name="SAPBEXHLevel3X 15 2 2" xfId="49288" xr:uid="{00000000-0005-0000-0000-00003CC10000}"/>
    <cellStyle name="SAPBEXHLevel3X 15 3" xfId="49289" xr:uid="{00000000-0005-0000-0000-00003DC10000}"/>
    <cellStyle name="SAPBEXHLevel3X 15 3 2" xfId="49290" xr:uid="{00000000-0005-0000-0000-00003EC10000}"/>
    <cellStyle name="SAPBEXHLevel3X 15 4" xfId="49291" xr:uid="{00000000-0005-0000-0000-00003FC10000}"/>
    <cellStyle name="SAPBEXHLevel3X 16" xfId="49292" xr:uid="{00000000-0005-0000-0000-000040C10000}"/>
    <cellStyle name="SAPBEXHLevel3X 16 2" xfId="49293" xr:uid="{00000000-0005-0000-0000-000041C10000}"/>
    <cellStyle name="SAPBEXHLevel3X 17" xfId="49294" xr:uid="{00000000-0005-0000-0000-000042C10000}"/>
    <cellStyle name="SAPBEXHLevel3X 17 2" xfId="49295" xr:uid="{00000000-0005-0000-0000-000043C10000}"/>
    <cellStyle name="SAPBEXHLevel3X 17 3" xfId="49296" xr:uid="{00000000-0005-0000-0000-000044C10000}"/>
    <cellStyle name="SAPBEXHLevel3X 18" xfId="49297" xr:uid="{00000000-0005-0000-0000-000045C10000}"/>
    <cellStyle name="SAPBEXHLevel3X 18 2" xfId="49298" xr:uid="{00000000-0005-0000-0000-000046C10000}"/>
    <cellStyle name="SAPBEXHLevel3X 19" xfId="49299" xr:uid="{00000000-0005-0000-0000-000047C10000}"/>
    <cellStyle name="SAPBEXHLevel3X 19 2" xfId="49300" xr:uid="{00000000-0005-0000-0000-000048C10000}"/>
    <cellStyle name="SAPBEXHLevel3X 2" xfId="91" xr:uid="{00000000-0005-0000-0000-000049C10000}"/>
    <cellStyle name="SAPBEXHLevel3X 2 2" xfId="49301" xr:uid="{00000000-0005-0000-0000-00004AC10000}"/>
    <cellStyle name="SAPBEXHLevel3X 2 2 2" xfId="49302" xr:uid="{00000000-0005-0000-0000-00004BC10000}"/>
    <cellStyle name="SAPBEXHLevel3X 2 2 2 2" xfId="49303" xr:uid="{00000000-0005-0000-0000-00004CC10000}"/>
    <cellStyle name="SAPBEXHLevel3X 2 2 2 2 2" xfId="49304" xr:uid="{00000000-0005-0000-0000-00004DC10000}"/>
    <cellStyle name="SAPBEXHLevel3X 2 2 2 3" xfId="49305" xr:uid="{00000000-0005-0000-0000-00004EC10000}"/>
    <cellStyle name="SAPBEXHLevel3X 2 2 3" xfId="49306" xr:uid="{00000000-0005-0000-0000-00004FC10000}"/>
    <cellStyle name="SAPBEXHLevel3X 2 2 3 2" xfId="49307" xr:uid="{00000000-0005-0000-0000-000050C10000}"/>
    <cellStyle name="SAPBEXHLevel3X 2 2 3 2 2" xfId="49308" xr:uid="{00000000-0005-0000-0000-000051C10000}"/>
    <cellStyle name="SAPBEXHLevel3X 2 2 3 3" xfId="49309" xr:uid="{00000000-0005-0000-0000-000052C10000}"/>
    <cellStyle name="SAPBEXHLevel3X 2 2 4" xfId="49310" xr:uid="{00000000-0005-0000-0000-000053C10000}"/>
    <cellStyle name="SAPBEXHLevel3X 2 2 4 2" xfId="49311" xr:uid="{00000000-0005-0000-0000-000054C10000}"/>
    <cellStyle name="SAPBEXHLevel3X 2 2 4 2 2" xfId="49312" xr:uid="{00000000-0005-0000-0000-000055C10000}"/>
    <cellStyle name="SAPBEXHLevel3X 2 2 4 3" xfId="49313" xr:uid="{00000000-0005-0000-0000-000056C10000}"/>
    <cellStyle name="SAPBEXHLevel3X 2 2 5" xfId="49314" xr:uid="{00000000-0005-0000-0000-000057C10000}"/>
    <cellStyle name="SAPBEXHLevel3X 2 2 5 2" xfId="49315" xr:uid="{00000000-0005-0000-0000-000058C10000}"/>
    <cellStyle name="SAPBEXHLevel3X 2 2 6" xfId="49316" xr:uid="{00000000-0005-0000-0000-000059C10000}"/>
    <cellStyle name="SAPBEXHLevel3X 2 3" xfId="49317" xr:uid="{00000000-0005-0000-0000-00005AC10000}"/>
    <cellStyle name="SAPBEXHLevel3X 2 3 2" xfId="49318" xr:uid="{00000000-0005-0000-0000-00005BC10000}"/>
    <cellStyle name="SAPBEXHLevel3X 2 3 2 2" xfId="49319" xr:uid="{00000000-0005-0000-0000-00005CC10000}"/>
    <cellStyle name="SAPBEXHLevel3X 2 3 2 2 2" xfId="49320" xr:uid="{00000000-0005-0000-0000-00005DC10000}"/>
    <cellStyle name="SAPBEXHLevel3X 2 3 2 2 2 2" xfId="49321" xr:uid="{00000000-0005-0000-0000-00005EC10000}"/>
    <cellStyle name="SAPBEXHLevel3X 2 3 2 2 3" xfId="49322" xr:uid="{00000000-0005-0000-0000-00005FC10000}"/>
    <cellStyle name="SAPBEXHLevel3X 2 3 2 3" xfId="49323" xr:uid="{00000000-0005-0000-0000-000060C10000}"/>
    <cellStyle name="SAPBEXHLevel3X 2 3 2 3 2" xfId="49324" xr:uid="{00000000-0005-0000-0000-000061C10000}"/>
    <cellStyle name="SAPBEXHLevel3X 2 3 2 3 2 2" xfId="49325" xr:uid="{00000000-0005-0000-0000-000062C10000}"/>
    <cellStyle name="SAPBEXHLevel3X 2 3 2 3 3" xfId="49326" xr:uid="{00000000-0005-0000-0000-000063C10000}"/>
    <cellStyle name="SAPBEXHLevel3X 2 3 2 4" xfId="49327" xr:uid="{00000000-0005-0000-0000-000064C10000}"/>
    <cellStyle name="SAPBEXHLevel3X 2 3 2 4 2" xfId="49328" xr:uid="{00000000-0005-0000-0000-000065C10000}"/>
    <cellStyle name="SAPBEXHLevel3X 2 3 2 5" xfId="49329" xr:uid="{00000000-0005-0000-0000-000066C10000}"/>
    <cellStyle name="SAPBEXHLevel3X 2 3 3" xfId="49330" xr:uid="{00000000-0005-0000-0000-000067C10000}"/>
    <cellStyle name="SAPBEXHLevel3X 2 3 3 2" xfId="49331" xr:uid="{00000000-0005-0000-0000-000068C10000}"/>
    <cellStyle name="SAPBEXHLevel3X 2 3 3 2 2" xfId="49332" xr:uid="{00000000-0005-0000-0000-000069C10000}"/>
    <cellStyle name="SAPBEXHLevel3X 2 3 3 2 2 2" xfId="49333" xr:uid="{00000000-0005-0000-0000-00006AC10000}"/>
    <cellStyle name="SAPBEXHLevel3X 2 3 3 2 3" xfId="49334" xr:uid="{00000000-0005-0000-0000-00006BC10000}"/>
    <cellStyle name="SAPBEXHLevel3X 2 3 3 3" xfId="49335" xr:uid="{00000000-0005-0000-0000-00006CC10000}"/>
    <cellStyle name="SAPBEXHLevel3X 2 3 3 3 2" xfId="49336" xr:uid="{00000000-0005-0000-0000-00006DC10000}"/>
    <cellStyle name="SAPBEXHLevel3X 2 3 3 4" xfId="49337" xr:uid="{00000000-0005-0000-0000-00006EC10000}"/>
    <cellStyle name="SAPBEXHLevel3X 2 3 4" xfId="49338" xr:uid="{00000000-0005-0000-0000-00006FC10000}"/>
    <cellStyle name="SAPBEXHLevel3X 2 3 4 2" xfId="49339" xr:uid="{00000000-0005-0000-0000-000070C10000}"/>
    <cellStyle name="SAPBEXHLevel3X 2 3 4 2 2" xfId="49340" xr:uid="{00000000-0005-0000-0000-000071C10000}"/>
    <cellStyle name="SAPBEXHLevel3X 2 3 4 3" xfId="49341" xr:uid="{00000000-0005-0000-0000-000072C10000}"/>
    <cellStyle name="SAPBEXHLevel3X 2 3 5" xfId="49342" xr:uid="{00000000-0005-0000-0000-000073C10000}"/>
    <cellStyle name="SAPBEXHLevel3X 2 3 5 2" xfId="49343" xr:uid="{00000000-0005-0000-0000-000074C10000}"/>
    <cellStyle name="SAPBEXHLevel3X 2 3 5 2 2" xfId="49344" xr:uid="{00000000-0005-0000-0000-000075C10000}"/>
    <cellStyle name="SAPBEXHLevel3X 2 3 5 3" xfId="49345" xr:uid="{00000000-0005-0000-0000-000076C10000}"/>
    <cellStyle name="SAPBEXHLevel3X 2 3 6" xfId="49346" xr:uid="{00000000-0005-0000-0000-000077C10000}"/>
    <cellStyle name="SAPBEXHLevel3X 2 3 6 2" xfId="49347" xr:uid="{00000000-0005-0000-0000-000078C10000}"/>
    <cellStyle name="SAPBEXHLevel3X 2 3 7" xfId="49348" xr:uid="{00000000-0005-0000-0000-000079C10000}"/>
    <cellStyle name="SAPBEXHLevel3X 2 4" xfId="49349" xr:uid="{00000000-0005-0000-0000-00007AC10000}"/>
    <cellStyle name="SAPBEXHLevel3X 2 4 2" xfId="49350" xr:uid="{00000000-0005-0000-0000-00007BC10000}"/>
    <cellStyle name="SAPBEXHLevel3X 2 4 2 2" xfId="49351" xr:uid="{00000000-0005-0000-0000-00007CC10000}"/>
    <cellStyle name="SAPBEXHLevel3X 2 4 2 2 2" xfId="49352" xr:uid="{00000000-0005-0000-0000-00007DC10000}"/>
    <cellStyle name="SAPBEXHLevel3X 2 4 2 2 2 2" xfId="49353" xr:uid="{00000000-0005-0000-0000-00007EC10000}"/>
    <cellStyle name="SAPBEXHLevel3X 2 4 2 2 3" xfId="49354" xr:uid="{00000000-0005-0000-0000-00007FC10000}"/>
    <cellStyle name="SAPBEXHLevel3X 2 4 2 3" xfId="49355" xr:uid="{00000000-0005-0000-0000-000080C10000}"/>
    <cellStyle name="SAPBEXHLevel3X 2 4 2 3 2" xfId="49356" xr:uid="{00000000-0005-0000-0000-000081C10000}"/>
    <cellStyle name="SAPBEXHLevel3X 2 4 2 3 2 2" xfId="49357" xr:uid="{00000000-0005-0000-0000-000082C10000}"/>
    <cellStyle name="SAPBEXHLevel3X 2 4 2 3 3" xfId="49358" xr:uid="{00000000-0005-0000-0000-000083C10000}"/>
    <cellStyle name="SAPBEXHLevel3X 2 4 2 4" xfId="49359" xr:uid="{00000000-0005-0000-0000-000084C10000}"/>
    <cellStyle name="SAPBEXHLevel3X 2 4 2 4 2" xfId="49360" xr:uid="{00000000-0005-0000-0000-000085C10000}"/>
    <cellStyle name="SAPBEXHLevel3X 2 4 2 5" xfId="49361" xr:uid="{00000000-0005-0000-0000-000086C10000}"/>
    <cellStyle name="SAPBEXHLevel3X 2 4 3" xfId="49362" xr:uid="{00000000-0005-0000-0000-000087C10000}"/>
    <cellStyle name="SAPBEXHLevel3X 2 4 3 2" xfId="49363" xr:uid="{00000000-0005-0000-0000-000088C10000}"/>
    <cellStyle name="SAPBEXHLevel3X 2 4 3 2 2" xfId="49364" xr:uid="{00000000-0005-0000-0000-000089C10000}"/>
    <cellStyle name="SAPBEXHLevel3X 2 4 3 2 2 2" xfId="49365" xr:uid="{00000000-0005-0000-0000-00008AC10000}"/>
    <cellStyle name="SAPBEXHLevel3X 2 4 3 2 3" xfId="49366" xr:uid="{00000000-0005-0000-0000-00008BC10000}"/>
    <cellStyle name="SAPBEXHLevel3X 2 4 3 3" xfId="49367" xr:uid="{00000000-0005-0000-0000-00008CC10000}"/>
    <cellStyle name="SAPBEXHLevel3X 2 4 3 3 2" xfId="49368" xr:uid="{00000000-0005-0000-0000-00008DC10000}"/>
    <cellStyle name="SAPBEXHLevel3X 2 4 3 4" xfId="49369" xr:uid="{00000000-0005-0000-0000-00008EC10000}"/>
    <cellStyle name="SAPBEXHLevel3X 2 4 4" xfId="49370" xr:uid="{00000000-0005-0000-0000-00008FC10000}"/>
    <cellStyle name="SAPBEXHLevel3X 2 4 4 2" xfId="49371" xr:uid="{00000000-0005-0000-0000-000090C10000}"/>
    <cellStyle name="SAPBEXHLevel3X 2 4 4 2 2" xfId="49372" xr:uid="{00000000-0005-0000-0000-000091C10000}"/>
    <cellStyle name="SAPBEXHLevel3X 2 4 4 3" xfId="49373" xr:uid="{00000000-0005-0000-0000-000092C10000}"/>
    <cellStyle name="SAPBEXHLevel3X 2 4 5" xfId="49374" xr:uid="{00000000-0005-0000-0000-000093C10000}"/>
    <cellStyle name="SAPBEXHLevel3X 2 4 5 2" xfId="49375" xr:uid="{00000000-0005-0000-0000-000094C10000}"/>
    <cellStyle name="SAPBEXHLevel3X 2 4 6" xfId="49376" xr:uid="{00000000-0005-0000-0000-000095C10000}"/>
    <cellStyle name="SAPBEXHLevel3X 2 5" xfId="49377" xr:uid="{00000000-0005-0000-0000-000096C10000}"/>
    <cellStyle name="SAPBEXHLevel3X 2 5 2" xfId="49378" xr:uid="{00000000-0005-0000-0000-000097C10000}"/>
    <cellStyle name="SAPBEXHLevel3X 2 5 2 2" xfId="49379" xr:uid="{00000000-0005-0000-0000-000098C10000}"/>
    <cellStyle name="SAPBEXHLevel3X 2 5 2 2 2" xfId="49380" xr:uid="{00000000-0005-0000-0000-000099C10000}"/>
    <cellStyle name="SAPBEXHLevel3X 2 5 2 3" xfId="49381" xr:uid="{00000000-0005-0000-0000-00009AC10000}"/>
    <cellStyle name="SAPBEXHLevel3X 2 5 3" xfId="49382" xr:uid="{00000000-0005-0000-0000-00009BC10000}"/>
    <cellStyle name="SAPBEXHLevel3X 2 5 3 2" xfId="49383" xr:uid="{00000000-0005-0000-0000-00009CC10000}"/>
    <cellStyle name="SAPBEXHLevel3X 2 5 4" xfId="49384" xr:uid="{00000000-0005-0000-0000-00009DC10000}"/>
    <cellStyle name="SAPBEXHLevel3X 2 6" xfId="49385" xr:uid="{00000000-0005-0000-0000-00009EC10000}"/>
    <cellStyle name="SAPBEXHLevel3X 2 6 2" xfId="49386" xr:uid="{00000000-0005-0000-0000-00009FC10000}"/>
    <cellStyle name="SAPBEXHLevel3X 2 6 2 2" xfId="49387" xr:uid="{00000000-0005-0000-0000-0000A0C10000}"/>
    <cellStyle name="SAPBEXHLevel3X 2 6 3" xfId="49388" xr:uid="{00000000-0005-0000-0000-0000A1C10000}"/>
    <cellStyle name="SAPBEXHLevel3X 2 7" xfId="49389" xr:uid="{00000000-0005-0000-0000-0000A2C10000}"/>
    <cellStyle name="SAPBEXHLevel3X 2 7 2" xfId="49390" xr:uid="{00000000-0005-0000-0000-0000A3C10000}"/>
    <cellStyle name="SAPBEXHLevel3X 2 7 2 2" xfId="49391" xr:uid="{00000000-0005-0000-0000-0000A4C10000}"/>
    <cellStyle name="SAPBEXHLevel3X 2 7 3" xfId="49392" xr:uid="{00000000-0005-0000-0000-0000A5C10000}"/>
    <cellStyle name="SAPBEXHLevel3X 2 8" xfId="49393" xr:uid="{00000000-0005-0000-0000-0000A6C10000}"/>
    <cellStyle name="SAPBEXHLevel3X 2 8 2" xfId="49394" xr:uid="{00000000-0005-0000-0000-0000A7C10000}"/>
    <cellStyle name="SAPBEXHLevel3X 2 9" xfId="49395" xr:uid="{00000000-0005-0000-0000-0000A8C10000}"/>
    <cellStyle name="SAPBEXHLevel3X 20" xfId="49396" xr:uid="{00000000-0005-0000-0000-0000A9C10000}"/>
    <cellStyle name="SAPBEXHLevel3X 21" xfId="49397" xr:uid="{00000000-0005-0000-0000-0000AAC10000}"/>
    <cellStyle name="SAPBEXHLevel3X 22" xfId="49398" xr:uid="{00000000-0005-0000-0000-0000ABC10000}"/>
    <cellStyle name="SAPBEXHLevel3X 23" xfId="49399" xr:uid="{00000000-0005-0000-0000-0000ACC10000}"/>
    <cellStyle name="SAPBEXHLevel3X 3" xfId="49400" xr:uid="{00000000-0005-0000-0000-0000ADC10000}"/>
    <cellStyle name="SAPBEXHLevel3X 3 2" xfId="49401" xr:uid="{00000000-0005-0000-0000-0000AEC10000}"/>
    <cellStyle name="SAPBEXHLevel3X 3 2 2" xfId="49402" xr:uid="{00000000-0005-0000-0000-0000AFC10000}"/>
    <cellStyle name="SAPBEXHLevel3X 3 2 2 2" xfId="49403" xr:uid="{00000000-0005-0000-0000-0000B0C10000}"/>
    <cellStyle name="SAPBEXHLevel3X 3 2 2 2 2" xfId="49404" xr:uid="{00000000-0005-0000-0000-0000B1C10000}"/>
    <cellStyle name="SAPBEXHLevel3X 3 2 2 3" xfId="49405" xr:uid="{00000000-0005-0000-0000-0000B2C10000}"/>
    <cellStyle name="SAPBEXHLevel3X 3 2 3" xfId="49406" xr:uid="{00000000-0005-0000-0000-0000B3C10000}"/>
    <cellStyle name="SAPBEXHLevel3X 3 2 3 2" xfId="49407" xr:uid="{00000000-0005-0000-0000-0000B4C10000}"/>
    <cellStyle name="SAPBEXHLevel3X 3 2 3 2 2" xfId="49408" xr:uid="{00000000-0005-0000-0000-0000B5C10000}"/>
    <cellStyle name="SAPBEXHLevel3X 3 2 3 3" xfId="49409" xr:uid="{00000000-0005-0000-0000-0000B6C10000}"/>
    <cellStyle name="SAPBEXHLevel3X 3 2 4" xfId="49410" xr:uid="{00000000-0005-0000-0000-0000B7C10000}"/>
    <cellStyle name="SAPBEXHLevel3X 3 2 4 2" xfId="49411" xr:uid="{00000000-0005-0000-0000-0000B8C10000}"/>
    <cellStyle name="SAPBEXHLevel3X 3 2 4 2 2" xfId="49412" xr:uid="{00000000-0005-0000-0000-0000B9C10000}"/>
    <cellStyle name="SAPBEXHLevel3X 3 2 4 3" xfId="49413" xr:uid="{00000000-0005-0000-0000-0000BAC10000}"/>
    <cellStyle name="SAPBEXHLevel3X 3 2 5" xfId="49414" xr:uid="{00000000-0005-0000-0000-0000BBC10000}"/>
    <cellStyle name="SAPBEXHLevel3X 3 2 5 2" xfId="49415" xr:uid="{00000000-0005-0000-0000-0000BCC10000}"/>
    <cellStyle name="SAPBEXHLevel3X 3 2 6" xfId="49416" xr:uid="{00000000-0005-0000-0000-0000BDC10000}"/>
    <cellStyle name="SAPBEXHLevel3X 3 3" xfId="49417" xr:uid="{00000000-0005-0000-0000-0000BEC10000}"/>
    <cellStyle name="SAPBEXHLevel3X 3 3 2" xfId="49418" xr:uid="{00000000-0005-0000-0000-0000BFC10000}"/>
    <cellStyle name="SAPBEXHLevel3X 3 3 2 2" xfId="49419" xr:uid="{00000000-0005-0000-0000-0000C0C10000}"/>
    <cellStyle name="SAPBEXHLevel3X 3 3 2 2 2" xfId="49420" xr:uid="{00000000-0005-0000-0000-0000C1C10000}"/>
    <cellStyle name="SAPBEXHLevel3X 3 3 2 3" xfId="49421" xr:uid="{00000000-0005-0000-0000-0000C2C10000}"/>
    <cellStyle name="SAPBEXHLevel3X 3 3 3" xfId="49422" xr:uid="{00000000-0005-0000-0000-0000C3C10000}"/>
    <cellStyle name="SAPBEXHLevel3X 3 3 3 2" xfId="49423" xr:uid="{00000000-0005-0000-0000-0000C4C10000}"/>
    <cellStyle name="SAPBEXHLevel3X 3 3 4" xfId="49424" xr:uid="{00000000-0005-0000-0000-0000C5C10000}"/>
    <cellStyle name="SAPBEXHLevel3X 3 4" xfId="49425" xr:uid="{00000000-0005-0000-0000-0000C6C10000}"/>
    <cellStyle name="SAPBEXHLevel3X 3 4 2" xfId="49426" xr:uid="{00000000-0005-0000-0000-0000C7C10000}"/>
    <cellStyle name="SAPBEXHLevel3X 3 4 2 2" xfId="49427" xr:uid="{00000000-0005-0000-0000-0000C8C10000}"/>
    <cellStyle name="SAPBEXHLevel3X 3 4 3" xfId="49428" xr:uid="{00000000-0005-0000-0000-0000C9C10000}"/>
    <cellStyle name="SAPBEXHLevel3X 3 5" xfId="49429" xr:uid="{00000000-0005-0000-0000-0000CAC10000}"/>
    <cellStyle name="SAPBEXHLevel3X 3 5 2" xfId="49430" xr:uid="{00000000-0005-0000-0000-0000CBC10000}"/>
    <cellStyle name="SAPBEXHLevel3X 3 5 2 2" xfId="49431" xr:uid="{00000000-0005-0000-0000-0000CCC10000}"/>
    <cellStyle name="SAPBEXHLevel3X 3 5 3" xfId="49432" xr:uid="{00000000-0005-0000-0000-0000CDC10000}"/>
    <cellStyle name="SAPBEXHLevel3X 3 6" xfId="49433" xr:uid="{00000000-0005-0000-0000-0000CEC10000}"/>
    <cellStyle name="SAPBEXHLevel3X 3 6 2" xfId="49434" xr:uid="{00000000-0005-0000-0000-0000CFC10000}"/>
    <cellStyle name="SAPBEXHLevel3X 3 7" xfId="49435" xr:uid="{00000000-0005-0000-0000-0000D0C10000}"/>
    <cellStyle name="SAPBEXHLevel3X 4" xfId="49436" xr:uid="{00000000-0005-0000-0000-0000D1C10000}"/>
    <cellStyle name="SAPBEXHLevel3X 4 2" xfId="49437" xr:uid="{00000000-0005-0000-0000-0000D2C10000}"/>
    <cellStyle name="SAPBEXHLevel3X 4 2 2" xfId="49438" xr:uid="{00000000-0005-0000-0000-0000D3C10000}"/>
    <cellStyle name="SAPBEXHLevel3X 4 2 2 2" xfId="49439" xr:uid="{00000000-0005-0000-0000-0000D4C10000}"/>
    <cellStyle name="SAPBEXHLevel3X 4 2 2 2 2" xfId="49440" xr:uid="{00000000-0005-0000-0000-0000D5C10000}"/>
    <cellStyle name="SAPBEXHLevel3X 4 2 2 3" xfId="49441" xr:uid="{00000000-0005-0000-0000-0000D6C10000}"/>
    <cellStyle name="SAPBEXHLevel3X 4 2 3" xfId="49442" xr:uid="{00000000-0005-0000-0000-0000D7C10000}"/>
    <cellStyle name="SAPBEXHLevel3X 4 2 3 2" xfId="49443" xr:uid="{00000000-0005-0000-0000-0000D8C10000}"/>
    <cellStyle name="SAPBEXHLevel3X 4 2 3 2 2" xfId="49444" xr:uid="{00000000-0005-0000-0000-0000D9C10000}"/>
    <cellStyle name="SAPBEXHLevel3X 4 2 3 3" xfId="49445" xr:uid="{00000000-0005-0000-0000-0000DAC10000}"/>
    <cellStyle name="SAPBEXHLevel3X 4 2 4" xfId="49446" xr:uid="{00000000-0005-0000-0000-0000DBC10000}"/>
    <cellStyle name="SAPBEXHLevel3X 4 2 4 2" xfId="49447" xr:uid="{00000000-0005-0000-0000-0000DCC10000}"/>
    <cellStyle name="SAPBEXHLevel3X 4 2 4 2 2" xfId="49448" xr:uid="{00000000-0005-0000-0000-0000DDC10000}"/>
    <cellStyle name="SAPBEXHLevel3X 4 2 4 3" xfId="49449" xr:uid="{00000000-0005-0000-0000-0000DEC10000}"/>
    <cellStyle name="SAPBEXHLevel3X 4 2 5" xfId="49450" xr:uid="{00000000-0005-0000-0000-0000DFC10000}"/>
    <cellStyle name="SAPBEXHLevel3X 4 2 5 2" xfId="49451" xr:uid="{00000000-0005-0000-0000-0000E0C10000}"/>
    <cellStyle name="SAPBEXHLevel3X 4 2 6" xfId="49452" xr:uid="{00000000-0005-0000-0000-0000E1C10000}"/>
    <cellStyle name="SAPBEXHLevel3X 4 3" xfId="49453" xr:uid="{00000000-0005-0000-0000-0000E2C10000}"/>
    <cellStyle name="SAPBEXHLevel3X 4 3 2" xfId="49454" xr:uid="{00000000-0005-0000-0000-0000E3C10000}"/>
    <cellStyle name="SAPBEXHLevel3X 4 3 2 2" xfId="49455" xr:uid="{00000000-0005-0000-0000-0000E4C10000}"/>
    <cellStyle name="SAPBEXHLevel3X 4 3 2 2 2" xfId="49456" xr:uid="{00000000-0005-0000-0000-0000E5C10000}"/>
    <cellStyle name="SAPBEXHLevel3X 4 3 2 2 2 2" xfId="49457" xr:uid="{00000000-0005-0000-0000-0000E6C10000}"/>
    <cellStyle name="SAPBEXHLevel3X 4 3 2 2 3" xfId="49458" xr:uid="{00000000-0005-0000-0000-0000E7C10000}"/>
    <cellStyle name="SAPBEXHLevel3X 4 3 2 3" xfId="49459" xr:uid="{00000000-0005-0000-0000-0000E8C10000}"/>
    <cellStyle name="SAPBEXHLevel3X 4 3 2 3 2" xfId="49460" xr:uid="{00000000-0005-0000-0000-0000E9C10000}"/>
    <cellStyle name="SAPBEXHLevel3X 4 3 2 3 2 2" xfId="49461" xr:uid="{00000000-0005-0000-0000-0000EAC10000}"/>
    <cellStyle name="SAPBEXHLevel3X 4 3 2 3 3" xfId="49462" xr:uid="{00000000-0005-0000-0000-0000EBC10000}"/>
    <cellStyle name="SAPBEXHLevel3X 4 3 2 4" xfId="49463" xr:uid="{00000000-0005-0000-0000-0000ECC10000}"/>
    <cellStyle name="SAPBEXHLevel3X 4 3 2 4 2" xfId="49464" xr:uid="{00000000-0005-0000-0000-0000EDC10000}"/>
    <cellStyle name="SAPBEXHLevel3X 4 3 2 5" xfId="49465" xr:uid="{00000000-0005-0000-0000-0000EEC10000}"/>
    <cellStyle name="SAPBEXHLevel3X 4 3 3" xfId="49466" xr:uid="{00000000-0005-0000-0000-0000EFC10000}"/>
    <cellStyle name="SAPBEXHLevel3X 4 3 3 2" xfId="49467" xr:uid="{00000000-0005-0000-0000-0000F0C10000}"/>
    <cellStyle name="SAPBEXHLevel3X 4 3 3 2 2" xfId="49468" xr:uid="{00000000-0005-0000-0000-0000F1C10000}"/>
    <cellStyle name="SAPBEXHLevel3X 4 3 3 2 2 2" xfId="49469" xr:uid="{00000000-0005-0000-0000-0000F2C10000}"/>
    <cellStyle name="SAPBEXHLevel3X 4 3 3 2 3" xfId="49470" xr:uid="{00000000-0005-0000-0000-0000F3C10000}"/>
    <cellStyle name="SAPBEXHLevel3X 4 3 3 3" xfId="49471" xr:uid="{00000000-0005-0000-0000-0000F4C10000}"/>
    <cellStyle name="SAPBEXHLevel3X 4 3 3 3 2" xfId="49472" xr:uid="{00000000-0005-0000-0000-0000F5C10000}"/>
    <cellStyle name="SAPBEXHLevel3X 4 3 3 4" xfId="49473" xr:uid="{00000000-0005-0000-0000-0000F6C10000}"/>
    <cellStyle name="SAPBEXHLevel3X 4 3 4" xfId="49474" xr:uid="{00000000-0005-0000-0000-0000F7C10000}"/>
    <cellStyle name="SAPBEXHLevel3X 4 3 4 2" xfId="49475" xr:uid="{00000000-0005-0000-0000-0000F8C10000}"/>
    <cellStyle name="SAPBEXHLevel3X 4 3 4 2 2" xfId="49476" xr:uid="{00000000-0005-0000-0000-0000F9C10000}"/>
    <cellStyle name="SAPBEXHLevel3X 4 3 4 3" xfId="49477" xr:uid="{00000000-0005-0000-0000-0000FAC10000}"/>
    <cellStyle name="SAPBEXHLevel3X 4 3 5" xfId="49478" xr:uid="{00000000-0005-0000-0000-0000FBC10000}"/>
    <cellStyle name="SAPBEXHLevel3X 4 3 5 2" xfId="49479" xr:uid="{00000000-0005-0000-0000-0000FCC10000}"/>
    <cellStyle name="SAPBEXHLevel3X 4 3 5 2 2" xfId="49480" xr:uid="{00000000-0005-0000-0000-0000FDC10000}"/>
    <cellStyle name="SAPBEXHLevel3X 4 3 5 3" xfId="49481" xr:uid="{00000000-0005-0000-0000-0000FEC10000}"/>
    <cellStyle name="SAPBEXHLevel3X 4 3 6" xfId="49482" xr:uid="{00000000-0005-0000-0000-0000FFC10000}"/>
    <cellStyle name="SAPBEXHLevel3X 4 3 6 2" xfId="49483" xr:uid="{00000000-0005-0000-0000-000000C20000}"/>
    <cellStyle name="SAPBEXHLevel3X 4 3 7" xfId="49484" xr:uid="{00000000-0005-0000-0000-000001C20000}"/>
    <cellStyle name="SAPBEXHLevel3X 4 4" xfId="49485" xr:uid="{00000000-0005-0000-0000-000002C20000}"/>
    <cellStyle name="SAPBEXHLevel3X 4 4 2" xfId="49486" xr:uid="{00000000-0005-0000-0000-000003C20000}"/>
    <cellStyle name="SAPBEXHLevel3X 4 4 2 2" xfId="49487" xr:uid="{00000000-0005-0000-0000-000004C20000}"/>
    <cellStyle name="SAPBEXHLevel3X 4 4 2 2 2" xfId="49488" xr:uid="{00000000-0005-0000-0000-000005C20000}"/>
    <cellStyle name="SAPBEXHLevel3X 4 4 2 3" xfId="49489" xr:uid="{00000000-0005-0000-0000-000006C20000}"/>
    <cellStyle name="SAPBEXHLevel3X 4 4 3" xfId="49490" xr:uid="{00000000-0005-0000-0000-000007C20000}"/>
    <cellStyle name="SAPBEXHLevel3X 4 4 3 2" xfId="49491" xr:uid="{00000000-0005-0000-0000-000008C20000}"/>
    <cellStyle name="SAPBEXHLevel3X 4 4 4" xfId="49492" xr:uid="{00000000-0005-0000-0000-000009C20000}"/>
    <cellStyle name="SAPBEXHLevel3X 4 5" xfId="49493" xr:uid="{00000000-0005-0000-0000-00000AC20000}"/>
    <cellStyle name="SAPBEXHLevel3X 4 5 2" xfId="49494" xr:uid="{00000000-0005-0000-0000-00000BC20000}"/>
    <cellStyle name="SAPBEXHLevel3X 4 5 2 2" xfId="49495" xr:uid="{00000000-0005-0000-0000-00000CC20000}"/>
    <cellStyle name="SAPBEXHLevel3X 4 5 3" xfId="49496" xr:uid="{00000000-0005-0000-0000-00000DC20000}"/>
    <cellStyle name="SAPBEXHLevel3X 4 6" xfId="49497" xr:uid="{00000000-0005-0000-0000-00000EC20000}"/>
    <cellStyle name="SAPBEXHLevel3X 4 6 2" xfId="49498" xr:uid="{00000000-0005-0000-0000-00000FC20000}"/>
    <cellStyle name="SAPBEXHLevel3X 4 6 2 2" xfId="49499" xr:uid="{00000000-0005-0000-0000-000010C20000}"/>
    <cellStyle name="SAPBEXHLevel3X 4 6 3" xfId="49500" xr:uid="{00000000-0005-0000-0000-000011C20000}"/>
    <cellStyle name="SAPBEXHLevel3X 4 7" xfId="49501" xr:uid="{00000000-0005-0000-0000-000012C20000}"/>
    <cellStyle name="SAPBEXHLevel3X 4 7 2" xfId="49502" xr:uid="{00000000-0005-0000-0000-000013C20000}"/>
    <cellStyle name="SAPBEXHLevel3X 4 8" xfId="49503" xr:uid="{00000000-0005-0000-0000-000014C20000}"/>
    <cellStyle name="SAPBEXHLevel3X 5" xfId="49504" xr:uid="{00000000-0005-0000-0000-000015C20000}"/>
    <cellStyle name="SAPBEXHLevel3X 5 2" xfId="49505" xr:uid="{00000000-0005-0000-0000-000016C20000}"/>
    <cellStyle name="SAPBEXHLevel3X 5 2 2" xfId="49506" xr:uid="{00000000-0005-0000-0000-000017C20000}"/>
    <cellStyle name="SAPBEXHLevel3X 5 2 2 2" xfId="49507" xr:uid="{00000000-0005-0000-0000-000018C20000}"/>
    <cellStyle name="SAPBEXHLevel3X 5 2 3" xfId="49508" xr:uid="{00000000-0005-0000-0000-000019C20000}"/>
    <cellStyle name="SAPBEXHLevel3X 5 3" xfId="49509" xr:uid="{00000000-0005-0000-0000-00001AC20000}"/>
    <cellStyle name="SAPBEXHLevel3X 5 3 2" xfId="49510" xr:uid="{00000000-0005-0000-0000-00001BC20000}"/>
    <cellStyle name="SAPBEXHLevel3X 5 3 2 2" xfId="49511" xr:uid="{00000000-0005-0000-0000-00001CC20000}"/>
    <cellStyle name="SAPBEXHLevel3X 5 3 3" xfId="49512" xr:uid="{00000000-0005-0000-0000-00001DC20000}"/>
    <cellStyle name="SAPBEXHLevel3X 5 4" xfId="49513" xr:uid="{00000000-0005-0000-0000-00001EC20000}"/>
    <cellStyle name="SAPBEXHLevel3X 5 4 2" xfId="49514" xr:uid="{00000000-0005-0000-0000-00001FC20000}"/>
    <cellStyle name="SAPBEXHLevel3X 5 4 2 2" xfId="49515" xr:uid="{00000000-0005-0000-0000-000020C20000}"/>
    <cellStyle name="SAPBEXHLevel3X 5 4 3" xfId="49516" xr:uid="{00000000-0005-0000-0000-000021C20000}"/>
    <cellStyle name="SAPBEXHLevel3X 5 5" xfId="49517" xr:uid="{00000000-0005-0000-0000-000022C20000}"/>
    <cellStyle name="SAPBEXHLevel3X 5 5 2" xfId="49518" xr:uid="{00000000-0005-0000-0000-000023C20000}"/>
    <cellStyle name="SAPBEXHLevel3X 5 6" xfId="49519" xr:uid="{00000000-0005-0000-0000-000024C20000}"/>
    <cellStyle name="SAPBEXHLevel3X 6" xfId="49520" xr:uid="{00000000-0005-0000-0000-000025C20000}"/>
    <cellStyle name="SAPBEXHLevel3X 6 2" xfId="49521" xr:uid="{00000000-0005-0000-0000-000026C20000}"/>
    <cellStyle name="SAPBEXHLevel3X 6 2 2" xfId="49522" xr:uid="{00000000-0005-0000-0000-000027C20000}"/>
    <cellStyle name="SAPBEXHLevel3X 6 3" xfId="49523" xr:uid="{00000000-0005-0000-0000-000028C20000}"/>
    <cellStyle name="SAPBEXHLevel3X 6 3 2" xfId="49524" xr:uid="{00000000-0005-0000-0000-000029C20000}"/>
    <cellStyle name="SAPBEXHLevel3X 6 3 2 2" xfId="49525" xr:uid="{00000000-0005-0000-0000-00002AC20000}"/>
    <cellStyle name="SAPBEXHLevel3X 6 3 3" xfId="49526" xr:uid="{00000000-0005-0000-0000-00002BC20000}"/>
    <cellStyle name="SAPBEXHLevel3X 6 4" xfId="49527" xr:uid="{00000000-0005-0000-0000-00002CC20000}"/>
    <cellStyle name="SAPBEXHLevel3X 6 4 2" xfId="49528" xr:uid="{00000000-0005-0000-0000-00002DC20000}"/>
    <cellStyle name="SAPBEXHLevel3X 6 4 2 2" xfId="49529" xr:uid="{00000000-0005-0000-0000-00002EC20000}"/>
    <cellStyle name="SAPBEXHLevel3X 6 4 3" xfId="49530" xr:uid="{00000000-0005-0000-0000-00002FC20000}"/>
    <cellStyle name="SAPBEXHLevel3X 6 5" xfId="49531" xr:uid="{00000000-0005-0000-0000-000030C20000}"/>
    <cellStyle name="SAPBEXHLevel3X 7" xfId="49532" xr:uid="{00000000-0005-0000-0000-000031C20000}"/>
    <cellStyle name="SAPBEXHLevel3X 7 2" xfId="49533" xr:uid="{00000000-0005-0000-0000-000032C20000}"/>
    <cellStyle name="SAPBEXHLevel3X 7 2 2" xfId="49534" xr:uid="{00000000-0005-0000-0000-000033C20000}"/>
    <cellStyle name="SAPBEXHLevel3X 7 2 2 2" xfId="49535" xr:uid="{00000000-0005-0000-0000-000034C20000}"/>
    <cellStyle name="SAPBEXHLevel3X 7 2 3" xfId="49536" xr:uid="{00000000-0005-0000-0000-000035C20000}"/>
    <cellStyle name="SAPBEXHLevel3X 7 2 3 2" xfId="49537" xr:uid="{00000000-0005-0000-0000-000036C20000}"/>
    <cellStyle name="SAPBEXHLevel3X 7 2 3 2 2" xfId="49538" xr:uid="{00000000-0005-0000-0000-000037C20000}"/>
    <cellStyle name="SAPBEXHLevel3X 7 2 3 3" xfId="49539" xr:uid="{00000000-0005-0000-0000-000038C20000}"/>
    <cellStyle name="SAPBEXHLevel3X 7 2 4" xfId="49540" xr:uid="{00000000-0005-0000-0000-000039C20000}"/>
    <cellStyle name="SAPBEXHLevel3X 7 3" xfId="49541" xr:uid="{00000000-0005-0000-0000-00003AC20000}"/>
    <cellStyle name="SAPBEXHLevel3X 7 3 2" xfId="49542" xr:uid="{00000000-0005-0000-0000-00003BC20000}"/>
    <cellStyle name="SAPBEXHLevel3X 7 3 2 2" xfId="49543" xr:uid="{00000000-0005-0000-0000-00003CC20000}"/>
    <cellStyle name="SAPBEXHLevel3X 7 3 3" xfId="49544" xr:uid="{00000000-0005-0000-0000-00003DC20000}"/>
    <cellStyle name="SAPBEXHLevel3X 7 4" xfId="49545" xr:uid="{00000000-0005-0000-0000-00003EC20000}"/>
    <cellStyle name="SAPBEXHLevel3X 7 4 2" xfId="49546" xr:uid="{00000000-0005-0000-0000-00003FC20000}"/>
    <cellStyle name="SAPBEXHLevel3X 7 4 2 2" xfId="49547" xr:uid="{00000000-0005-0000-0000-000040C20000}"/>
    <cellStyle name="SAPBEXHLevel3X 7 4 3" xfId="49548" xr:uid="{00000000-0005-0000-0000-000041C20000}"/>
    <cellStyle name="SAPBEXHLevel3X 7 5" xfId="49549" xr:uid="{00000000-0005-0000-0000-000042C20000}"/>
    <cellStyle name="SAPBEXHLevel3X 7 5 2" xfId="49550" xr:uid="{00000000-0005-0000-0000-000043C20000}"/>
    <cellStyle name="SAPBEXHLevel3X 7 5 2 2" xfId="49551" xr:uid="{00000000-0005-0000-0000-000044C20000}"/>
    <cellStyle name="SAPBEXHLevel3X 7 5 3" xfId="49552" xr:uid="{00000000-0005-0000-0000-000045C20000}"/>
    <cellStyle name="SAPBEXHLevel3X 7 6" xfId="49553" xr:uid="{00000000-0005-0000-0000-000046C20000}"/>
    <cellStyle name="SAPBEXHLevel3X 8" xfId="49554" xr:uid="{00000000-0005-0000-0000-000047C20000}"/>
    <cellStyle name="SAPBEXHLevel3X 8 2" xfId="49555" xr:uid="{00000000-0005-0000-0000-000048C20000}"/>
    <cellStyle name="SAPBEXHLevel3X 8 2 2" xfId="49556" xr:uid="{00000000-0005-0000-0000-000049C20000}"/>
    <cellStyle name="SAPBEXHLevel3X 8 2 2 2" xfId="49557" xr:uid="{00000000-0005-0000-0000-00004AC20000}"/>
    <cellStyle name="SAPBEXHLevel3X 8 2 3" xfId="49558" xr:uid="{00000000-0005-0000-0000-00004BC20000}"/>
    <cellStyle name="SAPBEXHLevel3X 8 3" xfId="49559" xr:uid="{00000000-0005-0000-0000-00004CC20000}"/>
    <cellStyle name="SAPBEXHLevel3X 8 3 2" xfId="49560" xr:uid="{00000000-0005-0000-0000-00004DC20000}"/>
    <cellStyle name="SAPBEXHLevel3X 8 3 2 2" xfId="49561" xr:uid="{00000000-0005-0000-0000-00004EC20000}"/>
    <cellStyle name="SAPBEXHLevel3X 8 3 3" xfId="49562" xr:uid="{00000000-0005-0000-0000-00004FC20000}"/>
    <cellStyle name="SAPBEXHLevel3X 8 4" xfId="49563" xr:uid="{00000000-0005-0000-0000-000050C20000}"/>
    <cellStyle name="SAPBEXHLevel3X 8 4 2" xfId="49564" xr:uid="{00000000-0005-0000-0000-000051C20000}"/>
    <cellStyle name="SAPBEXHLevel3X 8 5" xfId="49565" xr:uid="{00000000-0005-0000-0000-000052C20000}"/>
    <cellStyle name="SAPBEXHLevel3X 9" xfId="49566" xr:uid="{00000000-0005-0000-0000-000053C20000}"/>
    <cellStyle name="SAPBEXHLevel3X 9 2" xfId="49567" xr:uid="{00000000-0005-0000-0000-000054C20000}"/>
    <cellStyle name="SAPBEXHLevel3X 9 2 2" xfId="49568" xr:uid="{00000000-0005-0000-0000-000055C20000}"/>
    <cellStyle name="SAPBEXHLevel3X 9 2 2 2" xfId="49569" xr:uid="{00000000-0005-0000-0000-000056C20000}"/>
    <cellStyle name="SAPBEXHLevel3X 9 2 2 2 2" xfId="49570" xr:uid="{00000000-0005-0000-0000-000057C20000}"/>
    <cellStyle name="SAPBEXHLevel3X 9 2 2 3" xfId="49571" xr:uid="{00000000-0005-0000-0000-000058C20000}"/>
    <cellStyle name="SAPBEXHLevel3X 9 2 3" xfId="49572" xr:uid="{00000000-0005-0000-0000-000059C20000}"/>
    <cellStyle name="SAPBEXHLevel3X 9 2 3 2" xfId="49573" xr:uid="{00000000-0005-0000-0000-00005AC20000}"/>
    <cellStyle name="SAPBEXHLevel3X 9 2 4" xfId="49574" xr:uid="{00000000-0005-0000-0000-00005BC20000}"/>
    <cellStyle name="SAPBEXHLevel3X 9 3" xfId="49575" xr:uid="{00000000-0005-0000-0000-00005CC20000}"/>
    <cellStyle name="SAPBEXHLevel3X 9 3 2" xfId="49576" xr:uid="{00000000-0005-0000-0000-00005DC20000}"/>
    <cellStyle name="SAPBEXHLevel3X 9 3 2 2" xfId="49577" xr:uid="{00000000-0005-0000-0000-00005EC20000}"/>
    <cellStyle name="SAPBEXHLevel3X 9 3 2 2 2" xfId="49578" xr:uid="{00000000-0005-0000-0000-00005FC20000}"/>
    <cellStyle name="SAPBEXHLevel3X 9 3 2 2 2 2" xfId="49579" xr:uid="{00000000-0005-0000-0000-000060C20000}"/>
    <cellStyle name="SAPBEXHLevel3X 9 3 2 2 3" xfId="49580" xr:uid="{00000000-0005-0000-0000-000061C20000}"/>
    <cellStyle name="SAPBEXHLevel3X 9 3 2 3" xfId="49581" xr:uid="{00000000-0005-0000-0000-000062C20000}"/>
    <cellStyle name="SAPBEXHLevel3X 9 3 2 3 2" xfId="49582" xr:uid="{00000000-0005-0000-0000-000063C20000}"/>
    <cellStyle name="SAPBEXHLevel3X 9 3 2 4" xfId="49583" xr:uid="{00000000-0005-0000-0000-000064C20000}"/>
    <cellStyle name="SAPBEXHLevel3X 9 3 3" xfId="49584" xr:uid="{00000000-0005-0000-0000-000065C20000}"/>
    <cellStyle name="SAPBEXHLevel3X 9 3 3 2" xfId="49585" xr:uid="{00000000-0005-0000-0000-000066C20000}"/>
    <cellStyle name="SAPBEXHLevel3X 9 3 3 2 2" xfId="49586" xr:uid="{00000000-0005-0000-0000-000067C20000}"/>
    <cellStyle name="SAPBEXHLevel3X 9 3 3 3" xfId="49587" xr:uid="{00000000-0005-0000-0000-000068C20000}"/>
    <cellStyle name="SAPBEXHLevel3X 9 3 4" xfId="49588" xr:uid="{00000000-0005-0000-0000-000069C20000}"/>
    <cellStyle name="SAPBEXHLevel3X 9 3 4 2" xfId="49589" xr:uid="{00000000-0005-0000-0000-00006AC20000}"/>
    <cellStyle name="SAPBEXHLevel3X 9 3 5" xfId="49590" xr:uid="{00000000-0005-0000-0000-00006BC20000}"/>
    <cellStyle name="SAPBEXHLevel3X 9 4" xfId="49591" xr:uid="{00000000-0005-0000-0000-00006CC20000}"/>
    <cellStyle name="SAPBEXHLevel3X 9 4 2" xfId="49592" xr:uid="{00000000-0005-0000-0000-00006DC20000}"/>
    <cellStyle name="SAPBEXHLevel3X 9 4 2 2" xfId="49593" xr:uid="{00000000-0005-0000-0000-00006EC20000}"/>
    <cellStyle name="SAPBEXHLevel3X 9 4 3" xfId="49594" xr:uid="{00000000-0005-0000-0000-00006FC20000}"/>
    <cellStyle name="SAPBEXHLevel3X 9 5" xfId="49595" xr:uid="{00000000-0005-0000-0000-000070C20000}"/>
    <cellStyle name="SAPBEXHLevel3X 9 5 2" xfId="49596" xr:uid="{00000000-0005-0000-0000-000071C20000}"/>
    <cellStyle name="SAPBEXHLevel3X 9 5 2 2" xfId="49597" xr:uid="{00000000-0005-0000-0000-000072C20000}"/>
    <cellStyle name="SAPBEXHLevel3X 9 5 3" xfId="49598" xr:uid="{00000000-0005-0000-0000-000073C20000}"/>
    <cellStyle name="SAPBEXHLevel3X 9 6" xfId="49599" xr:uid="{00000000-0005-0000-0000-000074C20000}"/>
    <cellStyle name="SAPBEXHLevel3X 9 6 2" xfId="49600" xr:uid="{00000000-0005-0000-0000-000075C20000}"/>
    <cellStyle name="SAPBEXHLevel3X 9 7" xfId="49601" xr:uid="{00000000-0005-0000-0000-000076C20000}"/>
    <cellStyle name="SAPBEXinputData" xfId="68" xr:uid="{00000000-0005-0000-0000-000077C20000}"/>
    <cellStyle name="SAPBEXinputData 10" xfId="49602" xr:uid="{00000000-0005-0000-0000-000078C20000}"/>
    <cellStyle name="SAPBEXinputData 10 2" xfId="49603" xr:uid="{00000000-0005-0000-0000-000079C20000}"/>
    <cellStyle name="SAPBEXinputData 10 2 2" xfId="49604" xr:uid="{00000000-0005-0000-0000-00007AC20000}"/>
    <cellStyle name="SAPBEXinputData 10 3" xfId="49605" xr:uid="{00000000-0005-0000-0000-00007BC20000}"/>
    <cellStyle name="SAPBEXinputData 11" xfId="49606" xr:uid="{00000000-0005-0000-0000-00007CC20000}"/>
    <cellStyle name="SAPBEXinputData 11 2" xfId="49607" xr:uid="{00000000-0005-0000-0000-00007DC20000}"/>
    <cellStyle name="SAPBEXinputData 11 2 2" xfId="49608" xr:uid="{00000000-0005-0000-0000-00007EC20000}"/>
    <cellStyle name="SAPBEXinputData 11 3" xfId="49609" xr:uid="{00000000-0005-0000-0000-00007FC20000}"/>
    <cellStyle name="SAPBEXinputData 12" xfId="49610" xr:uid="{00000000-0005-0000-0000-000080C20000}"/>
    <cellStyle name="SAPBEXinputData 12 2" xfId="49611" xr:uid="{00000000-0005-0000-0000-000081C20000}"/>
    <cellStyle name="SAPBEXinputData 12 2 2" xfId="49612" xr:uid="{00000000-0005-0000-0000-000082C20000}"/>
    <cellStyle name="SAPBEXinputData 12 3" xfId="49613" xr:uid="{00000000-0005-0000-0000-000083C20000}"/>
    <cellStyle name="SAPBEXinputData 13" xfId="49614" xr:uid="{00000000-0005-0000-0000-000084C20000}"/>
    <cellStyle name="SAPBEXinputData 13 2" xfId="49615" xr:uid="{00000000-0005-0000-0000-000085C20000}"/>
    <cellStyle name="SAPBEXinputData 14" xfId="49616" xr:uid="{00000000-0005-0000-0000-000086C20000}"/>
    <cellStyle name="SAPBEXinputData 14 2" xfId="49617" xr:uid="{00000000-0005-0000-0000-000087C20000}"/>
    <cellStyle name="SAPBEXinputData 15" xfId="49618" xr:uid="{00000000-0005-0000-0000-000088C20000}"/>
    <cellStyle name="SAPBEXinputData 15 2" xfId="49619" xr:uid="{00000000-0005-0000-0000-000089C20000}"/>
    <cellStyle name="SAPBEXinputData 15 2 2" xfId="49620" xr:uid="{00000000-0005-0000-0000-00008AC20000}"/>
    <cellStyle name="SAPBEXinputData 15 3" xfId="49621" xr:uid="{00000000-0005-0000-0000-00008BC20000}"/>
    <cellStyle name="SAPBEXinputData 16" xfId="49622" xr:uid="{00000000-0005-0000-0000-00008CC20000}"/>
    <cellStyle name="SAPBEXinputData 16 2" xfId="49623" xr:uid="{00000000-0005-0000-0000-00008DC20000}"/>
    <cellStyle name="SAPBEXinputData 17" xfId="49624" xr:uid="{00000000-0005-0000-0000-00008EC20000}"/>
    <cellStyle name="SAPBEXinputData 17 2" xfId="49625" xr:uid="{00000000-0005-0000-0000-00008FC20000}"/>
    <cellStyle name="SAPBEXinputData 18" xfId="49626" xr:uid="{00000000-0005-0000-0000-000090C20000}"/>
    <cellStyle name="SAPBEXinputData 18 2" xfId="49627" xr:uid="{00000000-0005-0000-0000-000091C20000}"/>
    <cellStyle name="SAPBEXinputData 19" xfId="49628" xr:uid="{00000000-0005-0000-0000-000092C20000}"/>
    <cellStyle name="SAPBEXinputData 2" xfId="92" xr:uid="{00000000-0005-0000-0000-000093C20000}"/>
    <cellStyle name="SAPBEXinputData 2 2" xfId="49629" xr:uid="{00000000-0005-0000-0000-000094C20000}"/>
    <cellStyle name="SAPBEXinputData 2 2 2" xfId="49630" xr:uid="{00000000-0005-0000-0000-000095C20000}"/>
    <cellStyle name="SAPBEXinputData 2 2 2 2" xfId="49631" xr:uid="{00000000-0005-0000-0000-000096C20000}"/>
    <cellStyle name="SAPBEXinputData 2 2 3" xfId="49632" xr:uid="{00000000-0005-0000-0000-000097C20000}"/>
    <cellStyle name="SAPBEXinputData 2 2 3 2" xfId="49633" xr:uid="{00000000-0005-0000-0000-000098C20000}"/>
    <cellStyle name="SAPBEXinputData 2 2 3 2 2" xfId="49634" xr:uid="{00000000-0005-0000-0000-000099C20000}"/>
    <cellStyle name="SAPBEXinputData 2 2 3 3" xfId="49635" xr:uid="{00000000-0005-0000-0000-00009AC20000}"/>
    <cellStyle name="SAPBEXinputData 2 2 4" xfId="49636" xr:uid="{00000000-0005-0000-0000-00009BC20000}"/>
    <cellStyle name="SAPBEXinputData 2 2 4 2" xfId="49637" xr:uid="{00000000-0005-0000-0000-00009CC20000}"/>
    <cellStyle name="SAPBEXinputData 2 2 4 2 2" xfId="49638" xr:uid="{00000000-0005-0000-0000-00009DC20000}"/>
    <cellStyle name="SAPBEXinputData 2 2 4 3" xfId="49639" xr:uid="{00000000-0005-0000-0000-00009EC20000}"/>
    <cellStyle name="SAPBEXinputData 2 2 5" xfId="49640" xr:uid="{00000000-0005-0000-0000-00009FC20000}"/>
    <cellStyle name="SAPBEXinputData 2 3" xfId="49641" xr:uid="{00000000-0005-0000-0000-0000A0C20000}"/>
    <cellStyle name="SAPBEXinputData 2 3 2" xfId="49642" xr:uid="{00000000-0005-0000-0000-0000A1C20000}"/>
    <cellStyle name="SAPBEXinputData 2 3 2 2" xfId="49643" xr:uid="{00000000-0005-0000-0000-0000A2C20000}"/>
    <cellStyle name="SAPBEXinputData 2 3 2 2 2" xfId="49644" xr:uid="{00000000-0005-0000-0000-0000A3C20000}"/>
    <cellStyle name="SAPBEXinputData 2 3 2 3" xfId="49645" xr:uid="{00000000-0005-0000-0000-0000A4C20000}"/>
    <cellStyle name="SAPBEXinputData 2 3 2 3 2" xfId="49646" xr:uid="{00000000-0005-0000-0000-0000A5C20000}"/>
    <cellStyle name="SAPBEXinputData 2 3 2 3 2 2" xfId="49647" xr:uid="{00000000-0005-0000-0000-0000A6C20000}"/>
    <cellStyle name="SAPBEXinputData 2 3 2 3 3" xfId="49648" xr:uid="{00000000-0005-0000-0000-0000A7C20000}"/>
    <cellStyle name="SAPBEXinputData 2 3 2 4" xfId="49649" xr:uid="{00000000-0005-0000-0000-0000A8C20000}"/>
    <cellStyle name="SAPBEXinputData 2 3 3" xfId="49650" xr:uid="{00000000-0005-0000-0000-0000A9C20000}"/>
    <cellStyle name="SAPBEXinputData 2 3 3 2" xfId="49651" xr:uid="{00000000-0005-0000-0000-0000AAC20000}"/>
    <cellStyle name="SAPBEXinputData 2 3 3 2 2" xfId="49652" xr:uid="{00000000-0005-0000-0000-0000ABC20000}"/>
    <cellStyle name="SAPBEXinputData 2 3 3 3" xfId="49653" xr:uid="{00000000-0005-0000-0000-0000ACC20000}"/>
    <cellStyle name="SAPBEXinputData 2 3 4" xfId="49654" xr:uid="{00000000-0005-0000-0000-0000ADC20000}"/>
    <cellStyle name="SAPBEXinputData 2 3 4 2" xfId="49655" xr:uid="{00000000-0005-0000-0000-0000AEC20000}"/>
    <cellStyle name="SAPBEXinputData 2 3 4 2 2" xfId="49656" xr:uid="{00000000-0005-0000-0000-0000AFC20000}"/>
    <cellStyle name="SAPBEXinputData 2 3 4 3" xfId="49657" xr:uid="{00000000-0005-0000-0000-0000B0C20000}"/>
    <cellStyle name="SAPBEXinputData 2 3 5" xfId="49658" xr:uid="{00000000-0005-0000-0000-0000B1C20000}"/>
    <cellStyle name="SAPBEXinputData 2 3 5 2" xfId="49659" xr:uid="{00000000-0005-0000-0000-0000B2C20000}"/>
    <cellStyle name="SAPBEXinputData 2 3 5 2 2" xfId="49660" xr:uid="{00000000-0005-0000-0000-0000B3C20000}"/>
    <cellStyle name="SAPBEXinputData 2 3 5 3" xfId="49661" xr:uid="{00000000-0005-0000-0000-0000B4C20000}"/>
    <cellStyle name="SAPBEXinputData 2 3 6" xfId="49662" xr:uid="{00000000-0005-0000-0000-0000B5C20000}"/>
    <cellStyle name="SAPBEXinputData 2 4" xfId="49663" xr:uid="{00000000-0005-0000-0000-0000B6C20000}"/>
    <cellStyle name="SAPBEXinputData 2 4 2" xfId="49664" xr:uid="{00000000-0005-0000-0000-0000B7C20000}"/>
    <cellStyle name="SAPBEXinputData 2 4 2 2" xfId="49665" xr:uid="{00000000-0005-0000-0000-0000B8C20000}"/>
    <cellStyle name="SAPBEXinputData 2 4 2 2 2" xfId="49666" xr:uid="{00000000-0005-0000-0000-0000B9C20000}"/>
    <cellStyle name="SAPBEXinputData 2 4 2 3" xfId="49667" xr:uid="{00000000-0005-0000-0000-0000BAC20000}"/>
    <cellStyle name="SAPBEXinputData 2 4 2 3 2" xfId="49668" xr:uid="{00000000-0005-0000-0000-0000BBC20000}"/>
    <cellStyle name="SAPBEXinputData 2 4 2 3 2 2" xfId="49669" xr:uid="{00000000-0005-0000-0000-0000BCC20000}"/>
    <cellStyle name="SAPBEXinputData 2 4 2 3 3" xfId="49670" xr:uid="{00000000-0005-0000-0000-0000BDC20000}"/>
    <cellStyle name="SAPBEXinputData 2 4 2 4" xfId="49671" xr:uid="{00000000-0005-0000-0000-0000BEC20000}"/>
    <cellStyle name="SAPBEXinputData 2 4 3" xfId="49672" xr:uid="{00000000-0005-0000-0000-0000BFC20000}"/>
    <cellStyle name="SAPBEXinputData 2 4 3 2" xfId="49673" xr:uid="{00000000-0005-0000-0000-0000C0C20000}"/>
    <cellStyle name="SAPBEXinputData 2 4 3 2 2" xfId="49674" xr:uid="{00000000-0005-0000-0000-0000C1C20000}"/>
    <cellStyle name="SAPBEXinputData 2 4 3 3" xfId="49675" xr:uid="{00000000-0005-0000-0000-0000C2C20000}"/>
    <cellStyle name="SAPBEXinputData 2 4 4" xfId="49676" xr:uid="{00000000-0005-0000-0000-0000C3C20000}"/>
    <cellStyle name="SAPBEXinputData 2 4 4 2" xfId="49677" xr:uid="{00000000-0005-0000-0000-0000C4C20000}"/>
    <cellStyle name="SAPBEXinputData 2 4 4 2 2" xfId="49678" xr:uid="{00000000-0005-0000-0000-0000C5C20000}"/>
    <cellStyle name="SAPBEXinputData 2 4 4 3" xfId="49679" xr:uid="{00000000-0005-0000-0000-0000C6C20000}"/>
    <cellStyle name="SAPBEXinputData 2 4 5" xfId="49680" xr:uid="{00000000-0005-0000-0000-0000C7C20000}"/>
    <cellStyle name="SAPBEXinputData 2 5" xfId="49681" xr:uid="{00000000-0005-0000-0000-0000C8C20000}"/>
    <cellStyle name="SAPBEXinputData 2 5 2" xfId="49682" xr:uid="{00000000-0005-0000-0000-0000C9C20000}"/>
    <cellStyle name="SAPBEXinputData 2 5 2 2" xfId="49683" xr:uid="{00000000-0005-0000-0000-0000CAC20000}"/>
    <cellStyle name="SAPBEXinputData 2 5 3" xfId="49684" xr:uid="{00000000-0005-0000-0000-0000CBC20000}"/>
    <cellStyle name="SAPBEXinputData 2 6" xfId="49685" xr:uid="{00000000-0005-0000-0000-0000CCC20000}"/>
    <cellStyle name="SAPBEXinputData 2 6 2" xfId="49686" xr:uid="{00000000-0005-0000-0000-0000CDC20000}"/>
    <cellStyle name="SAPBEXinputData 2 6 2 2" xfId="49687" xr:uid="{00000000-0005-0000-0000-0000CEC20000}"/>
    <cellStyle name="SAPBEXinputData 2 6 3" xfId="49688" xr:uid="{00000000-0005-0000-0000-0000CFC20000}"/>
    <cellStyle name="SAPBEXinputData 2 7" xfId="49689" xr:uid="{00000000-0005-0000-0000-0000D0C20000}"/>
    <cellStyle name="SAPBEXinputData 2 7 2" xfId="49690" xr:uid="{00000000-0005-0000-0000-0000D1C20000}"/>
    <cellStyle name="SAPBEXinputData 2 7 2 2" xfId="49691" xr:uid="{00000000-0005-0000-0000-0000D2C20000}"/>
    <cellStyle name="SAPBEXinputData 2 7 3" xfId="49692" xr:uid="{00000000-0005-0000-0000-0000D3C20000}"/>
    <cellStyle name="SAPBEXinputData 2 8" xfId="49693" xr:uid="{00000000-0005-0000-0000-0000D4C20000}"/>
    <cellStyle name="SAPBEXinputData 20" xfId="49694" xr:uid="{00000000-0005-0000-0000-0000D5C20000}"/>
    <cellStyle name="SAPBEXinputData 21" xfId="49695" xr:uid="{00000000-0005-0000-0000-0000D6C20000}"/>
    <cellStyle name="SAPBEXinputData 22" xfId="49696" xr:uid="{00000000-0005-0000-0000-0000D7C20000}"/>
    <cellStyle name="SAPBEXinputData 3" xfId="49697" xr:uid="{00000000-0005-0000-0000-0000D8C20000}"/>
    <cellStyle name="SAPBEXinputData 3 2" xfId="49698" xr:uid="{00000000-0005-0000-0000-0000D9C20000}"/>
    <cellStyle name="SAPBEXinputData 3 2 2" xfId="49699" xr:uid="{00000000-0005-0000-0000-0000DAC20000}"/>
    <cellStyle name="SAPBEXinputData 3 2 2 2" xfId="49700" xr:uid="{00000000-0005-0000-0000-0000DBC20000}"/>
    <cellStyle name="SAPBEXinputData 3 2 3" xfId="49701" xr:uid="{00000000-0005-0000-0000-0000DCC20000}"/>
    <cellStyle name="SAPBEXinputData 3 2 3 2" xfId="49702" xr:uid="{00000000-0005-0000-0000-0000DDC20000}"/>
    <cellStyle name="SAPBEXinputData 3 2 3 2 2" xfId="49703" xr:uid="{00000000-0005-0000-0000-0000DEC20000}"/>
    <cellStyle name="SAPBEXinputData 3 2 3 3" xfId="49704" xr:uid="{00000000-0005-0000-0000-0000DFC20000}"/>
    <cellStyle name="SAPBEXinputData 3 2 4" xfId="49705" xr:uid="{00000000-0005-0000-0000-0000E0C20000}"/>
    <cellStyle name="SAPBEXinputData 3 2 4 2" xfId="49706" xr:uid="{00000000-0005-0000-0000-0000E1C20000}"/>
    <cellStyle name="SAPBEXinputData 3 2 4 2 2" xfId="49707" xr:uid="{00000000-0005-0000-0000-0000E2C20000}"/>
    <cellStyle name="SAPBEXinputData 3 2 4 3" xfId="49708" xr:uid="{00000000-0005-0000-0000-0000E3C20000}"/>
    <cellStyle name="SAPBEXinputData 3 2 5" xfId="49709" xr:uid="{00000000-0005-0000-0000-0000E4C20000}"/>
    <cellStyle name="SAPBEXinputData 3 3" xfId="49710" xr:uid="{00000000-0005-0000-0000-0000E5C20000}"/>
    <cellStyle name="SAPBEXinputData 3 3 2" xfId="49711" xr:uid="{00000000-0005-0000-0000-0000E6C20000}"/>
    <cellStyle name="SAPBEXinputData 3 3 2 2" xfId="49712" xr:uid="{00000000-0005-0000-0000-0000E7C20000}"/>
    <cellStyle name="SAPBEXinputData 3 3 3" xfId="49713" xr:uid="{00000000-0005-0000-0000-0000E8C20000}"/>
    <cellStyle name="SAPBEXinputData 3 4" xfId="49714" xr:uid="{00000000-0005-0000-0000-0000E9C20000}"/>
    <cellStyle name="SAPBEXinputData 3 4 2" xfId="49715" xr:uid="{00000000-0005-0000-0000-0000EAC20000}"/>
    <cellStyle name="SAPBEXinputData 3 4 2 2" xfId="49716" xr:uid="{00000000-0005-0000-0000-0000EBC20000}"/>
    <cellStyle name="SAPBEXinputData 3 4 3" xfId="49717" xr:uid="{00000000-0005-0000-0000-0000ECC20000}"/>
    <cellStyle name="SAPBEXinputData 3 5" xfId="49718" xr:uid="{00000000-0005-0000-0000-0000EDC20000}"/>
    <cellStyle name="SAPBEXinputData 3 5 2" xfId="49719" xr:uid="{00000000-0005-0000-0000-0000EEC20000}"/>
    <cellStyle name="SAPBEXinputData 3 5 2 2" xfId="49720" xr:uid="{00000000-0005-0000-0000-0000EFC20000}"/>
    <cellStyle name="SAPBEXinputData 3 5 3" xfId="49721" xr:uid="{00000000-0005-0000-0000-0000F0C20000}"/>
    <cellStyle name="SAPBEXinputData 3 6" xfId="49722" xr:uid="{00000000-0005-0000-0000-0000F1C20000}"/>
    <cellStyle name="SAPBEXinputData 4" xfId="49723" xr:uid="{00000000-0005-0000-0000-0000F2C20000}"/>
    <cellStyle name="SAPBEXinputData 4 2" xfId="49724" xr:uid="{00000000-0005-0000-0000-0000F3C20000}"/>
    <cellStyle name="SAPBEXinputData 4 2 2" xfId="49725" xr:uid="{00000000-0005-0000-0000-0000F4C20000}"/>
    <cellStyle name="SAPBEXinputData 4 2 2 2" xfId="49726" xr:uid="{00000000-0005-0000-0000-0000F5C20000}"/>
    <cellStyle name="SAPBEXinputData 4 2 3" xfId="49727" xr:uid="{00000000-0005-0000-0000-0000F6C20000}"/>
    <cellStyle name="SAPBEXinputData 4 2 3 2" xfId="49728" xr:uid="{00000000-0005-0000-0000-0000F7C20000}"/>
    <cellStyle name="SAPBEXinputData 4 2 3 2 2" xfId="49729" xr:uid="{00000000-0005-0000-0000-0000F8C20000}"/>
    <cellStyle name="SAPBEXinputData 4 2 3 3" xfId="49730" xr:uid="{00000000-0005-0000-0000-0000F9C20000}"/>
    <cellStyle name="SAPBEXinputData 4 2 4" xfId="49731" xr:uid="{00000000-0005-0000-0000-0000FAC20000}"/>
    <cellStyle name="SAPBEXinputData 4 2 4 2" xfId="49732" xr:uid="{00000000-0005-0000-0000-0000FBC20000}"/>
    <cellStyle name="SAPBEXinputData 4 2 4 2 2" xfId="49733" xr:uid="{00000000-0005-0000-0000-0000FCC20000}"/>
    <cellStyle name="SAPBEXinputData 4 2 4 3" xfId="49734" xr:uid="{00000000-0005-0000-0000-0000FDC20000}"/>
    <cellStyle name="SAPBEXinputData 4 2 5" xfId="49735" xr:uid="{00000000-0005-0000-0000-0000FEC20000}"/>
    <cellStyle name="SAPBEXinputData 4 3" xfId="49736" xr:uid="{00000000-0005-0000-0000-0000FFC20000}"/>
    <cellStyle name="SAPBEXinputData 4 3 2" xfId="49737" xr:uid="{00000000-0005-0000-0000-000000C30000}"/>
    <cellStyle name="SAPBEXinputData 4 3 2 2" xfId="49738" xr:uid="{00000000-0005-0000-0000-000001C30000}"/>
    <cellStyle name="SAPBEXinputData 4 3 2 2 2" xfId="49739" xr:uid="{00000000-0005-0000-0000-000002C30000}"/>
    <cellStyle name="SAPBEXinputData 4 3 2 3" xfId="49740" xr:uid="{00000000-0005-0000-0000-000003C30000}"/>
    <cellStyle name="SAPBEXinputData 4 3 2 3 2" xfId="49741" xr:uid="{00000000-0005-0000-0000-000004C30000}"/>
    <cellStyle name="SAPBEXinputData 4 3 2 3 2 2" xfId="49742" xr:uid="{00000000-0005-0000-0000-000005C30000}"/>
    <cellStyle name="SAPBEXinputData 4 3 2 3 3" xfId="49743" xr:uid="{00000000-0005-0000-0000-000006C30000}"/>
    <cellStyle name="SAPBEXinputData 4 3 2 4" xfId="49744" xr:uid="{00000000-0005-0000-0000-000007C30000}"/>
    <cellStyle name="SAPBEXinputData 4 3 3" xfId="49745" xr:uid="{00000000-0005-0000-0000-000008C30000}"/>
    <cellStyle name="SAPBEXinputData 4 3 3 2" xfId="49746" xr:uid="{00000000-0005-0000-0000-000009C30000}"/>
    <cellStyle name="SAPBEXinputData 4 3 3 2 2" xfId="49747" xr:uid="{00000000-0005-0000-0000-00000AC30000}"/>
    <cellStyle name="SAPBEXinputData 4 3 3 3" xfId="49748" xr:uid="{00000000-0005-0000-0000-00000BC30000}"/>
    <cellStyle name="SAPBEXinputData 4 3 4" xfId="49749" xr:uid="{00000000-0005-0000-0000-00000CC30000}"/>
    <cellStyle name="SAPBEXinputData 4 3 4 2" xfId="49750" xr:uid="{00000000-0005-0000-0000-00000DC30000}"/>
    <cellStyle name="SAPBEXinputData 4 3 4 2 2" xfId="49751" xr:uid="{00000000-0005-0000-0000-00000EC30000}"/>
    <cellStyle name="SAPBEXinputData 4 3 4 3" xfId="49752" xr:uid="{00000000-0005-0000-0000-00000FC30000}"/>
    <cellStyle name="SAPBEXinputData 4 3 5" xfId="49753" xr:uid="{00000000-0005-0000-0000-000010C30000}"/>
    <cellStyle name="SAPBEXinputData 4 3 5 2" xfId="49754" xr:uid="{00000000-0005-0000-0000-000011C30000}"/>
    <cellStyle name="SAPBEXinputData 4 3 5 2 2" xfId="49755" xr:uid="{00000000-0005-0000-0000-000012C30000}"/>
    <cellStyle name="SAPBEXinputData 4 3 5 3" xfId="49756" xr:uid="{00000000-0005-0000-0000-000013C30000}"/>
    <cellStyle name="SAPBEXinputData 4 3 6" xfId="49757" xr:uid="{00000000-0005-0000-0000-000014C30000}"/>
    <cellStyle name="SAPBEXinputData 4 4" xfId="49758" xr:uid="{00000000-0005-0000-0000-000015C30000}"/>
    <cellStyle name="SAPBEXinputData 4 4 2" xfId="49759" xr:uid="{00000000-0005-0000-0000-000016C30000}"/>
    <cellStyle name="SAPBEXinputData 4 4 2 2" xfId="49760" xr:uid="{00000000-0005-0000-0000-000017C30000}"/>
    <cellStyle name="SAPBEXinputData 4 4 3" xfId="49761" xr:uid="{00000000-0005-0000-0000-000018C30000}"/>
    <cellStyle name="SAPBEXinputData 4 5" xfId="49762" xr:uid="{00000000-0005-0000-0000-000019C30000}"/>
    <cellStyle name="SAPBEXinputData 4 5 2" xfId="49763" xr:uid="{00000000-0005-0000-0000-00001AC30000}"/>
    <cellStyle name="SAPBEXinputData 4 5 2 2" xfId="49764" xr:uid="{00000000-0005-0000-0000-00001BC30000}"/>
    <cellStyle name="SAPBEXinputData 4 5 3" xfId="49765" xr:uid="{00000000-0005-0000-0000-00001CC30000}"/>
    <cellStyle name="SAPBEXinputData 4 6" xfId="49766" xr:uid="{00000000-0005-0000-0000-00001DC30000}"/>
    <cellStyle name="SAPBEXinputData 4 6 2" xfId="49767" xr:uid="{00000000-0005-0000-0000-00001EC30000}"/>
    <cellStyle name="SAPBEXinputData 4 6 2 2" xfId="49768" xr:uid="{00000000-0005-0000-0000-00001FC30000}"/>
    <cellStyle name="SAPBEXinputData 4 6 3" xfId="49769" xr:uid="{00000000-0005-0000-0000-000020C30000}"/>
    <cellStyle name="SAPBEXinputData 4 7" xfId="49770" xr:uid="{00000000-0005-0000-0000-000021C30000}"/>
    <cellStyle name="SAPBEXinputData 5" xfId="49771" xr:uid="{00000000-0005-0000-0000-000022C30000}"/>
    <cellStyle name="SAPBEXinputData 5 2" xfId="49772" xr:uid="{00000000-0005-0000-0000-000023C30000}"/>
    <cellStyle name="SAPBEXinputData 5 2 2" xfId="49773" xr:uid="{00000000-0005-0000-0000-000024C30000}"/>
    <cellStyle name="SAPBEXinputData 5 3" xfId="49774" xr:uid="{00000000-0005-0000-0000-000025C30000}"/>
    <cellStyle name="SAPBEXinputData 5 3 2" xfId="49775" xr:uid="{00000000-0005-0000-0000-000026C30000}"/>
    <cellStyle name="SAPBEXinputData 5 3 2 2" xfId="49776" xr:uid="{00000000-0005-0000-0000-000027C30000}"/>
    <cellStyle name="SAPBEXinputData 5 3 3" xfId="49777" xr:uid="{00000000-0005-0000-0000-000028C30000}"/>
    <cellStyle name="SAPBEXinputData 5 4" xfId="49778" xr:uid="{00000000-0005-0000-0000-000029C30000}"/>
    <cellStyle name="SAPBEXinputData 5 4 2" xfId="49779" xr:uid="{00000000-0005-0000-0000-00002AC30000}"/>
    <cellStyle name="SAPBEXinputData 5 4 2 2" xfId="49780" xr:uid="{00000000-0005-0000-0000-00002BC30000}"/>
    <cellStyle name="SAPBEXinputData 5 4 3" xfId="49781" xr:uid="{00000000-0005-0000-0000-00002CC30000}"/>
    <cellStyle name="SAPBEXinputData 5 5" xfId="49782" xr:uid="{00000000-0005-0000-0000-00002DC30000}"/>
    <cellStyle name="SAPBEXinputData 6" xfId="49783" xr:uid="{00000000-0005-0000-0000-00002EC30000}"/>
    <cellStyle name="SAPBEXinputData 6 2" xfId="49784" xr:uid="{00000000-0005-0000-0000-00002FC30000}"/>
    <cellStyle name="SAPBEXinputData 6 2 2" xfId="49785" xr:uid="{00000000-0005-0000-0000-000030C30000}"/>
    <cellStyle name="SAPBEXinputData 6 3" xfId="49786" xr:uid="{00000000-0005-0000-0000-000031C30000}"/>
    <cellStyle name="SAPBEXinputData 6 3 2" xfId="49787" xr:uid="{00000000-0005-0000-0000-000032C30000}"/>
    <cellStyle name="SAPBEXinputData 6 3 2 2" xfId="49788" xr:uid="{00000000-0005-0000-0000-000033C30000}"/>
    <cellStyle name="SAPBEXinputData 6 3 3" xfId="49789" xr:uid="{00000000-0005-0000-0000-000034C30000}"/>
    <cellStyle name="SAPBEXinputData 6 4" xfId="49790" xr:uid="{00000000-0005-0000-0000-000035C30000}"/>
    <cellStyle name="SAPBEXinputData 6 4 2" xfId="49791" xr:uid="{00000000-0005-0000-0000-000036C30000}"/>
    <cellStyle name="SAPBEXinputData 6 4 2 2" xfId="49792" xr:uid="{00000000-0005-0000-0000-000037C30000}"/>
    <cellStyle name="SAPBEXinputData 6 4 3" xfId="49793" xr:uid="{00000000-0005-0000-0000-000038C30000}"/>
    <cellStyle name="SAPBEXinputData 6 5" xfId="49794" xr:uid="{00000000-0005-0000-0000-000039C30000}"/>
    <cellStyle name="SAPBEXinputData 7" xfId="49795" xr:uid="{00000000-0005-0000-0000-00003AC30000}"/>
    <cellStyle name="SAPBEXinputData 7 2" xfId="49796" xr:uid="{00000000-0005-0000-0000-00003BC30000}"/>
    <cellStyle name="SAPBEXinputData 7 2 2" xfId="49797" xr:uid="{00000000-0005-0000-0000-00003CC30000}"/>
    <cellStyle name="SAPBEXinputData 7 2 2 2" xfId="49798" xr:uid="{00000000-0005-0000-0000-00003DC30000}"/>
    <cellStyle name="SAPBEXinputData 7 2 3" xfId="49799" xr:uid="{00000000-0005-0000-0000-00003EC30000}"/>
    <cellStyle name="SAPBEXinputData 7 2 3 2" xfId="49800" xr:uid="{00000000-0005-0000-0000-00003FC30000}"/>
    <cellStyle name="SAPBEXinputData 7 2 3 2 2" xfId="49801" xr:uid="{00000000-0005-0000-0000-000040C30000}"/>
    <cellStyle name="SAPBEXinputData 7 2 3 3" xfId="49802" xr:uid="{00000000-0005-0000-0000-000041C30000}"/>
    <cellStyle name="SAPBEXinputData 7 2 4" xfId="49803" xr:uid="{00000000-0005-0000-0000-000042C30000}"/>
    <cellStyle name="SAPBEXinputData 7 3" xfId="49804" xr:uid="{00000000-0005-0000-0000-000043C30000}"/>
    <cellStyle name="SAPBEXinputData 7 3 2" xfId="49805" xr:uid="{00000000-0005-0000-0000-000044C30000}"/>
    <cellStyle name="SAPBEXinputData 7 3 2 2" xfId="49806" xr:uid="{00000000-0005-0000-0000-000045C30000}"/>
    <cellStyle name="SAPBEXinputData 7 3 3" xfId="49807" xr:uid="{00000000-0005-0000-0000-000046C30000}"/>
    <cellStyle name="SAPBEXinputData 7 4" xfId="49808" xr:uid="{00000000-0005-0000-0000-000047C30000}"/>
    <cellStyle name="SAPBEXinputData 7 4 2" xfId="49809" xr:uid="{00000000-0005-0000-0000-000048C30000}"/>
    <cellStyle name="SAPBEXinputData 7 4 2 2" xfId="49810" xr:uid="{00000000-0005-0000-0000-000049C30000}"/>
    <cellStyle name="SAPBEXinputData 7 4 3" xfId="49811" xr:uid="{00000000-0005-0000-0000-00004AC30000}"/>
    <cellStyle name="SAPBEXinputData 7 5" xfId="49812" xr:uid="{00000000-0005-0000-0000-00004BC30000}"/>
    <cellStyle name="SAPBEXinputData 7 5 2" xfId="49813" xr:uid="{00000000-0005-0000-0000-00004CC30000}"/>
    <cellStyle name="SAPBEXinputData 7 5 2 2" xfId="49814" xr:uid="{00000000-0005-0000-0000-00004DC30000}"/>
    <cellStyle name="SAPBEXinputData 7 5 3" xfId="49815" xr:uid="{00000000-0005-0000-0000-00004EC30000}"/>
    <cellStyle name="SAPBEXinputData 7 6" xfId="49816" xr:uid="{00000000-0005-0000-0000-00004FC30000}"/>
    <cellStyle name="SAPBEXinputData 8" xfId="49817" xr:uid="{00000000-0005-0000-0000-000050C30000}"/>
    <cellStyle name="SAPBEXinputData 8 2" xfId="49818" xr:uid="{00000000-0005-0000-0000-000051C30000}"/>
    <cellStyle name="SAPBEXinputData 8 2 2" xfId="49819" xr:uid="{00000000-0005-0000-0000-000052C30000}"/>
    <cellStyle name="SAPBEXinputData 8 3" xfId="49820" xr:uid="{00000000-0005-0000-0000-000053C30000}"/>
    <cellStyle name="SAPBEXinputData 8 3 2" xfId="49821" xr:uid="{00000000-0005-0000-0000-000054C30000}"/>
    <cellStyle name="SAPBEXinputData 8 3 2 2" xfId="49822" xr:uid="{00000000-0005-0000-0000-000055C30000}"/>
    <cellStyle name="SAPBEXinputData 8 3 3" xfId="49823" xr:uid="{00000000-0005-0000-0000-000056C30000}"/>
    <cellStyle name="SAPBEXinputData 8 4" xfId="49824" xr:uid="{00000000-0005-0000-0000-000057C30000}"/>
    <cellStyle name="SAPBEXinputData 9" xfId="49825" xr:uid="{00000000-0005-0000-0000-000058C30000}"/>
    <cellStyle name="SAPBEXinputData 9 2" xfId="49826" xr:uid="{00000000-0005-0000-0000-000059C30000}"/>
    <cellStyle name="SAPBEXinputData 9 2 2" xfId="49827" xr:uid="{00000000-0005-0000-0000-00005AC30000}"/>
    <cellStyle name="SAPBEXinputData 9 2 2 2" xfId="49828" xr:uid="{00000000-0005-0000-0000-00005BC30000}"/>
    <cellStyle name="SAPBEXinputData 9 2 3" xfId="49829" xr:uid="{00000000-0005-0000-0000-00005CC30000}"/>
    <cellStyle name="SAPBEXinputData 9 3" xfId="49830" xr:uid="{00000000-0005-0000-0000-00005DC30000}"/>
    <cellStyle name="SAPBEXinputData 9 3 2" xfId="49831" xr:uid="{00000000-0005-0000-0000-00005EC30000}"/>
    <cellStyle name="SAPBEXinputData 9 3 2 2" xfId="49832" xr:uid="{00000000-0005-0000-0000-00005FC30000}"/>
    <cellStyle name="SAPBEXinputData 9 3 2 2 2" xfId="49833" xr:uid="{00000000-0005-0000-0000-000060C30000}"/>
    <cellStyle name="SAPBEXinputData 9 3 2 3" xfId="49834" xr:uid="{00000000-0005-0000-0000-000061C30000}"/>
    <cellStyle name="SAPBEXinputData 9 3 3" xfId="49835" xr:uid="{00000000-0005-0000-0000-000062C30000}"/>
    <cellStyle name="SAPBEXinputData 9 3 3 2" xfId="49836" xr:uid="{00000000-0005-0000-0000-000063C30000}"/>
    <cellStyle name="SAPBEXinputData 9 3 4" xfId="49837" xr:uid="{00000000-0005-0000-0000-000064C30000}"/>
    <cellStyle name="SAPBEXinputData 9 4" xfId="49838" xr:uid="{00000000-0005-0000-0000-000065C30000}"/>
    <cellStyle name="SAPBEXinputData 9 4 2" xfId="49839" xr:uid="{00000000-0005-0000-0000-000066C30000}"/>
    <cellStyle name="SAPBEXinputData 9 4 2 2" xfId="49840" xr:uid="{00000000-0005-0000-0000-000067C30000}"/>
    <cellStyle name="SAPBEXinputData 9 4 3" xfId="49841" xr:uid="{00000000-0005-0000-0000-000068C30000}"/>
    <cellStyle name="SAPBEXinputData 9 5" xfId="49842" xr:uid="{00000000-0005-0000-0000-000069C30000}"/>
    <cellStyle name="SAPBEXinputData 9 5 2" xfId="49843" xr:uid="{00000000-0005-0000-0000-00006AC30000}"/>
    <cellStyle name="SAPBEXinputData 9 6" xfId="49844" xr:uid="{00000000-0005-0000-0000-00006BC30000}"/>
    <cellStyle name="SAPBEXItemHeader" xfId="49845" xr:uid="{00000000-0005-0000-0000-00006CC30000}"/>
    <cellStyle name="SAPBEXItemHeader 10" xfId="49846" xr:uid="{00000000-0005-0000-0000-00006DC30000}"/>
    <cellStyle name="SAPBEXItemHeader 11" xfId="49847" xr:uid="{00000000-0005-0000-0000-00006EC30000}"/>
    <cellStyle name="SAPBEXItemHeader 2" xfId="49848" xr:uid="{00000000-0005-0000-0000-00006FC30000}"/>
    <cellStyle name="SAPBEXItemHeader 2 2" xfId="49849" xr:uid="{00000000-0005-0000-0000-000070C30000}"/>
    <cellStyle name="SAPBEXItemHeader 2 2 2" xfId="49850" xr:uid="{00000000-0005-0000-0000-000071C30000}"/>
    <cellStyle name="SAPBEXItemHeader 2 2 2 2" xfId="49851" xr:uid="{00000000-0005-0000-0000-000072C30000}"/>
    <cellStyle name="SAPBEXItemHeader 2 2 2 2 2" xfId="49852" xr:uid="{00000000-0005-0000-0000-000073C30000}"/>
    <cellStyle name="SAPBEXItemHeader 2 2 2 3" xfId="49853" xr:uid="{00000000-0005-0000-0000-000074C30000}"/>
    <cellStyle name="SAPBEXItemHeader 2 2 3" xfId="49854" xr:uid="{00000000-0005-0000-0000-000075C30000}"/>
    <cellStyle name="SAPBEXItemHeader 2 2 3 2" xfId="49855" xr:uid="{00000000-0005-0000-0000-000076C30000}"/>
    <cellStyle name="SAPBEXItemHeader 2 2 3 2 2" xfId="49856" xr:uid="{00000000-0005-0000-0000-000077C30000}"/>
    <cellStyle name="SAPBEXItemHeader 2 2 3 3" xfId="49857" xr:uid="{00000000-0005-0000-0000-000078C30000}"/>
    <cellStyle name="SAPBEXItemHeader 2 2 4" xfId="49858" xr:uid="{00000000-0005-0000-0000-000079C30000}"/>
    <cellStyle name="SAPBEXItemHeader 2 2 4 2" xfId="49859" xr:uid="{00000000-0005-0000-0000-00007AC30000}"/>
    <cellStyle name="SAPBEXItemHeader 2 2 4 2 2" xfId="49860" xr:uid="{00000000-0005-0000-0000-00007BC30000}"/>
    <cellStyle name="SAPBEXItemHeader 2 2 4 3" xfId="49861" xr:uid="{00000000-0005-0000-0000-00007CC30000}"/>
    <cellStyle name="SAPBEXItemHeader 2 2 5" xfId="49862" xr:uid="{00000000-0005-0000-0000-00007DC30000}"/>
    <cellStyle name="SAPBEXItemHeader 2 2 5 2" xfId="49863" xr:uid="{00000000-0005-0000-0000-00007EC30000}"/>
    <cellStyle name="SAPBEXItemHeader 2 2 6" xfId="49864" xr:uid="{00000000-0005-0000-0000-00007FC30000}"/>
    <cellStyle name="SAPBEXItemHeader 2 3" xfId="49865" xr:uid="{00000000-0005-0000-0000-000080C30000}"/>
    <cellStyle name="SAPBEXItemHeader 2 3 2" xfId="49866" xr:uid="{00000000-0005-0000-0000-000081C30000}"/>
    <cellStyle name="SAPBEXItemHeader 2 3 2 2" xfId="49867" xr:uid="{00000000-0005-0000-0000-000082C30000}"/>
    <cellStyle name="SAPBEXItemHeader 2 3 2 2 2" xfId="49868" xr:uid="{00000000-0005-0000-0000-000083C30000}"/>
    <cellStyle name="SAPBEXItemHeader 2 3 2 2 2 2" xfId="49869" xr:uid="{00000000-0005-0000-0000-000084C30000}"/>
    <cellStyle name="SAPBEXItemHeader 2 3 2 2 3" xfId="49870" xr:uid="{00000000-0005-0000-0000-000085C30000}"/>
    <cellStyle name="SAPBEXItemHeader 2 3 2 3" xfId="49871" xr:uid="{00000000-0005-0000-0000-000086C30000}"/>
    <cellStyle name="SAPBEXItemHeader 2 3 2 3 2" xfId="49872" xr:uid="{00000000-0005-0000-0000-000087C30000}"/>
    <cellStyle name="SAPBEXItemHeader 2 3 2 3 2 2" xfId="49873" xr:uid="{00000000-0005-0000-0000-000088C30000}"/>
    <cellStyle name="SAPBEXItemHeader 2 3 2 3 3" xfId="49874" xr:uid="{00000000-0005-0000-0000-000089C30000}"/>
    <cellStyle name="SAPBEXItemHeader 2 3 2 4" xfId="49875" xr:uid="{00000000-0005-0000-0000-00008AC30000}"/>
    <cellStyle name="SAPBEXItemHeader 2 3 2 4 2" xfId="49876" xr:uid="{00000000-0005-0000-0000-00008BC30000}"/>
    <cellStyle name="SAPBEXItemHeader 2 3 2 5" xfId="49877" xr:uid="{00000000-0005-0000-0000-00008CC30000}"/>
    <cellStyle name="SAPBEXItemHeader 2 3 3" xfId="49878" xr:uid="{00000000-0005-0000-0000-00008DC30000}"/>
    <cellStyle name="SAPBEXItemHeader 2 3 3 2" xfId="49879" xr:uid="{00000000-0005-0000-0000-00008EC30000}"/>
    <cellStyle name="SAPBEXItemHeader 2 3 3 2 2" xfId="49880" xr:uid="{00000000-0005-0000-0000-00008FC30000}"/>
    <cellStyle name="SAPBEXItemHeader 2 3 3 2 2 2" xfId="49881" xr:uid="{00000000-0005-0000-0000-000090C30000}"/>
    <cellStyle name="SAPBEXItemHeader 2 3 3 2 3" xfId="49882" xr:uid="{00000000-0005-0000-0000-000091C30000}"/>
    <cellStyle name="SAPBEXItemHeader 2 3 3 3" xfId="49883" xr:uid="{00000000-0005-0000-0000-000092C30000}"/>
    <cellStyle name="SAPBEXItemHeader 2 3 3 3 2" xfId="49884" xr:uid="{00000000-0005-0000-0000-000093C30000}"/>
    <cellStyle name="SAPBEXItemHeader 2 3 3 4" xfId="49885" xr:uid="{00000000-0005-0000-0000-000094C30000}"/>
    <cellStyle name="SAPBEXItemHeader 2 3 4" xfId="49886" xr:uid="{00000000-0005-0000-0000-000095C30000}"/>
    <cellStyle name="SAPBEXItemHeader 2 3 4 2" xfId="49887" xr:uid="{00000000-0005-0000-0000-000096C30000}"/>
    <cellStyle name="SAPBEXItemHeader 2 3 4 2 2" xfId="49888" xr:uid="{00000000-0005-0000-0000-000097C30000}"/>
    <cellStyle name="SAPBEXItemHeader 2 3 4 3" xfId="49889" xr:uid="{00000000-0005-0000-0000-000098C30000}"/>
    <cellStyle name="SAPBEXItemHeader 2 3 5" xfId="49890" xr:uid="{00000000-0005-0000-0000-000099C30000}"/>
    <cellStyle name="SAPBEXItemHeader 2 3 5 2" xfId="49891" xr:uid="{00000000-0005-0000-0000-00009AC30000}"/>
    <cellStyle name="SAPBEXItemHeader 2 3 5 2 2" xfId="49892" xr:uid="{00000000-0005-0000-0000-00009BC30000}"/>
    <cellStyle name="SAPBEXItemHeader 2 3 5 3" xfId="49893" xr:uid="{00000000-0005-0000-0000-00009CC30000}"/>
    <cellStyle name="SAPBEXItemHeader 2 3 6" xfId="49894" xr:uid="{00000000-0005-0000-0000-00009DC30000}"/>
    <cellStyle name="SAPBEXItemHeader 2 3 6 2" xfId="49895" xr:uid="{00000000-0005-0000-0000-00009EC30000}"/>
    <cellStyle name="SAPBEXItemHeader 2 3 7" xfId="49896" xr:uid="{00000000-0005-0000-0000-00009FC30000}"/>
    <cellStyle name="SAPBEXItemHeader 2 4" xfId="49897" xr:uid="{00000000-0005-0000-0000-0000A0C30000}"/>
    <cellStyle name="SAPBEXItemHeader 2 4 2" xfId="49898" xr:uid="{00000000-0005-0000-0000-0000A1C30000}"/>
    <cellStyle name="SAPBEXItemHeader 2 4 2 2" xfId="49899" xr:uid="{00000000-0005-0000-0000-0000A2C30000}"/>
    <cellStyle name="SAPBEXItemHeader 2 4 2 2 2" xfId="49900" xr:uid="{00000000-0005-0000-0000-0000A3C30000}"/>
    <cellStyle name="SAPBEXItemHeader 2 4 2 3" xfId="49901" xr:uid="{00000000-0005-0000-0000-0000A4C30000}"/>
    <cellStyle name="SAPBEXItemHeader 2 4 3" xfId="49902" xr:uid="{00000000-0005-0000-0000-0000A5C30000}"/>
    <cellStyle name="SAPBEXItemHeader 2 4 3 2" xfId="49903" xr:uid="{00000000-0005-0000-0000-0000A6C30000}"/>
    <cellStyle name="SAPBEXItemHeader 2 4 4" xfId="49904" xr:uid="{00000000-0005-0000-0000-0000A7C30000}"/>
    <cellStyle name="SAPBEXItemHeader 2 5" xfId="49905" xr:uid="{00000000-0005-0000-0000-0000A8C30000}"/>
    <cellStyle name="SAPBEXItemHeader 2 5 2" xfId="49906" xr:uid="{00000000-0005-0000-0000-0000A9C30000}"/>
    <cellStyle name="SAPBEXItemHeader 2 5 2 2" xfId="49907" xr:uid="{00000000-0005-0000-0000-0000AAC30000}"/>
    <cellStyle name="SAPBEXItemHeader 2 5 3" xfId="49908" xr:uid="{00000000-0005-0000-0000-0000ABC30000}"/>
    <cellStyle name="SAPBEXItemHeader 2 6" xfId="49909" xr:uid="{00000000-0005-0000-0000-0000ACC30000}"/>
    <cellStyle name="SAPBEXItemHeader 2 6 2" xfId="49910" xr:uid="{00000000-0005-0000-0000-0000ADC30000}"/>
    <cellStyle name="SAPBEXItemHeader 2 6 2 2" xfId="49911" xr:uid="{00000000-0005-0000-0000-0000AEC30000}"/>
    <cellStyle name="SAPBEXItemHeader 2 6 3" xfId="49912" xr:uid="{00000000-0005-0000-0000-0000AFC30000}"/>
    <cellStyle name="SAPBEXItemHeader 2 7" xfId="49913" xr:uid="{00000000-0005-0000-0000-0000B0C30000}"/>
    <cellStyle name="SAPBEXItemHeader 2 7 2" xfId="49914" xr:uid="{00000000-0005-0000-0000-0000B1C30000}"/>
    <cellStyle name="SAPBEXItemHeader 2 8" xfId="49915" xr:uid="{00000000-0005-0000-0000-0000B2C30000}"/>
    <cellStyle name="SAPBEXItemHeader 3" xfId="49916" xr:uid="{00000000-0005-0000-0000-0000B3C30000}"/>
    <cellStyle name="SAPBEXItemHeader 3 2" xfId="49917" xr:uid="{00000000-0005-0000-0000-0000B4C30000}"/>
    <cellStyle name="SAPBEXItemHeader 3 2 2" xfId="49918" xr:uid="{00000000-0005-0000-0000-0000B5C30000}"/>
    <cellStyle name="SAPBEXItemHeader 3 2 2 2" xfId="49919" xr:uid="{00000000-0005-0000-0000-0000B6C30000}"/>
    <cellStyle name="SAPBEXItemHeader 3 2 2 2 2" xfId="49920" xr:uid="{00000000-0005-0000-0000-0000B7C30000}"/>
    <cellStyle name="SAPBEXItemHeader 3 2 2 3" xfId="49921" xr:uid="{00000000-0005-0000-0000-0000B8C30000}"/>
    <cellStyle name="SAPBEXItemHeader 3 2 3" xfId="49922" xr:uid="{00000000-0005-0000-0000-0000B9C30000}"/>
    <cellStyle name="SAPBEXItemHeader 3 2 3 2" xfId="49923" xr:uid="{00000000-0005-0000-0000-0000BAC30000}"/>
    <cellStyle name="SAPBEXItemHeader 3 2 3 2 2" xfId="49924" xr:uid="{00000000-0005-0000-0000-0000BBC30000}"/>
    <cellStyle name="SAPBEXItemHeader 3 2 3 3" xfId="49925" xr:uid="{00000000-0005-0000-0000-0000BCC30000}"/>
    <cellStyle name="SAPBEXItemHeader 3 2 4" xfId="49926" xr:uid="{00000000-0005-0000-0000-0000BDC30000}"/>
    <cellStyle name="SAPBEXItemHeader 3 2 4 2" xfId="49927" xr:uid="{00000000-0005-0000-0000-0000BEC30000}"/>
    <cellStyle name="SAPBEXItemHeader 3 2 4 2 2" xfId="49928" xr:uid="{00000000-0005-0000-0000-0000BFC30000}"/>
    <cellStyle name="SAPBEXItemHeader 3 2 4 3" xfId="49929" xr:uid="{00000000-0005-0000-0000-0000C0C30000}"/>
    <cellStyle name="SAPBEXItemHeader 3 2 5" xfId="49930" xr:uid="{00000000-0005-0000-0000-0000C1C30000}"/>
    <cellStyle name="SAPBEXItemHeader 3 2 5 2" xfId="49931" xr:uid="{00000000-0005-0000-0000-0000C2C30000}"/>
    <cellStyle name="SAPBEXItemHeader 3 2 6" xfId="49932" xr:uid="{00000000-0005-0000-0000-0000C3C30000}"/>
    <cellStyle name="SAPBEXItemHeader 3 3" xfId="49933" xr:uid="{00000000-0005-0000-0000-0000C4C30000}"/>
    <cellStyle name="SAPBEXItemHeader 3 3 2" xfId="49934" xr:uid="{00000000-0005-0000-0000-0000C5C30000}"/>
    <cellStyle name="SAPBEXItemHeader 3 3 2 2" xfId="49935" xr:uid="{00000000-0005-0000-0000-0000C6C30000}"/>
    <cellStyle name="SAPBEXItemHeader 3 3 2 2 2" xfId="49936" xr:uid="{00000000-0005-0000-0000-0000C7C30000}"/>
    <cellStyle name="SAPBEXItemHeader 3 3 2 3" xfId="49937" xr:uid="{00000000-0005-0000-0000-0000C8C30000}"/>
    <cellStyle name="SAPBEXItemHeader 3 3 3" xfId="49938" xr:uid="{00000000-0005-0000-0000-0000C9C30000}"/>
    <cellStyle name="SAPBEXItemHeader 3 3 3 2" xfId="49939" xr:uid="{00000000-0005-0000-0000-0000CAC30000}"/>
    <cellStyle name="SAPBEXItemHeader 3 3 4" xfId="49940" xr:uid="{00000000-0005-0000-0000-0000CBC30000}"/>
    <cellStyle name="SAPBEXItemHeader 3 4" xfId="49941" xr:uid="{00000000-0005-0000-0000-0000CCC30000}"/>
    <cellStyle name="SAPBEXItemHeader 3 4 2" xfId="49942" xr:uid="{00000000-0005-0000-0000-0000CDC30000}"/>
    <cellStyle name="SAPBEXItemHeader 3 4 2 2" xfId="49943" xr:uid="{00000000-0005-0000-0000-0000CEC30000}"/>
    <cellStyle name="SAPBEXItemHeader 3 4 3" xfId="49944" xr:uid="{00000000-0005-0000-0000-0000CFC30000}"/>
    <cellStyle name="SAPBEXItemHeader 3 5" xfId="49945" xr:uid="{00000000-0005-0000-0000-0000D0C30000}"/>
    <cellStyle name="SAPBEXItemHeader 3 5 2" xfId="49946" xr:uid="{00000000-0005-0000-0000-0000D1C30000}"/>
    <cellStyle name="SAPBEXItemHeader 3 5 2 2" xfId="49947" xr:uid="{00000000-0005-0000-0000-0000D2C30000}"/>
    <cellStyle name="SAPBEXItemHeader 3 5 3" xfId="49948" xr:uid="{00000000-0005-0000-0000-0000D3C30000}"/>
    <cellStyle name="SAPBEXItemHeader 3 6" xfId="49949" xr:uid="{00000000-0005-0000-0000-0000D4C30000}"/>
    <cellStyle name="SAPBEXItemHeader 3 6 2" xfId="49950" xr:uid="{00000000-0005-0000-0000-0000D5C30000}"/>
    <cellStyle name="SAPBEXItemHeader 3 7" xfId="49951" xr:uid="{00000000-0005-0000-0000-0000D6C30000}"/>
    <cellStyle name="SAPBEXItemHeader 4" xfId="49952" xr:uid="{00000000-0005-0000-0000-0000D7C30000}"/>
    <cellStyle name="SAPBEXItemHeader 4 2" xfId="49953" xr:uid="{00000000-0005-0000-0000-0000D8C30000}"/>
    <cellStyle name="SAPBEXItemHeader 4 2 2" xfId="49954" xr:uid="{00000000-0005-0000-0000-0000D9C30000}"/>
    <cellStyle name="SAPBEXItemHeader 4 2 2 2" xfId="49955" xr:uid="{00000000-0005-0000-0000-0000DAC30000}"/>
    <cellStyle name="SAPBEXItemHeader 4 2 3" xfId="49956" xr:uid="{00000000-0005-0000-0000-0000DBC30000}"/>
    <cellStyle name="SAPBEXItemHeader 4 3" xfId="49957" xr:uid="{00000000-0005-0000-0000-0000DCC30000}"/>
    <cellStyle name="SAPBEXItemHeader 4 3 2" xfId="49958" xr:uid="{00000000-0005-0000-0000-0000DDC30000}"/>
    <cellStyle name="SAPBEXItemHeader 4 3 2 2" xfId="49959" xr:uid="{00000000-0005-0000-0000-0000DEC30000}"/>
    <cellStyle name="SAPBEXItemHeader 4 3 3" xfId="49960" xr:uid="{00000000-0005-0000-0000-0000DFC30000}"/>
    <cellStyle name="SAPBEXItemHeader 4 4" xfId="49961" xr:uid="{00000000-0005-0000-0000-0000E0C30000}"/>
    <cellStyle name="SAPBEXItemHeader 4 4 2" xfId="49962" xr:uid="{00000000-0005-0000-0000-0000E1C30000}"/>
    <cellStyle name="SAPBEXItemHeader 4 4 2 2" xfId="49963" xr:uid="{00000000-0005-0000-0000-0000E2C30000}"/>
    <cellStyle name="SAPBEXItemHeader 4 4 3" xfId="49964" xr:uid="{00000000-0005-0000-0000-0000E3C30000}"/>
    <cellStyle name="SAPBEXItemHeader 4 5" xfId="49965" xr:uid="{00000000-0005-0000-0000-0000E4C30000}"/>
    <cellStyle name="SAPBEXItemHeader 4 5 2" xfId="49966" xr:uid="{00000000-0005-0000-0000-0000E5C30000}"/>
    <cellStyle name="SAPBEXItemHeader 4 6" xfId="49967" xr:uid="{00000000-0005-0000-0000-0000E6C30000}"/>
    <cellStyle name="SAPBEXItemHeader 5" xfId="49968" xr:uid="{00000000-0005-0000-0000-0000E7C30000}"/>
    <cellStyle name="SAPBEXItemHeader 5 2" xfId="49969" xr:uid="{00000000-0005-0000-0000-0000E8C30000}"/>
    <cellStyle name="SAPBEXItemHeader 5 2 2" xfId="49970" xr:uid="{00000000-0005-0000-0000-0000E9C30000}"/>
    <cellStyle name="SAPBEXItemHeader 5 2 2 2" xfId="49971" xr:uid="{00000000-0005-0000-0000-0000EAC30000}"/>
    <cellStyle name="SAPBEXItemHeader 5 2 3" xfId="49972" xr:uid="{00000000-0005-0000-0000-0000EBC30000}"/>
    <cellStyle name="SAPBEXItemHeader 5 3" xfId="49973" xr:uid="{00000000-0005-0000-0000-0000ECC30000}"/>
    <cellStyle name="SAPBEXItemHeader 5 3 2" xfId="49974" xr:uid="{00000000-0005-0000-0000-0000EDC30000}"/>
    <cellStyle name="SAPBEXItemHeader 5 4" xfId="49975" xr:uid="{00000000-0005-0000-0000-0000EEC30000}"/>
    <cellStyle name="SAPBEXItemHeader 6" xfId="49976" xr:uid="{00000000-0005-0000-0000-0000EFC30000}"/>
    <cellStyle name="SAPBEXItemHeader 6 2" xfId="49977" xr:uid="{00000000-0005-0000-0000-0000F0C30000}"/>
    <cellStyle name="SAPBEXItemHeader 6 2 2" xfId="49978" xr:uid="{00000000-0005-0000-0000-0000F1C30000}"/>
    <cellStyle name="SAPBEXItemHeader 6 3" xfId="49979" xr:uid="{00000000-0005-0000-0000-0000F2C30000}"/>
    <cellStyle name="SAPBEXItemHeader 7" xfId="49980" xr:uid="{00000000-0005-0000-0000-0000F3C30000}"/>
    <cellStyle name="SAPBEXItemHeader 7 2" xfId="49981" xr:uid="{00000000-0005-0000-0000-0000F4C30000}"/>
    <cellStyle name="SAPBEXItemHeader 7 2 2" xfId="49982" xr:uid="{00000000-0005-0000-0000-0000F5C30000}"/>
    <cellStyle name="SAPBEXItemHeader 7 3" xfId="49983" xr:uid="{00000000-0005-0000-0000-0000F6C30000}"/>
    <cellStyle name="SAPBEXItemHeader 8" xfId="49984" xr:uid="{00000000-0005-0000-0000-0000F7C30000}"/>
    <cellStyle name="SAPBEXItemHeader 8 2" xfId="49985" xr:uid="{00000000-0005-0000-0000-0000F8C30000}"/>
    <cellStyle name="SAPBEXItemHeader 8 2 2" xfId="49986" xr:uid="{00000000-0005-0000-0000-0000F9C30000}"/>
    <cellStyle name="SAPBEXItemHeader 8 3" xfId="49987" xr:uid="{00000000-0005-0000-0000-0000FAC30000}"/>
    <cellStyle name="SAPBEXItemHeader 9" xfId="49988" xr:uid="{00000000-0005-0000-0000-0000FBC30000}"/>
    <cellStyle name="SAPBEXItemHeader 9 2" xfId="49989" xr:uid="{00000000-0005-0000-0000-0000FCC30000}"/>
    <cellStyle name="SAPBEXresData" xfId="69" xr:uid="{00000000-0005-0000-0000-0000FDC30000}"/>
    <cellStyle name="SAPBEXresData 10" xfId="49990" xr:uid="{00000000-0005-0000-0000-0000FEC30000}"/>
    <cellStyle name="SAPBEXresData 10 2" xfId="49991" xr:uid="{00000000-0005-0000-0000-0000FFC30000}"/>
    <cellStyle name="SAPBEXresData 11" xfId="49992" xr:uid="{00000000-0005-0000-0000-000000C40000}"/>
    <cellStyle name="SAPBEXresData 11 2" xfId="49993" xr:uid="{00000000-0005-0000-0000-000001C40000}"/>
    <cellStyle name="SAPBEXresData 12" xfId="49994" xr:uid="{00000000-0005-0000-0000-000002C40000}"/>
    <cellStyle name="SAPBEXresData 13" xfId="49995" xr:uid="{00000000-0005-0000-0000-000003C40000}"/>
    <cellStyle name="SAPBEXresData 2" xfId="49996" xr:uid="{00000000-0005-0000-0000-000004C40000}"/>
    <cellStyle name="SAPBEXresData 2 2" xfId="49997" xr:uid="{00000000-0005-0000-0000-000005C40000}"/>
    <cellStyle name="SAPBEXresData 2 2 2" xfId="49998" xr:uid="{00000000-0005-0000-0000-000006C40000}"/>
    <cellStyle name="SAPBEXresData 2 2 2 2" xfId="49999" xr:uid="{00000000-0005-0000-0000-000007C40000}"/>
    <cellStyle name="SAPBEXresData 2 2 3" xfId="50000" xr:uid="{00000000-0005-0000-0000-000008C40000}"/>
    <cellStyle name="SAPBEXresData 2 2 3 2" xfId="50001" xr:uid="{00000000-0005-0000-0000-000009C40000}"/>
    <cellStyle name="SAPBEXresData 2 2 3 2 2" xfId="50002" xr:uid="{00000000-0005-0000-0000-00000AC40000}"/>
    <cellStyle name="SAPBEXresData 2 2 3 3" xfId="50003" xr:uid="{00000000-0005-0000-0000-00000BC40000}"/>
    <cellStyle name="SAPBEXresData 2 2 4" xfId="50004" xr:uid="{00000000-0005-0000-0000-00000CC40000}"/>
    <cellStyle name="SAPBEXresData 2 3" xfId="50005" xr:uid="{00000000-0005-0000-0000-00000DC40000}"/>
    <cellStyle name="SAPBEXresData 2 3 2" xfId="50006" xr:uid="{00000000-0005-0000-0000-00000EC40000}"/>
    <cellStyle name="SAPBEXresData 2 3 2 2" xfId="50007" xr:uid="{00000000-0005-0000-0000-00000FC40000}"/>
    <cellStyle name="SAPBEXresData 2 3 3" xfId="50008" xr:uid="{00000000-0005-0000-0000-000010C40000}"/>
    <cellStyle name="SAPBEXresData 2 4" xfId="50009" xr:uid="{00000000-0005-0000-0000-000011C40000}"/>
    <cellStyle name="SAPBEXresData 2 4 2" xfId="50010" xr:uid="{00000000-0005-0000-0000-000012C40000}"/>
    <cellStyle name="SAPBEXresData 2 4 2 2" xfId="50011" xr:uid="{00000000-0005-0000-0000-000013C40000}"/>
    <cellStyle name="SAPBEXresData 2 4 3" xfId="50012" xr:uid="{00000000-0005-0000-0000-000014C40000}"/>
    <cellStyle name="SAPBEXresData 2 5" xfId="50013" xr:uid="{00000000-0005-0000-0000-000015C40000}"/>
    <cellStyle name="SAPBEXresData 2 5 2" xfId="50014" xr:uid="{00000000-0005-0000-0000-000016C40000}"/>
    <cellStyle name="SAPBEXresData 2 5 2 2" xfId="50015" xr:uid="{00000000-0005-0000-0000-000017C40000}"/>
    <cellStyle name="SAPBEXresData 2 5 3" xfId="50016" xr:uid="{00000000-0005-0000-0000-000018C40000}"/>
    <cellStyle name="SAPBEXresData 2 6" xfId="50017" xr:uid="{00000000-0005-0000-0000-000019C40000}"/>
    <cellStyle name="SAPBEXresData 2 6 2" xfId="50018" xr:uid="{00000000-0005-0000-0000-00001AC40000}"/>
    <cellStyle name="SAPBEXresData 2 7" xfId="50019" xr:uid="{00000000-0005-0000-0000-00001BC40000}"/>
    <cellStyle name="SAPBEXresData 3" xfId="50020" xr:uid="{00000000-0005-0000-0000-00001CC40000}"/>
    <cellStyle name="SAPBEXresData 3 2" xfId="50021" xr:uid="{00000000-0005-0000-0000-00001DC40000}"/>
    <cellStyle name="SAPBEXresData 3 2 2" xfId="50022" xr:uid="{00000000-0005-0000-0000-00001EC40000}"/>
    <cellStyle name="SAPBEXresData 3 3" xfId="50023" xr:uid="{00000000-0005-0000-0000-00001FC40000}"/>
    <cellStyle name="SAPBEXresData 3 3 2" xfId="50024" xr:uid="{00000000-0005-0000-0000-000020C40000}"/>
    <cellStyle name="SAPBEXresData 3 3 2 2" xfId="50025" xr:uid="{00000000-0005-0000-0000-000021C40000}"/>
    <cellStyle name="SAPBEXresData 3 3 3" xfId="50026" xr:uid="{00000000-0005-0000-0000-000022C40000}"/>
    <cellStyle name="SAPBEXresData 3 4" xfId="50027" xr:uid="{00000000-0005-0000-0000-000023C40000}"/>
    <cellStyle name="SAPBEXresData 3 4 2" xfId="50028" xr:uid="{00000000-0005-0000-0000-000024C40000}"/>
    <cellStyle name="SAPBEXresData 3 4 2 2" xfId="50029" xr:uid="{00000000-0005-0000-0000-000025C40000}"/>
    <cellStyle name="SAPBEXresData 3 4 3" xfId="50030" xr:uid="{00000000-0005-0000-0000-000026C40000}"/>
    <cellStyle name="SAPBEXresData 3 5" xfId="50031" xr:uid="{00000000-0005-0000-0000-000027C40000}"/>
    <cellStyle name="SAPBEXresData 4" xfId="50032" xr:uid="{00000000-0005-0000-0000-000028C40000}"/>
    <cellStyle name="SAPBEXresData 4 2" xfId="50033" xr:uid="{00000000-0005-0000-0000-000029C40000}"/>
    <cellStyle name="SAPBEXresData 4 2 2" xfId="50034" xr:uid="{00000000-0005-0000-0000-00002AC40000}"/>
    <cellStyle name="SAPBEXresData 4 2 2 2" xfId="50035" xr:uid="{00000000-0005-0000-0000-00002BC40000}"/>
    <cellStyle name="SAPBEXresData 4 2 3" xfId="50036" xr:uid="{00000000-0005-0000-0000-00002CC40000}"/>
    <cellStyle name="SAPBEXresData 4 2 3 2" xfId="50037" xr:uid="{00000000-0005-0000-0000-00002DC40000}"/>
    <cellStyle name="SAPBEXresData 4 2 3 2 2" xfId="50038" xr:uid="{00000000-0005-0000-0000-00002EC40000}"/>
    <cellStyle name="SAPBEXresData 4 2 3 3" xfId="50039" xr:uid="{00000000-0005-0000-0000-00002FC40000}"/>
    <cellStyle name="SAPBEXresData 4 2 4" xfId="50040" xr:uid="{00000000-0005-0000-0000-000030C40000}"/>
    <cellStyle name="SAPBEXresData 4 3" xfId="50041" xr:uid="{00000000-0005-0000-0000-000031C40000}"/>
    <cellStyle name="SAPBEXresData 4 3 2" xfId="50042" xr:uid="{00000000-0005-0000-0000-000032C40000}"/>
    <cellStyle name="SAPBEXresData 4 3 2 2" xfId="50043" xr:uid="{00000000-0005-0000-0000-000033C40000}"/>
    <cellStyle name="SAPBEXresData 4 3 3" xfId="50044" xr:uid="{00000000-0005-0000-0000-000034C40000}"/>
    <cellStyle name="SAPBEXresData 4 4" xfId="50045" xr:uid="{00000000-0005-0000-0000-000035C40000}"/>
    <cellStyle name="SAPBEXresData 4 4 2" xfId="50046" xr:uid="{00000000-0005-0000-0000-000036C40000}"/>
    <cellStyle name="SAPBEXresData 4 4 2 2" xfId="50047" xr:uid="{00000000-0005-0000-0000-000037C40000}"/>
    <cellStyle name="SAPBEXresData 4 4 3" xfId="50048" xr:uid="{00000000-0005-0000-0000-000038C40000}"/>
    <cellStyle name="SAPBEXresData 4 5" xfId="50049" xr:uid="{00000000-0005-0000-0000-000039C40000}"/>
    <cellStyle name="SAPBEXresData 4 5 2" xfId="50050" xr:uid="{00000000-0005-0000-0000-00003AC40000}"/>
    <cellStyle name="SAPBEXresData 4 5 2 2" xfId="50051" xr:uid="{00000000-0005-0000-0000-00003BC40000}"/>
    <cellStyle name="SAPBEXresData 4 5 3" xfId="50052" xr:uid="{00000000-0005-0000-0000-00003CC40000}"/>
    <cellStyle name="SAPBEXresData 4 6" xfId="50053" xr:uid="{00000000-0005-0000-0000-00003DC40000}"/>
    <cellStyle name="SAPBEXresData 5" xfId="50054" xr:uid="{00000000-0005-0000-0000-00003EC40000}"/>
    <cellStyle name="SAPBEXresData 5 2" xfId="50055" xr:uid="{00000000-0005-0000-0000-00003FC40000}"/>
    <cellStyle name="SAPBEXresData 5 2 2" xfId="50056" xr:uid="{00000000-0005-0000-0000-000040C40000}"/>
    <cellStyle name="SAPBEXresData 5 3" xfId="50057" xr:uid="{00000000-0005-0000-0000-000041C40000}"/>
    <cellStyle name="SAPBEXresData 6" xfId="50058" xr:uid="{00000000-0005-0000-0000-000042C40000}"/>
    <cellStyle name="SAPBEXresData 6 2" xfId="50059" xr:uid="{00000000-0005-0000-0000-000043C40000}"/>
    <cellStyle name="SAPBEXresData 6 2 2" xfId="50060" xr:uid="{00000000-0005-0000-0000-000044C40000}"/>
    <cellStyle name="SAPBEXresData 6 3" xfId="50061" xr:uid="{00000000-0005-0000-0000-000045C40000}"/>
    <cellStyle name="SAPBEXresData 7" xfId="50062" xr:uid="{00000000-0005-0000-0000-000046C40000}"/>
    <cellStyle name="SAPBEXresData 7 2" xfId="50063" xr:uid="{00000000-0005-0000-0000-000047C40000}"/>
    <cellStyle name="SAPBEXresData 7 2 2" xfId="50064" xr:uid="{00000000-0005-0000-0000-000048C40000}"/>
    <cellStyle name="SAPBEXresData 7 3" xfId="50065" xr:uid="{00000000-0005-0000-0000-000049C40000}"/>
    <cellStyle name="SAPBEXresData 8" xfId="50066" xr:uid="{00000000-0005-0000-0000-00004AC40000}"/>
    <cellStyle name="SAPBEXresData 8 2" xfId="50067" xr:uid="{00000000-0005-0000-0000-00004BC40000}"/>
    <cellStyle name="SAPBEXresData 9" xfId="50068" xr:uid="{00000000-0005-0000-0000-00004CC40000}"/>
    <cellStyle name="SAPBEXresData 9 2" xfId="50069" xr:uid="{00000000-0005-0000-0000-00004DC40000}"/>
    <cellStyle name="SAPBEXresDataEmph" xfId="70" xr:uid="{00000000-0005-0000-0000-00004EC40000}"/>
    <cellStyle name="SAPBEXresDataEmph 10" xfId="50070" xr:uid="{00000000-0005-0000-0000-00004FC40000}"/>
    <cellStyle name="SAPBEXresDataEmph 10 2" xfId="50071" xr:uid="{00000000-0005-0000-0000-000050C40000}"/>
    <cellStyle name="SAPBEXresDataEmph 11" xfId="50072" xr:uid="{00000000-0005-0000-0000-000051C40000}"/>
    <cellStyle name="SAPBEXresDataEmph 11 2" xfId="50073" xr:uid="{00000000-0005-0000-0000-000052C40000}"/>
    <cellStyle name="SAPBEXresDataEmph 12" xfId="50074" xr:uid="{00000000-0005-0000-0000-000053C40000}"/>
    <cellStyle name="SAPBEXresDataEmph 2" xfId="50075" xr:uid="{00000000-0005-0000-0000-000054C40000}"/>
    <cellStyle name="SAPBEXresDataEmph 2 2" xfId="50076" xr:uid="{00000000-0005-0000-0000-000055C40000}"/>
    <cellStyle name="SAPBEXresDataEmph 2 2 2" xfId="50077" xr:uid="{00000000-0005-0000-0000-000056C40000}"/>
    <cellStyle name="SAPBEXresDataEmph 2 2 3" xfId="50078" xr:uid="{00000000-0005-0000-0000-000057C40000}"/>
    <cellStyle name="SAPBEXresDataEmph 2 2 3 2" xfId="50079" xr:uid="{00000000-0005-0000-0000-000058C40000}"/>
    <cellStyle name="SAPBEXresDataEmph 2 2 3 2 2" xfId="50080" xr:uid="{00000000-0005-0000-0000-000059C40000}"/>
    <cellStyle name="SAPBEXresDataEmph 2 2 3 3" xfId="50081" xr:uid="{00000000-0005-0000-0000-00005AC40000}"/>
    <cellStyle name="SAPBEXresDataEmph 2 3" xfId="50082" xr:uid="{00000000-0005-0000-0000-00005BC40000}"/>
    <cellStyle name="SAPBEXresDataEmph 2 3 2" xfId="50083" xr:uid="{00000000-0005-0000-0000-00005CC40000}"/>
    <cellStyle name="SAPBEXresDataEmph 2 4" xfId="50084" xr:uid="{00000000-0005-0000-0000-00005DC40000}"/>
    <cellStyle name="SAPBEXresDataEmph 2 4 2" xfId="50085" xr:uid="{00000000-0005-0000-0000-00005EC40000}"/>
    <cellStyle name="SAPBEXresDataEmph 2 4 2 2" xfId="50086" xr:uid="{00000000-0005-0000-0000-00005FC40000}"/>
    <cellStyle name="SAPBEXresDataEmph 2 4 3" xfId="50087" xr:uid="{00000000-0005-0000-0000-000060C40000}"/>
    <cellStyle name="SAPBEXresDataEmph 2 5" xfId="50088" xr:uid="{00000000-0005-0000-0000-000061C40000}"/>
    <cellStyle name="SAPBEXresDataEmph 2 5 2" xfId="50089" xr:uid="{00000000-0005-0000-0000-000062C40000}"/>
    <cellStyle name="SAPBEXresDataEmph 2 5 2 2" xfId="50090" xr:uid="{00000000-0005-0000-0000-000063C40000}"/>
    <cellStyle name="SAPBEXresDataEmph 2 5 3" xfId="50091" xr:uid="{00000000-0005-0000-0000-000064C40000}"/>
    <cellStyle name="SAPBEXresDataEmph 2 6" xfId="50092" xr:uid="{00000000-0005-0000-0000-000065C40000}"/>
    <cellStyle name="SAPBEXresDataEmph 3" xfId="50093" xr:uid="{00000000-0005-0000-0000-000066C40000}"/>
    <cellStyle name="SAPBEXresDataEmph 3 2" xfId="50094" xr:uid="{00000000-0005-0000-0000-000067C40000}"/>
    <cellStyle name="SAPBEXresDataEmph 3 2 2" xfId="50095" xr:uid="{00000000-0005-0000-0000-000068C40000}"/>
    <cellStyle name="SAPBEXresDataEmph 3 3" xfId="50096" xr:uid="{00000000-0005-0000-0000-000069C40000}"/>
    <cellStyle name="SAPBEXresDataEmph 3 3 2" xfId="50097" xr:uid="{00000000-0005-0000-0000-00006AC40000}"/>
    <cellStyle name="SAPBEXresDataEmph 3 3 2 2" xfId="50098" xr:uid="{00000000-0005-0000-0000-00006BC40000}"/>
    <cellStyle name="SAPBEXresDataEmph 3 3 3" xfId="50099" xr:uid="{00000000-0005-0000-0000-00006CC40000}"/>
    <cellStyle name="SAPBEXresDataEmph 3 4" xfId="50100" xr:uid="{00000000-0005-0000-0000-00006DC40000}"/>
    <cellStyle name="SAPBEXresDataEmph 3 4 2" xfId="50101" xr:uid="{00000000-0005-0000-0000-00006EC40000}"/>
    <cellStyle name="SAPBEXresDataEmph 3 4 2 2" xfId="50102" xr:uid="{00000000-0005-0000-0000-00006FC40000}"/>
    <cellStyle name="SAPBEXresDataEmph 3 4 3" xfId="50103" xr:uid="{00000000-0005-0000-0000-000070C40000}"/>
    <cellStyle name="SAPBEXresDataEmph 3 5" xfId="50104" xr:uid="{00000000-0005-0000-0000-000071C40000}"/>
    <cellStyle name="SAPBEXresDataEmph 4" xfId="50105" xr:uid="{00000000-0005-0000-0000-000072C40000}"/>
    <cellStyle name="SAPBEXresDataEmph 4 2" xfId="50106" xr:uid="{00000000-0005-0000-0000-000073C40000}"/>
    <cellStyle name="SAPBEXresDataEmph 4 2 2" xfId="50107" xr:uid="{00000000-0005-0000-0000-000074C40000}"/>
    <cellStyle name="SAPBEXresDataEmph 4 2 2 2" xfId="50108" xr:uid="{00000000-0005-0000-0000-000075C40000}"/>
    <cellStyle name="SAPBEXresDataEmph 4 2 3" xfId="50109" xr:uid="{00000000-0005-0000-0000-000076C40000}"/>
    <cellStyle name="SAPBEXresDataEmph 4 2 3 2" xfId="50110" xr:uid="{00000000-0005-0000-0000-000077C40000}"/>
    <cellStyle name="SAPBEXresDataEmph 4 2 3 2 2" xfId="50111" xr:uid="{00000000-0005-0000-0000-000078C40000}"/>
    <cellStyle name="SAPBEXresDataEmph 4 2 3 3" xfId="50112" xr:uid="{00000000-0005-0000-0000-000079C40000}"/>
    <cellStyle name="SAPBEXresDataEmph 4 2 4" xfId="50113" xr:uid="{00000000-0005-0000-0000-00007AC40000}"/>
    <cellStyle name="SAPBEXresDataEmph 4 3" xfId="50114" xr:uid="{00000000-0005-0000-0000-00007BC40000}"/>
    <cellStyle name="SAPBEXresDataEmph 4 3 2" xfId="50115" xr:uid="{00000000-0005-0000-0000-00007CC40000}"/>
    <cellStyle name="SAPBEXresDataEmph 4 3 2 2" xfId="50116" xr:uid="{00000000-0005-0000-0000-00007DC40000}"/>
    <cellStyle name="SAPBEXresDataEmph 4 3 3" xfId="50117" xr:uid="{00000000-0005-0000-0000-00007EC40000}"/>
    <cellStyle name="SAPBEXresDataEmph 4 4" xfId="50118" xr:uid="{00000000-0005-0000-0000-00007FC40000}"/>
    <cellStyle name="SAPBEXresDataEmph 4 4 2" xfId="50119" xr:uid="{00000000-0005-0000-0000-000080C40000}"/>
    <cellStyle name="SAPBEXresDataEmph 4 4 2 2" xfId="50120" xr:uid="{00000000-0005-0000-0000-000081C40000}"/>
    <cellStyle name="SAPBEXresDataEmph 4 4 3" xfId="50121" xr:uid="{00000000-0005-0000-0000-000082C40000}"/>
    <cellStyle name="SAPBEXresDataEmph 4 5" xfId="50122" xr:uid="{00000000-0005-0000-0000-000083C40000}"/>
    <cellStyle name="SAPBEXresDataEmph 4 5 2" xfId="50123" xr:uid="{00000000-0005-0000-0000-000084C40000}"/>
    <cellStyle name="SAPBEXresDataEmph 4 5 2 2" xfId="50124" xr:uid="{00000000-0005-0000-0000-000085C40000}"/>
    <cellStyle name="SAPBEXresDataEmph 4 5 3" xfId="50125" xr:uid="{00000000-0005-0000-0000-000086C40000}"/>
    <cellStyle name="SAPBEXresDataEmph 4 6" xfId="50126" xr:uid="{00000000-0005-0000-0000-000087C40000}"/>
    <cellStyle name="SAPBEXresDataEmph 5" xfId="50127" xr:uid="{00000000-0005-0000-0000-000088C40000}"/>
    <cellStyle name="SAPBEXresDataEmph 5 2" xfId="50128" xr:uid="{00000000-0005-0000-0000-000089C40000}"/>
    <cellStyle name="SAPBEXresDataEmph 5 2 2" xfId="50129" xr:uid="{00000000-0005-0000-0000-00008AC40000}"/>
    <cellStyle name="SAPBEXresDataEmph 5 3" xfId="50130" xr:uid="{00000000-0005-0000-0000-00008BC40000}"/>
    <cellStyle name="SAPBEXresDataEmph 6" xfId="50131" xr:uid="{00000000-0005-0000-0000-00008CC40000}"/>
    <cellStyle name="SAPBEXresDataEmph 6 2" xfId="50132" xr:uid="{00000000-0005-0000-0000-00008DC40000}"/>
    <cellStyle name="SAPBEXresDataEmph 6 2 2" xfId="50133" xr:uid="{00000000-0005-0000-0000-00008EC40000}"/>
    <cellStyle name="SAPBEXresDataEmph 6 3" xfId="50134" xr:uid="{00000000-0005-0000-0000-00008FC40000}"/>
    <cellStyle name="SAPBEXresDataEmph 7" xfId="50135" xr:uid="{00000000-0005-0000-0000-000090C40000}"/>
    <cellStyle name="SAPBEXresDataEmph 7 2" xfId="50136" xr:uid="{00000000-0005-0000-0000-000091C40000}"/>
    <cellStyle name="SAPBEXresDataEmph 7 2 2" xfId="50137" xr:uid="{00000000-0005-0000-0000-000092C40000}"/>
    <cellStyle name="SAPBEXresDataEmph 7 3" xfId="50138" xr:uid="{00000000-0005-0000-0000-000093C40000}"/>
    <cellStyle name="SAPBEXresDataEmph 8" xfId="50139" xr:uid="{00000000-0005-0000-0000-000094C40000}"/>
    <cellStyle name="SAPBEXresDataEmph 8 2" xfId="50140" xr:uid="{00000000-0005-0000-0000-000095C40000}"/>
    <cellStyle name="SAPBEXresDataEmph 9" xfId="50141" xr:uid="{00000000-0005-0000-0000-000096C40000}"/>
    <cellStyle name="SAPBEXresDataEmph 9 2" xfId="50142" xr:uid="{00000000-0005-0000-0000-000097C40000}"/>
    <cellStyle name="SAPBEXresItem" xfId="71" xr:uid="{00000000-0005-0000-0000-000098C40000}"/>
    <cellStyle name="SAPBEXresItem 10" xfId="50143" xr:uid="{00000000-0005-0000-0000-000099C40000}"/>
    <cellStyle name="SAPBEXresItem 10 2" xfId="50144" xr:uid="{00000000-0005-0000-0000-00009AC40000}"/>
    <cellStyle name="SAPBEXresItem 11" xfId="50145" xr:uid="{00000000-0005-0000-0000-00009BC40000}"/>
    <cellStyle name="SAPBEXresItem 11 2" xfId="50146" xr:uid="{00000000-0005-0000-0000-00009CC40000}"/>
    <cellStyle name="SAPBEXresItem 12" xfId="50147" xr:uid="{00000000-0005-0000-0000-00009DC40000}"/>
    <cellStyle name="SAPBEXresItem 13" xfId="50148" xr:uid="{00000000-0005-0000-0000-00009EC40000}"/>
    <cellStyle name="SAPBEXresItem 2" xfId="50149" xr:uid="{00000000-0005-0000-0000-00009FC40000}"/>
    <cellStyle name="SAPBEXresItem 2 2" xfId="50150" xr:uid="{00000000-0005-0000-0000-0000A0C40000}"/>
    <cellStyle name="SAPBEXresItem 2 2 2" xfId="50151" xr:uid="{00000000-0005-0000-0000-0000A1C40000}"/>
    <cellStyle name="SAPBEXresItem 2 2 2 2" xfId="50152" xr:uid="{00000000-0005-0000-0000-0000A2C40000}"/>
    <cellStyle name="SAPBEXresItem 2 2 3" xfId="50153" xr:uid="{00000000-0005-0000-0000-0000A3C40000}"/>
    <cellStyle name="SAPBEXresItem 2 2 3 2" xfId="50154" xr:uid="{00000000-0005-0000-0000-0000A4C40000}"/>
    <cellStyle name="SAPBEXresItem 2 2 3 2 2" xfId="50155" xr:uid="{00000000-0005-0000-0000-0000A5C40000}"/>
    <cellStyle name="SAPBEXresItem 2 2 3 3" xfId="50156" xr:uid="{00000000-0005-0000-0000-0000A6C40000}"/>
    <cellStyle name="SAPBEXresItem 2 2 4" xfId="50157" xr:uid="{00000000-0005-0000-0000-0000A7C40000}"/>
    <cellStyle name="SAPBEXresItem 2 3" xfId="50158" xr:uid="{00000000-0005-0000-0000-0000A8C40000}"/>
    <cellStyle name="SAPBEXresItem 2 3 2" xfId="50159" xr:uid="{00000000-0005-0000-0000-0000A9C40000}"/>
    <cellStyle name="SAPBEXresItem 2 3 2 2" xfId="50160" xr:uid="{00000000-0005-0000-0000-0000AAC40000}"/>
    <cellStyle name="SAPBEXresItem 2 3 3" xfId="50161" xr:uid="{00000000-0005-0000-0000-0000ABC40000}"/>
    <cellStyle name="SAPBEXresItem 2 4" xfId="50162" xr:uid="{00000000-0005-0000-0000-0000ACC40000}"/>
    <cellStyle name="SAPBEXresItem 2 4 2" xfId="50163" xr:uid="{00000000-0005-0000-0000-0000ADC40000}"/>
    <cellStyle name="SAPBEXresItem 2 4 2 2" xfId="50164" xr:uid="{00000000-0005-0000-0000-0000AEC40000}"/>
    <cellStyle name="SAPBEXresItem 2 4 3" xfId="50165" xr:uid="{00000000-0005-0000-0000-0000AFC40000}"/>
    <cellStyle name="SAPBEXresItem 2 5" xfId="50166" xr:uid="{00000000-0005-0000-0000-0000B0C40000}"/>
    <cellStyle name="SAPBEXresItem 2 5 2" xfId="50167" xr:uid="{00000000-0005-0000-0000-0000B1C40000}"/>
    <cellStyle name="SAPBEXresItem 2 5 2 2" xfId="50168" xr:uid="{00000000-0005-0000-0000-0000B2C40000}"/>
    <cellStyle name="SAPBEXresItem 2 5 3" xfId="50169" xr:uid="{00000000-0005-0000-0000-0000B3C40000}"/>
    <cellStyle name="SAPBEXresItem 2 6" xfId="50170" xr:uid="{00000000-0005-0000-0000-0000B4C40000}"/>
    <cellStyle name="SAPBEXresItem 2 6 2" xfId="50171" xr:uid="{00000000-0005-0000-0000-0000B5C40000}"/>
    <cellStyle name="SAPBEXresItem 2 7" xfId="50172" xr:uid="{00000000-0005-0000-0000-0000B6C40000}"/>
    <cellStyle name="SAPBEXresItem 3" xfId="50173" xr:uid="{00000000-0005-0000-0000-0000B7C40000}"/>
    <cellStyle name="SAPBEXresItem 3 2" xfId="50174" xr:uid="{00000000-0005-0000-0000-0000B8C40000}"/>
    <cellStyle name="SAPBEXresItem 3 2 2" xfId="50175" xr:uid="{00000000-0005-0000-0000-0000B9C40000}"/>
    <cellStyle name="SAPBEXresItem 3 3" xfId="50176" xr:uid="{00000000-0005-0000-0000-0000BAC40000}"/>
    <cellStyle name="SAPBEXresItem 3 3 2" xfId="50177" xr:uid="{00000000-0005-0000-0000-0000BBC40000}"/>
    <cellStyle name="SAPBEXresItem 3 3 2 2" xfId="50178" xr:uid="{00000000-0005-0000-0000-0000BCC40000}"/>
    <cellStyle name="SAPBEXresItem 3 3 3" xfId="50179" xr:uid="{00000000-0005-0000-0000-0000BDC40000}"/>
    <cellStyle name="SAPBEXresItem 3 4" xfId="50180" xr:uid="{00000000-0005-0000-0000-0000BEC40000}"/>
    <cellStyle name="SAPBEXresItem 3 4 2" xfId="50181" xr:uid="{00000000-0005-0000-0000-0000BFC40000}"/>
    <cellStyle name="SAPBEXresItem 3 4 2 2" xfId="50182" xr:uid="{00000000-0005-0000-0000-0000C0C40000}"/>
    <cellStyle name="SAPBEXresItem 3 4 3" xfId="50183" xr:uid="{00000000-0005-0000-0000-0000C1C40000}"/>
    <cellStyle name="SAPBEXresItem 3 5" xfId="50184" xr:uid="{00000000-0005-0000-0000-0000C2C40000}"/>
    <cellStyle name="SAPBEXresItem 4" xfId="50185" xr:uid="{00000000-0005-0000-0000-0000C3C40000}"/>
    <cellStyle name="SAPBEXresItem 4 2" xfId="50186" xr:uid="{00000000-0005-0000-0000-0000C4C40000}"/>
    <cellStyle name="SAPBEXresItem 4 2 2" xfId="50187" xr:uid="{00000000-0005-0000-0000-0000C5C40000}"/>
    <cellStyle name="SAPBEXresItem 4 2 2 2" xfId="50188" xr:uid="{00000000-0005-0000-0000-0000C6C40000}"/>
    <cellStyle name="SAPBEXresItem 4 2 3" xfId="50189" xr:uid="{00000000-0005-0000-0000-0000C7C40000}"/>
    <cellStyle name="SAPBEXresItem 4 2 3 2" xfId="50190" xr:uid="{00000000-0005-0000-0000-0000C8C40000}"/>
    <cellStyle name="SAPBEXresItem 4 2 3 2 2" xfId="50191" xr:uid="{00000000-0005-0000-0000-0000C9C40000}"/>
    <cellStyle name="SAPBEXresItem 4 2 3 3" xfId="50192" xr:uid="{00000000-0005-0000-0000-0000CAC40000}"/>
    <cellStyle name="SAPBEXresItem 4 2 4" xfId="50193" xr:uid="{00000000-0005-0000-0000-0000CBC40000}"/>
    <cellStyle name="SAPBEXresItem 4 3" xfId="50194" xr:uid="{00000000-0005-0000-0000-0000CCC40000}"/>
    <cellStyle name="SAPBEXresItem 4 3 2" xfId="50195" xr:uid="{00000000-0005-0000-0000-0000CDC40000}"/>
    <cellStyle name="SAPBEXresItem 4 3 2 2" xfId="50196" xr:uid="{00000000-0005-0000-0000-0000CEC40000}"/>
    <cellStyle name="SAPBEXresItem 4 3 3" xfId="50197" xr:uid="{00000000-0005-0000-0000-0000CFC40000}"/>
    <cellStyle name="SAPBEXresItem 4 4" xfId="50198" xr:uid="{00000000-0005-0000-0000-0000D0C40000}"/>
    <cellStyle name="SAPBEXresItem 4 4 2" xfId="50199" xr:uid="{00000000-0005-0000-0000-0000D1C40000}"/>
    <cellStyle name="SAPBEXresItem 4 4 2 2" xfId="50200" xr:uid="{00000000-0005-0000-0000-0000D2C40000}"/>
    <cellStyle name="SAPBEXresItem 4 4 3" xfId="50201" xr:uid="{00000000-0005-0000-0000-0000D3C40000}"/>
    <cellStyle name="SAPBEXresItem 4 5" xfId="50202" xr:uid="{00000000-0005-0000-0000-0000D4C40000}"/>
    <cellStyle name="SAPBEXresItem 4 5 2" xfId="50203" xr:uid="{00000000-0005-0000-0000-0000D5C40000}"/>
    <cellStyle name="SAPBEXresItem 4 5 2 2" xfId="50204" xr:uid="{00000000-0005-0000-0000-0000D6C40000}"/>
    <cellStyle name="SAPBEXresItem 4 5 3" xfId="50205" xr:uid="{00000000-0005-0000-0000-0000D7C40000}"/>
    <cellStyle name="SAPBEXresItem 4 6" xfId="50206" xr:uid="{00000000-0005-0000-0000-0000D8C40000}"/>
    <cellStyle name="SAPBEXresItem 5" xfId="50207" xr:uid="{00000000-0005-0000-0000-0000D9C40000}"/>
    <cellStyle name="SAPBEXresItem 5 2" xfId="50208" xr:uid="{00000000-0005-0000-0000-0000DAC40000}"/>
    <cellStyle name="SAPBEXresItem 5 2 2" xfId="50209" xr:uid="{00000000-0005-0000-0000-0000DBC40000}"/>
    <cellStyle name="SAPBEXresItem 5 3" xfId="50210" xr:uid="{00000000-0005-0000-0000-0000DCC40000}"/>
    <cellStyle name="SAPBEXresItem 6" xfId="50211" xr:uid="{00000000-0005-0000-0000-0000DDC40000}"/>
    <cellStyle name="SAPBEXresItem 6 2" xfId="50212" xr:uid="{00000000-0005-0000-0000-0000DEC40000}"/>
    <cellStyle name="SAPBEXresItem 6 2 2" xfId="50213" xr:uid="{00000000-0005-0000-0000-0000DFC40000}"/>
    <cellStyle name="SAPBEXresItem 6 3" xfId="50214" xr:uid="{00000000-0005-0000-0000-0000E0C40000}"/>
    <cellStyle name="SAPBEXresItem 7" xfId="50215" xr:uid="{00000000-0005-0000-0000-0000E1C40000}"/>
    <cellStyle name="SAPBEXresItem 7 2" xfId="50216" xr:uid="{00000000-0005-0000-0000-0000E2C40000}"/>
    <cellStyle name="SAPBEXresItem 7 2 2" xfId="50217" xr:uid="{00000000-0005-0000-0000-0000E3C40000}"/>
    <cellStyle name="SAPBEXresItem 7 3" xfId="50218" xr:uid="{00000000-0005-0000-0000-0000E4C40000}"/>
    <cellStyle name="SAPBEXresItem 8" xfId="50219" xr:uid="{00000000-0005-0000-0000-0000E5C40000}"/>
    <cellStyle name="SAPBEXresItem 8 2" xfId="50220" xr:uid="{00000000-0005-0000-0000-0000E6C40000}"/>
    <cellStyle name="SAPBEXresItem 9" xfId="50221" xr:uid="{00000000-0005-0000-0000-0000E7C40000}"/>
    <cellStyle name="SAPBEXresItem 9 2" xfId="50222" xr:uid="{00000000-0005-0000-0000-0000E8C40000}"/>
    <cellStyle name="SAPBEXresItemX" xfId="72" xr:uid="{00000000-0005-0000-0000-0000E9C40000}"/>
    <cellStyle name="SAPBEXresItemX 10" xfId="50223" xr:uid="{00000000-0005-0000-0000-0000EAC40000}"/>
    <cellStyle name="SAPBEXresItemX 10 2" xfId="50224" xr:uid="{00000000-0005-0000-0000-0000EBC40000}"/>
    <cellStyle name="SAPBEXresItemX 10 2 2" xfId="50225" xr:uid="{00000000-0005-0000-0000-0000ECC40000}"/>
    <cellStyle name="SAPBEXresItemX 10 3" xfId="50226" xr:uid="{00000000-0005-0000-0000-0000EDC40000}"/>
    <cellStyle name="SAPBEXresItemX 11" xfId="50227" xr:uid="{00000000-0005-0000-0000-0000EEC40000}"/>
    <cellStyle name="SAPBEXresItemX 11 2" xfId="50228" xr:uid="{00000000-0005-0000-0000-0000EFC40000}"/>
    <cellStyle name="SAPBEXresItemX 12" xfId="50229" xr:uid="{00000000-0005-0000-0000-0000F0C40000}"/>
    <cellStyle name="SAPBEXresItemX 12 2" xfId="50230" xr:uid="{00000000-0005-0000-0000-0000F1C40000}"/>
    <cellStyle name="SAPBEXresItemX 12 2 2" xfId="50231" xr:uid="{00000000-0005-0000-0000-0000F2C40000}"/>
    <cellStyle name="SAPBEXresItemX 12 3" xfId="50232" xr:uid="{00000000-0005-0000-0000-0000F3C40000}"/>
    <cellStyle name="SAPBEXresItemX 12 3 2" xfId="50233" xr:uid="{00000000-0005-0000-0000-0000F4C40000}"/>
    <cellStyle name="SAPBEXresItemX 12 4" xfId="50234" xr:uid="{00000000-0005-0000-0000-0000F5C40000}"/>
    <cellStyle name="SAPBEXresItemX 13" xfId="50235" xr:uid="{00000000-0005-0000-0000-0000F6C40000}"/>
    <cellStyle name="SAPBEXresItemX 13 2" xfId="50236" xr:uid="{00000000-0005-0000-0000-0000F7C40000}"/>
    <cellStyle name="SAPBEXresItemX 14" xfId="50237" xr:uid="{00000000-0005-0000-0000-0000F8C40000}"/>
    <cellStyle name="SAPBEXresItemX 14 2" xfId="50238" xr:uid="{00000000-0005-0000-0000-0000F9C40000}"/>
    <cellStyle name="SAPBEXresItemX 15" xfId="50239" xr:uid="{00000000-0005-0000-0000-0000FAC40000}"/>
    <cellStyle name="SAPBEXresItemX 15 2" xfId="50240" xr:uid="{00000000-0005-0000-0000-0000FBC40000}"/>
    <cellStyle name="SAPBEXresItemX 16" xfId="50241" xr:uid="{00000000-0005-0000-0000-0000FCC40000}"/>
    <cellStyle name="SAPBEXresItemX 17" xfId="50242" xr:uid="{00000000-0005-0000-0000-0000FDC40000}"/>
    <cellStyle name="SAPBEXresItemX 2" xfId="50243" xr:uid="{00000000-0005-0000-0000-0000FEC40000}"/>
    <cellStyle name="SAPBEXresItemX 2 10" xfId="50244" xr:uid="{00000000-0005-0000-0000-0000FFC40000}"/>
    <cellStyle name="SAPBEXresItemX 2 2" xfId="50245" xr:uid="{00000000-0005-0000-0000-000000C50000}"/>
    <cellStyle name="SAPBEXresItemX 2 2 2" xfId="50246" xr:uid="{00000000-0005-0000-0000-000001C50000}"/>
    <cellStyle name="SAPBEXresItemX 2 2 2 2" xfId="50247" xr:uid="{00000000-0005-0000-0000-000002C50000}"/>
    <cellStyle name="SAPBEXresItemX 2 2 2 2 2" xfId="50248" xr:uid="{00000000-0005-0000-0000-000003C50000}"/>
    <cellStyle name="SAPBEXresItemX 2 2 2 2 2 2" xfId="50249" xr:uid="{00000000-0005-0000-0000-000004C50000}"/>
    <cellStyle name="SAPBEXresItemX 2 2 2 2 3" xfId="50250" xr:uid="{00000000-0005-0000-0000-000005C50000}"/>
    <cellStyle name="SAPBEXresItemX 2 2 2 3" xfId="50251" xr:uid="{00000000-0005-0000-0000-000006C50000}"/>
    <cellStyle name="SAPBEXresItemX 2 2 2 3 2" xfId="50252" xr:uid="{00000000-0005-0000-0000-000007C50000}"/>
    <cellStyle name="SAPBEXresItemX 2 2 2 4" xfId="50253" xr:uid="{00000000-0005-0000-0000-000008C50000}"/>
    <cellStyle name="SAPBEXresItemX 2 2 3" xfId="50254" xr:uid="{00000000-0005-0000-0000-000009C50000}"/>
    <cellStyle name="SAPBEXresItemX 2 2 3 2" xfId="50255" xr:uid="{00000000-0005-0000-0000-00000AC50000}"/>
    <cellStyle name="SAPBEXresItemX 2 2 3 2 2" xfId="50256" xr:uid="{00000000-0005-0000-0000-00000BC50000}"/>
    <cellStyle name="SAPBEXresItemX 2 2 3 3" xfId="50257" xr:uid="{00000000-0005-0000-0000-00000CC50000}"/>
    <cellStyle name="SAPBEXresItemX 2 2 4" xfId="50258" xr:uid="{00000000-0005-0000-0000-00000DC50000}"/>
    <cellStyle name="SAPBEXresItemX 2 2 4 2" xfId="50259" xr:uid="{00000000-0005-0000-0000-00000EC50000}"/>
    <cellStyle name="SAPBEXresItemX 2 2 4 2 2" xfId="50260" xr:uid="{00000000-0005-0000-0000-00000FC50000}"/>
    <cellStyle name="SAPBEXresItemX 2 2 4 3" xfId="50261" xr:uid="{00000000-0005-0000-0000-000010C50000}"/>
    <cellStyle name="SAPBEXresItemX 2 2 5" xfId="50262" xr:uid="{00000000-0005-0000-0000-000011C50000}"/>
    <cellStyle name="SAPBEXresItemX 2 2 5 2" xfId="50263" xr:uid="{00000000-0005-0000-0000-000012C50000}"/>
    <cellStyle name="SAPBEXresItemX 2 2 5 2 2" xfId="50264" xr:uid="{00000000-0005-0000-0000-000013C50000}"/>
    <cellStyle name="SAPBEXresItemX 2 2 5 3" xfId="50265" xr:uid="{00000000-0005-0000-0000-000014C50000}"/>
    <cellStyle name="SAPBEXresItemX 2 2 6" xfId="50266" xr:uid="{00000000-0005-0000-0000-000015C50000}"/>
    <cellStyle name="SAPBEXresItemX 2 2 6 2" xfId="50267" xr:uid="{00000000-0005-0000-0000-000016C50000}"/>
    <cellStyle name="SAPBEXresItemX 2 2 7" xfId="50268" xr:uid="{00000000-0005-0000-0000-000017C50000}"/>
    <cellStyle name="SAPBEXresItemX 2 3" xfId="50269" xr:uid="{00000000-0005-0000-0000-000018C50000}"/>
    <cellStyle name="SAPBEXresItemX 2 3 2" xfId="50270" xr:uid="{00000000-0005-0000-0000-000019C50000}"/>
    <cellStyle name="SAPBEXresItemX 2 3 2 2" xfId="50271" xr:uid="{00000000-0005-0000-0000-00001AC50000}"/>
    <cellStyle name="SAPBEXresItemX 2 3 2 2 2" xfId="50272" xr:uid="{00000000-0005-0000-0000-00001BC50000}"/>
    <cellStyle name="SAPBEXresItemX 2 3 2 2 2 2" xfId="50273" xr:uid="{00000000-0005-0000-0000-00001CC50000}"/>
    <cellStyle name="SAPBEXresItemX 2 3 2 2 2 2 2" xfId="50274" xr:uid="{00000000-0005-0000-0000-00001DC50000}"/>
    <cellStyle name="SAPBEXresItemX 2 3 2 2 2 3" xfId="50275" xr:uid="{00000000-0005-0000-0000-00001EC50000}"/>
    <cellStyle name="SAPBEXresItemX 2 3 2 2 3" xfId="50276" xr:uid="{00000000-0005-0000-0000-00001FC50000}"/>
    <cellStyle name="SAPBEXresItemX 2 3 2 2 3 2" xfId="50277" xr:uid="{00000000-0005-0000-0000-000020C50000}"/>
    <cellStyle name="SAPBEXresItemX 2 3 2 2 4" xfId="50278" xr:uid="{00000000-0005-0000-0000-000021C50000}"/>
    <cellStyle name="SAPBEXresItemX 2 3 2 3" xfId="50279" xr:uid="{00000000-0005-0000-0000-000022C50000}"/>
    <cellStyle name="SAPBEXresItemX 2 3 2 3 2" xfId="50280" xr:uid="{00000000-0005-0000-0000-000023C50000}"/>
    <cellStyle name="SAPBEXresItemX 2 3 2 3 2 2" xfId="50281" xr:uid="{00000000-0005-0000-0000-000024C50000}"/>
    <cellStyle name="SAPBEXresItemX 2 3 2 3 3" xfId="50282" xr:uid="{00000000-0005-0000-0000-000025C50000}"/>
    <cellStyle name="SAPBEXresItemX 2 3 2 4" xfId="50283" xr:uid="{00000000-0005-0000-0000-000026C50000}"/>
    <cellStyle name="SAPBEXresItemX 2 3 2 4 2" xfId="50284" xr:uid="{00000000-0005-0000-0000-000027C50000}"/>
    <cellStyle name="SAPBEXresItemX 2 3 2 4 2 2" xfId="50285" xr:uid="{00000000-0005-0000-0000-000028C50000}"/>
    <cellStyle name="SAPBEXresItemX 2 3 2 4 3" xfId="50286" xr:uid="{00000000-0005-0000-0000-000029C50000}"/>
    <cellStyle name="SAPBEXresItemX 2 3 2 5" xfId="50287" xr:uid="{00000000-0005-0000-0000-00002AC50000}"/>
    <cellStyle name="SAPBEXresItemX 2 3 2 5 2" xfId="50288" xr:uid="{00000000-0005-0000-0000-00002BC50000}"/>
    <cellStyle name="SAPBEXresItemX 2 3 2 6" xfId="50289" xr:uid="{00000000-0005-0000-0000-00002CC50000}"/>
    <cellStyle name="SAPBEXresItemX 2 3 3" xfId="50290" xr:uid="{00000000-0005-0000-0000-00002DC50000}"/>
    <cellStyle name="SAPBEXresItemX 2 3 3 2" xfId="50291" xr:uid="{00000000-0005-0000-0000-00002EC50000}"/>
    <cellStyle name="SAPBEXresItemX 2 3 3 2 2" xfId="50292" xr:uid="{00000000-0005-0000-0000-00002FC50000}"/>
    <cellStyle name="SAPBEXresItemX 2 3 3 2 2 2" xfId="50293" xr:uid="{00000000-0005-0000-0000-000030C50000}"/>
    <cellStyle name="SAPBEXresItemX 2 3 3 2 2 2 2" xfId="50294" xr:uid="{00000000-0005-0000-0000-000031C50000}"/>
    <cellStyle name="SAPBEXresItemX 2 3 3 2 2 3" xfId="50295" xr:uid="{00000000-0005-0000-0000-000032C50000}"/>
    <cellStyle name="SAPBEXresItemX 2 3 3 2 3" xfId="50296" xr:uid="{00000000-0005-0000-0000-000033C50000}"/>
    <cellStyle name="SAPBEXresItemX 2 3 3 2 3 2" xfId="50297" xr:uid="{00000000-0005-0000-0000-000034C50000}"/>
    <cellStyle name="SAPBEXresItemX 2 3 3 2 4" xfId="50298" xr:uid="{00000000-0005-0000-0000-000035C50000}"/>
    <cellStyle name="SAPBEXresItemX 2 3 3 3" xfId="50299" xr:uid="{00000000-0005-0000-0000-000036C50000}"/>
    <cellStyle name="SAPBEXresItemX 2 3 3 3 2" xfId="50300" xr:uid="{00000000-0005-0000-0000-000037C50000}"/>
    <cellStyle name="SAPBEXresItemX 2 3 3 3 2 2" xfId="50301" xr:uid="{00000000-0005-0000-0000-000038C50000}"/>
    <cellStyle name="SAPBEXresItemX 2 3 3 3 3" xfId="50302" xr:uid="{00000000-0005-0000-0000-000039C50000}"/>
    <cellStyle name="SAPBEXresItemX 2 3 3 4" xfId="50303" xr:uid="{00000000-0005-0000-0000-00003AC50000}"/>
    <cellStyle name="SAPBEXresItemX 2 3 3 4 2" xfId="50304" xr:uid="{00000000-0005-0000-0000-00003BC50000}"/>
    <cellStyle name="SAPBEXresItemX 2 3 3 5" xfId="50305" xr:uid="{00000000-0005-0000-0000-00003CC50000}"/>
    <cellStyle name="SAPBEXresItemX 2 3 4" xfId="50306" xr:uid="{00000000-0005-0000-0000-00003DC50000}"/>
    <cellStyle name="SAPBEXresItemX 2 3 4 2" xfId="50307" xr:uid="{00000000-0005-0000-0000-00003EC50000}"/>
    <cellStyle name="SAPBEXresItemX 2 3 4 2 2" xfId="50308" xr:uid="{00000000-0005-0000-0000-00003FC50000}"/>
    <cellStyle name="SAPBEXresItemX 2 3 4 3" xfId="50309" xr:uid="{00000000-0005-0000-0000-000040C50000}"/>
    <cellStyle name="SAPBEXresItemX 2 3 5" xfId="50310" xr:uid="{00000000-0005-0000-0000-000041C50000}"/>
    <cellStyle name="SAPBEXresItemX 2 3 5 2" xfId="50311" xr:uid="{00000000-0005-0000-0000-000042C50000}"/>
    <cellStyle name="SAPBEXresItemX 2 3 5 2 2" xfId="50312" xr:uid="{00000000-0005-0000-0000-000043C50000}"/>
    <cellStyle name="SAPBEXresItemX 2 3 5 3" xfId="50313" xr:uid="{00000000-0005-0000-0000-000044C50000}"/>
    <cellStyle name="SAPBEXresItemX 2 3 6" xfId="50314" xr:uid="{00000000-0005-0000-0000-000045C50000}"/>
    <cellStyle name="SAPBEXresItemX 2 3 6 2" xfId="50315" xr:uid="{00000000-0005-0000-0000-000046C50000}"/>
    <cellStyle name="SAPBEXresItemX 2 3 6 2 2" xfId="50316" xr:uid="{00000000-0005-0000-0000-000047C50000}"/>
    <cellStyle name="SAPBEXresItemX 2 3 6 3" xfId="50317" xr:uid="{00000000-0005-0000-0000-000048C50000}"/>
    <cellStyle name="SAPBEXresItemX 2 3 7" xfId="50318" xr:uid="{00000000-0005-0000-0000-000049C50000}"/>
    <cellStyle name="SAPBEXresItemX 2 3 7 2" xfId="50319" xr:uid="{00000000-0005-0000-0000-00004AC50000}"/>
    <cellStyle name="SAPBEXresItemX 2 3 8" xfId="50320" xr:uid="{00000000-0005-0000-0000-00004BC50000}"/>
    <cellStyle name="SAPBEXresItemX 2 4" xfId="50321" xr:uid="{00000000-0005-0000-0000-00004CC50000}"/>
    <cellStyle name="SAPBEXresItemX 2 4 2" xfId="50322" xr:uid="{00000000-0005-0000-0000-00004DC50000}"/>
    <cellStyle name="SAPBEXresItemX 2 4 2 2" xfId="50323" xr:uid="{00000000-0005-0000-0000-00004EC50000}"/>
    <cellStyle name="SAPBEXresItemX 2 4 2 2 2" xfId="50324" xr:uid="{00000000-0005-0000-0000-00004FC50000}"/>
    <cellStyle name="SAPBEXresItemX 2 4 2 2 2 2" xfId="50325" xr:uid="{00000000-0005-0000-0000-000050C50000}"/>
    <cellStyle name="SAPBEXresItemX 2 4 2 2 3" xfId="50326" xr:uid="{00000000-0005-0000-0000-000051C50000}"/>
    <cellStyle name="SAPBEXresItemX 2 4 2 3" xfId="50327" xr:uid="{00000000-0005-0000-0000-000052C50000}"/>
    <cellStyle name="SAPBEXresItemX 2 4 2 3 2" xfId="50328" xr:uid="{00000000-0005-0000-0000-000053C50000}"/>
    <cellStyle name="SAPBEXresItemX 2 4 2 3 2 2" xfId="50329" xr:uid="{00000000-0005-0000-0000-000054C50000}"/>
    <cellStyle name="SAPBEXresItemX 2 4 2 3 3" xfId="50330" xr:uid="{00000000-0005-0000-0000-000055C50000}"/>
    <cellStyle name="SAPBEXresItemX 2 4 2 4" xfId="50331" xr:uid="{00000000-0005-0000-0000-000056C50000}"/>
    <cellStyle name="SAPBEXresItemX 2 4 2 4 2" xfId="50332" xr:uid="{00000000-0005-0000-0000-000057C50000}"/>
    <cellStyle name="SAPBEXresItemX 2 4 2 5" xfId="50333" xr:uid="{00000000-0005-0000-0000-000058C50000}"/>
    <cellStyle name="SAPBEXresItemX 2 4 3" xfId="50334" xr:uid="{00000000-0005-0000-0000-000059C50000}"/>
    <cellStyle name="SAPBEXresItemX 2 4 3 2" xfId="50335" xr:uid="{00000000-0005-0000-0000-00005AC50000}"/>
    <cellStyle name="SAPBEXresItemX 2 4 3 2 2" xfId="50336" xr:uid="{00000000-0005-0000-0000-00005BC50000}"/>
    <cellStyle name="SAPBEXresItemX 2 4 3 2 2 2" xfId="50337" xr:uid="{00000000-0005-0000-0000-00005CC50000}"/>
    <cellStyle name="SAPBEXresItemX 2 4 3 2 3" xfId="50338" xr:uid="{00000000-0005-0000-0000-00005DC50000}"/>
    <cellStyle name="SAPBEXresItemX 2 4 3 3" xfId="50339" xr:uid="{00000000-0005-0000-0000-00005EC50000}"/>
    <cellStyle name="SAPBEXresItemX 2 4 3 3 2" xfId="50340" xr:uid="{00000000-0005-0000-0000-00005FC50000}"/>
    <cellStyle name="SAPBEXresItemX 2 4 3 4" xfId="50341" xr:uid="{00000000-0005-0000-0000-000060C50000}"/>
    <cellStyle name="SAPBEXresItemX 2 4 4" xfId="50342" xr:uid="{00000000-0005-0000-0000-000061C50000}"/>
    <cellStyle name="SAPBEXresItemX 2 4 4 2" xfId="50343" xr:uid="{00000000-0005-0000-0000-000062C50000}"/>
    <cellStyle name="SAPBEXresItemX 2 4 4 2 2" xfId="50344" xr:uid="{00000000-0005-0000-0000-000063C50000}"/>
    <cellStyle name="SAPBEXresItemX 2 4 4 3" xfId="50345" xr:uid="{00000000-0005-0000-0000-000064C50000}"/>
    <cellStyle name="SAPBEXresItemX 2 4 5" xfId="50346" xr:uid="{00000000-0005-0000-0000-000065C50000}"/>
    <cellStyle name="SAPBEXresItemX 2 4 5 2" xfId="50347" xr:uid="{00000000-0005-0000-0000-000066C50000}"/>
    <cellStyle name="SAPBEXresItemX 2 4 6" xfId="50348" xr:uid="{00000000-0005-0000-0000-000067C50000}"/>
    <cellStyle name="SAPBEXresItemX 2 5" xfId="50349" xr:uid="{00000000-0005-0000-0000-000068C50000}"/>
    <cellStyle name="SAPBEXresItemX 2 5 2" xfId="50350" xr:uid="{00000000-0005-0000-0000-000069C50000}"/>
    <cellStyle name="SAPBEXresItemX 2 5 2 2" xfId="50351" xr:uid="{00000000-0005-0000-0000-00006AC50000}"/>
    <cellStyle name="SAPBEXresItemX 2 5 2 2 2" xfId="50352" xr:uid="{00000000-0005-0000-0000-00006BC50000}"/>
    <cellStyle name="SAPBEXresItemX 2 5 2 2 2 2" xfId="50353" xr:uid="{00000000-0005-0000-0000-00006CC50000}"/>
    <cellStyle name="SAPBEXresItemX 2 5 2 2 3" xfId="50354" xr:uid="{00000000-0005-0000-0000-00006DC50000}"/>
    <cellStyle name="SAPBEXresItemX 2 5 2 3" xfId="50355" xr:uid="{00000000-0005-0000-0000-00006EC50000}"/>
    <cellStyle name="SAPBEXresItemX 2 5 2 3 2" xfId="50356" xr:uid="{00000000-0005-0000-0000-00006FC50000}"/>
    <cellStyle name="SAPBEXresItemX 2 5 2 4" xfId="50357" xr:uid="{00000000-0005-0000-0000-000070C50000}"/>
    <cellStyle name="SAPBEXresItemX 2 5 3" xfId="50358" xr:uid="{00000000-0005-0000-0000-000071C50000}"/>
    <cellStyle name="SAPBEXresItemX 2 5 3 2" xfId="50359" xr:uid="{00000000-0005-0000-0000-000072C50000}"/>
    <cellStyle name="SAPBEXresItemX 2 5 3 2 2" xfId="50360" xr:uid="{00000000-0005-0000-0000-000073C50000}"/>
    <cellStyle name="SAPBEXresItemX 2 5 3 3" xfId="50361" xr:uid="{00000000-0005-0000-0000-000074C50000}"/>
    <cellStyle name="SAPBEXresItemX 2 5 4" xfId="50362" xr:uid="{00000000-0005-0000-0000-000075C50000}"/>
    <cellStyle name="SAPBEXresItemX 2 5 4 2" xfId="50363" xr:uid="{00000000-0005-0000-0000-000076C50000}"/>
    <cellStyle name="SAPBEXresItemX 2 5 5" xfId="50364" xr:uid="{00000000-0005-0000-0000-000077C50000}"/>
    <cellStyle name="SAPBEXresItemX 2 6" xfId="50365" xr:uid="{00000000-0005-0000-0000-000078C50000}"/>
    <cellStyle name="SAPBEXresItemX 2 6 2" xfId="50366" xr:uid="{00000000-0005-0000-0000-000079C50000}"/>
    <cellStyle name="SAPBEXresItemX 2 6 2 2" xfId="50367" xr:uid="{00000000-0005-0000-0000-00007AC50000}"/>
    <cellStyle name="SAPBEXresItemX 2 6 3" xfId="50368" xr:uid="{00000000-0005-0000-0000-00007BC50000}"/>
    <cellStyle name="SAPBEXresItemX 2 7" xfId="50369" xr:uid="{00000000-0005-0000-0000-00007CC50000}"/>
    <cellStyle name="SAPBEXresItemX 2 7 2" xfId="50370" xr:uid="{00000000-0005-0000-0000-00007DC50000}"/>
    <cellStyle name="SAPBEXresItemX 2 7 2 2" xfId="50371" xr:uid="{00000000-0005-0000-0000-00007EC50000}"/>
    <cellStyle name="SAPBEXresItemX 2 7 3" xfId="50372" xr:uid="{00000000-0005-0000-0000-00007FC50000}"/>
    <cellStyle name="SAPBEXresItemX 2 8" xfId="50373" xr:uid="{00000000-0005-0000-0000-000080C50000}"/>
    <cellStyle name="SAPBEXresItemX 2 8 2" xfId="50374" xr:uid="{00000000-0005-0000-0000-000081C50000}"/>
    <cellStyle name="SAPBEXresItemX 2 8 2 2" xfId="50375" xr:uid="{00000000-0005-0000-0000-000082C50000}"/>
    <cellStyle name="SAPBEXresItemX 2 8 3" xfId="50376" xr:uid="{00000000-0005-0000-0000-000083C50000}"/>
    <cellStyle name="SAPBEXresItemX 2 9" xfId="50377" xr:uid="{00000000-0005-0000-0000-000084C50000}"/>
    <cellStyle name="SAPBEXresItemX 2 9 2" xfId="50378" xr:uid="{00000000-0005-0000-0000-000085C50000}"/>
    <cellStyle name="SAPBEXresItemX 3" xfId="50379" xr:uid="{00000000-0005-0000-0000-000086C50000}"/>
    <cellStyle name="SAPBEXresItemX 3 2" xfId="50380" xr:uid="{00000000-0005-0000-0000-000087C50000}"/>
    <cellStyle name="SAPBEXresItemX 3 2 2" xfId="50381" xr:uid="{00000000-0005-0000-0000-000088C50000}"/>
    <cellStyle name="SAPBEXresItemX 3 2 2 2" xfId="50382" xr:uid="{00000000-0005-0000-0000-000089C50000}"/>
    <cellStyle name="SAPBEXresItemX 3 2 2 2 2" xfId="50383" xr:uid="{00000000-0005-0000-0000-00008AC50000}"/>
    <cellStyle name="SAPBEXresItemX 3 2 2 2 2 2" xfId="50384" xr:uid="{00000000-0005-0000-0000-00008BC50000}"/>
    <cellStyle name="SAPBEXresItemX 3 2 2 2 3" xfId="50385" xr:uid="{00000000-0005-0000-0000-00008CC50000}"/>
    <cellStyle name="SAPBEXresItemX 3 2 2 3" xfId="50386" xr:uid="{00000000-0005-0000-0000-00008DC50000}"/>
    <cellStyle name="SAPBEXresItemX 3 2 2 3 2" xfId="50387" xr:uid="{00000000-0005-0000-0000-00008EC50000}"/>
    <cellStyle name="SAPBEXresItemX 3 2 2 4" xfId="50388" xr:uid="{00000000-0005-0000-0000-00008FC50000}"/>
    <cellStyle name="SAPBEXresItemX 3 2 3" xfId="50389" xr:uid="{00000000-0005-0000-0000-000090C50000}"/>
    <cellStyle name="SAPBEXresItemX 3 2 3 2" xfId="50390" xr:uid="{00000000-0005-0000-0000-000091C50000}"/>
    <cellStyle name="SAPBEXresItemX 3 2 3 2 2" xfId="50391" xr:uid="{00000000-0005-0000-0000-000092C50000}"/>
    <cellStyle name="SAPBEXresItemX 3 2 3 3" xfId="50392" xr:uid="{00000000-0005-0000-0000-000093C50000}"/>
    <cellStyle name="SAPBEXresItemX 3 2 4" xfId="50393" xr:uid="{00000000-0005-0000-0000-000094C50000}"/>
    <cellStyle name="SAPBEXresItemX 3 2 4 2" xfId="50394" xr:uid="{00000000-0005-0000-0000-000095C50000}"/>
    <cellStyle name="SAPBEXresItemX 3 2 4 2 2" xfId="50395" xr:uid="{00000000-0005-0000-0000-000096C50000}"/>
    <cellStyle name="SAPBEXresItemX 3 2 4 3" xfId="50396" xr:uid="{00000000-0005-0000-0000-000097C50000}"/>
    <cellStyle name="SAPBEXresItemX 3 2 5" xfId="50397" xr:uid="{00000000-0005-0000-0000-000098C50000}"/>
    <cellStyle name="SAPBEXresItemX 3 2 5 2" xfId="50398" xr:uid="{00000000-0005-0000-0000-000099C50000}"/>
    <cellStyle name="SAPBEXresItemX 3 2 5 2 2" xfId="50399" xr:uid="{00000000-0005-0000-0000-00009AC50000}"/>
    <cellStyle name="SAPBEXresItemX 3 2 5 3" xfId="50400" xr:uid="{00000000-0005-0000-0000-00009BC50000}"/>
    <cellStyle name="SAPBEXresItemX 3 2 6" xfId="50401" xr:uid="{00000000-0005-0000-0000-00009CC50000}"/>
    <cellStyle name="SAPBEXresItemX 3 2 6 2" xfId="50402" xr:uid="{00000000-0005-0000-0000-00009DC50000}"/>
    <cellStyle name="SAPBEXresItemX 3 2 7" xfId="50403" xr:uid="{00000000-0005-0000-0000-00009EC50000}"/>
    <cellStyle name="SAPBEXresItemX 3 3" xfId="50404" xr:uid="{00000000-0005-0000-0000-00009FC50000}"/>
    <cellStyle name="SAPBEXresItemX 3 3 2" xfId="50405" xr:uid="{00000000-0005-0000-0000-0000A0C50000}"/>
    <cellStyle name="SAPBEXresItemX 3 3 2 2" xfId="50406" xr:uid="{00000000-0005-0000-0000-0000A1C50000}"/>
    <cellStyle name="SAPBEXresItemX 3 3 2 2 2" xfId="50407" xr:uid="{00000000-0005-0000-0000-0000A2C50000}"/>
    <cellStyle name="SAPBEXresItemX 3 3 2 2 2 2" xfId="50408" xr:uid="{00000000-0005-0000-0000-0000A3C50000}"/>
    <cellStyle name="SAPBEXresItemX 3 3 2 2 3" xfId="50409" xr:uid="{00000000-0005-0000-0000-0000A4C50000}"/>
    <cellStyle name="SAPBEXresItemX 3 3 2 3" xfId="50410" xr:uid="{00000000-0005-0000-0000-0000A5C50000}"/>
    <cellStyle name="SAPBEXresItemX 3 3 2 3 2" xfId="50411" xr:uid="{00000000-0005-0000-0000-0000A6C50000}"/>
    <cellStyle name="SAPBEXresItemX 3 3 2 4" xfId="50412" xr:uid="{00000000-0005-0000-0000-0000A7C50000}"/>
    <cellStyle name="SAPBEXresItemX 3 3 3" xfId="50413" xr:uid="{00000000-0005-0000-0000-0000A8C50000}"/>
    <cellStyle name="SAPBEXresItemX 3 3 3 2" xfId="50414" xr:uid="{00000000-0005-0000-0000-0000A9C50000}"/>
    <cellStyle name="SAPBEXresItemX 3 3 3 2 2" xfId="50415" xr:uid="{00000000-0005-0000-0000-0000AAC50000}"/>
    <cellStyle name="SAPBEXresItemX 3 3 3 3" xfId="50416" xr:uid="{00000000-0005-0000-0000-0000ABC50000}"/>
    <cellStyle name="SAPBEXresItemX 3 3 4" xfId="50417" xr:uid="{00000000-0005-0000-0000-0000ACC50000}"/>
    <cellStyle name="SAPBEXresItemX 3 3 4 2" xfId="50418" xr:uid="{00000000-0005-0000-0000-0000ADC50000}"/>
    <cellStyle name="SAPBEXresItemX 3 3 5" xfId="50419" xr:uid="{00000000-0005-0000-0000-0000AEC50000}"/>
    <cellStyle name="SAPBEXresItemX 3 4" xfId="50420" xr:uid="{00000000-0005-0000-0000-0000AFC50000}"/>
    <cellStyle name="SAPBEXresItemX 3 4 2" xfId="50421" xr:uid="{00000000-0005-0000-0000-0000B0C50000}"/>
    <cellStyle name="SAPBEXresItemX 3 4 2 2" xfId="50422" xr:uid="{00000000-0005-0000-0000-0000B1C50000}"/>
    <cellStyle name="SAPBEXresItemX 3 4 3" xfId="50423" xr:uid="{00000000-0005-0000-0000-0000B2C50000}"/>
    <cellStyle name="SAPBEXresItemX 3 5" xfId="50424" xr:uid="{00000000-0005-0000-0000-0000B3C50000}"/>
    <cellStyle name="SAPBEXresItemX 3 5 2" xfId="50425" xr:uid="{00000000-0005-0000-0000-0000B4C50000}"/>
    <cellStyle name="SAPBEXresItemX 3 5 2 2" xfId="50426" xr:uid="{00000000-0005-0000-0000-0000B5C50000}"/>
    <cellStyle name="SAPBEXresItemX 3 5 3" xfId="50427" xr:uid="{00000000-0005-0000-0000-0000B6C50000}"/>
    <cellStyle name="SAPBEXresItemX 3 6" xfId="50428" xr:uid="{00000000-0005-0000-0000-0000B7C50000}"/>
    <cellStyle name="SAPBEXresItemX 3 6 2" xfId="50429" xr:uid="{00000000-0005-0000-0000-0000B8C50000}"/>
    <cellStyle name="SAPBEXresItemX 3 6 2 2" xfId="50430" xr:uid="{00000000-0005-0000-0000-0000B9C50000}"/>
    <cellStyle name="SAPBEXresItemX 3 6 3" xfId="50431" xr:uid="{00000000-0005-0000-0000-0000BAC50000}"/>
    <cellStyle name="SAPBEXresItemX 3 7" xfId="50432" xr:uid="{00000000-0005-0000-0000-0000BBC50000}"/>
    <cellStyle name="SAPBEXresItemX 3 7 2" xfId="50433" xr:uid="{00000000-0005-0000-0000-0000BCC50000}"/>
    <cellStyle name="SAPBEXresItemX 3 8" xfId="50434" xr:uid="{00000000-0005-0000-0000-0000BDC50000}"/>
    <cellStyle name="SAPBEXresItemX 4" xfId="50435" xr:uid="{00000000-0005-0000-0000-0000BEC50000}"/>
    <cellStyle name="SAPBEXresItemX 4 2" xfId="50436" xr:uid="{00000000-0005-0000-0000-0000BFC50000}"/>
    <cellStyle name="SAPBEXresItemX 4 2 2" xfId="50437" xr:uid="{00000000-0005-0000-0000-0000C0C50000}"/>
    <cellStyle name="SAPBEXresItemX 4 2 2 2" xfId="50438" xr:uid="{00000000-0005-0000-0000-0000C1C50000}"/>
    <cellStyle name="SAPBEXresItemX 4 2 2 2 2" xfId="50439" xr:uid="{00000000-0005-0000-0000-0000C2C50000}"/>
    <cellStyle name="SAPBEXresItemX 4 2 2 2 2 2" xfId="50440" xr:uid="{00000000-0005-0000-0000-0000C3C50000}"/>
    <cellStyle name="SAPBEXresItemX 4 2 2 2 3" xfId="50441" xr:uid="{00000000-0005-0000-0000-0000C4C50000}"/>
    <cellStyle name="SAPBEXresItemX 4 2 2 3" xfId="50442" xr:uid="{00000000-0005-0000-0000-0000C5C50000}"/>
    <cellStyle name="SAPBEXresItemX 4 2 2 3 2" xfId="50443" xr:uid="{00000000-0005-0000-0000-0000C6C50000}"/>
    <cellStyle name="SAPBEXresItemX 4 2 2 4" xfId="50444" xr:uid="{00000000-0005-0000-0000-0000C7C50000}"/>
    <cellStyle name="SAPBEXresItemX 4 2 3" xfId="50445" xr:uid="{00000000-0005-0000-0000-0000C8C50000}"/>
    <cellStyle name="SAPBEXresItemX 4 2 3 2" xfId="50446" xr:uid="{00000000-0005-0000-0000-0000C9C50000}"/>
    <cellStyle name="SAPBEXresItemX 4 2 3 2 2" xfId="50447" xr:uid="{00000000-0005-0000-0000-0000CAC50000}"/>
    <cellStyle name="SAPBEXresItemX 4 2 3 3" xfId="50448" xr:uid="{00000000-0005-0000-0000-0000CBC50000}"/>
    <cellStyle name="SAPBEXresItemX 4 2 4" xfId="50449" xr:uid="{00000000-0005-0000-0000-0000CCC50000}"/>
    <cellStyle name="SAPBEXresItemX 4 2 4 2" xfId="50450" xr:uid="{00000000-0005-0000-0000-0000CDC50000}"/>
    <cellStyle name="SAPBEXresItemX 4 2 4 2 2" xfId="50451" xr:uid="{00000000-0005-0000-0000-0000CEC50000}"/>
    <cellStyle name="SAPBEXresItemX 4 2 4 3" xfId="50452" xr:uid="{00000000-0005-0000-0000-0000CFC50000}"/>
    <cellStyle name="SAPBEXresItemX 4 2 5" xfId="50453" xr:uid="{00000000-0005-0000-0000-0000D0C50000}"/>
    <cellStyle name="SAPBEXresItemX 4 2 5 2" xfId="50454" xr:uid="{00000000-0005-0000-0000-0000D1C50000}"/>
    <cellStyle name="SAPBEXresItemX 4 2 5 2 2" xfId="50455" xr:uid="{00000000-0005-0000-0000-0000D2C50000}"/>
    <cellStyle name="SAPBEXresItemX 4 2 5 3" xfId="50456" xr:uid="{00000000-0005-0000-0000-0000D3C50000}"/>
    <cellStyle name="SAPBEXresItemX 4 2 6" xfId="50457" xr:uid="{00000000-0005-0000-0000-0000D4C50000}"/>
    <cellStyle name="SAPBEXresItemX 4 2 6 2" xfId="50458" xr:uid="{00000000-0005-0000-0000-0000D5C50000}"/>
    <cellStyle name="SAPBEXresItemX 4 2 7" xfId="50459" xr:uid="{00000000-0005-0000-0000-0000D6C50000}"/>
    <cellStyle name="SAPBEXresItemX 4 3" xfId="50460" xr:uid="{00000000-0005-0000-0000-0000D7C50000}"/>
    <cellStyle name="SAPBEXresItemX 4 3 2" xfId="50461" xr:uid="{00000000-0005-0000-0000-0000D8C50000}"/>
    <cellStyle name="SAPBEXresItemX 4 3 2 2" xfId="50462" xr:uid="{00000000-0005-0000-0000-0000D9C50000}"/>
    <cellStyle name="SAPBEXresItemX 4 3 2 2 2" xfId="50463" xr:uid="{00000000-0005-0000-0000-0000DAC50000}"/>
    <cellStyle name="SAPBEXresItemX 4 3 2 2 2 2" xfId="50464" xr:uid="{00000000-0005-0000-0000-0000DBC50000}"/>
    <cellStyle name="SAPBEXresItemX 4 3 2 2 2 2 2" xfId="50465" xr:uid="{00000000-0005-0000-0000-0000DCC50000}"/>
    <cellStyle name="SAPBEXresItemX 4 3 2 2 2 3" xfId="50466" xr:uid="{00000000-0005-0000-0000-0000DDC50000}"/>
    <cellStyle name="SAPBEXresItemX 4 3 2 2 3" xfId="50467" xr:uid="{00000000-0005-0000-0000-0000DEC50000}"/>
    <cellStyle name="SAPBEXresItemX 4 3 2 2 3 2" xfId="50468" xr:uid="{00000000-0005-0000-0000-0000DFC50000}"/>
    <cellStyle name="SAPBEXresItemX 4 3 2 2 4" xfId="50469" xr:uid="{00000000-0005-0000-0000-0000E0C50000}"/>
    <cellStyle name="SAPBEXresItemX 4 3 2 3" xfId="50470" xr:uid="{00000000-0005-0000-0000-0000E1C50000}"/>
    <cellStyle name="SAPBEXresItemX 4 3 2 3 2" xfId="50471" xr:uid="{00000000-0005-0000-0000-0000E2C50000}"/>
    <cellStyle name="SAPBEXresItemX 4 3 2 3 2 2" xfId="50472" xr:uid="{00000000-0005-0000-0000-0000E3C50000}"/>
    <cellStyle name="SAPBEXresItemX 4 3 2 3 3" xfId="50473" xr:uid="{00000000-0005-0000-0000-0000E4C50000}"/>
    <cellStyle name="SAPBEXresItemX 4 3 2 4" xfId="50474" xr:uid="{00000000-0005-0000-0000-0000E5C50000}"/>
    <cellStyle name="SAPBEXresItemX 4 3 2 4 2" xfId="50475" xr:uid="{00000000-0005-0000-0000-0000E6C50000}"/>
    <cellStyle name="SAPBEXresItemX 4 3 2 4 2 2" xfId="50476" xr:uid="{00000000-0005-0000-0000-0000E7C50000}"/>
    <cellStyle name="SAPBEXresItemX 4 3 2 4 3" xfId="50477" xr:uid="{00000000-0005-0000-0000-0000E8C50000}"/>
    <cellStyle name="SAPBEXresItemX 4 3 2 5" xfId="50478" xr:uid="{00000000-0005-0000-0000-0000E9C50000}"/>
    <cellStyle name="SAPBEXresItemX 4 3 2 5 2" xfId="50479" xr:uid="{00000000-0005-0000-0000-0000EAC50000}"/>
    <cellStyle name="SAPBEXresItemX 4 3 2 6" xfId="50480" xr:uid="{00000000-0005-0000-0000-0000EBC50000}"/>
    <cellStyle name="SAPBEXresItemX 4 3 3" xfId="50481" xr:uid="{00000000-0005-0000-0000-0000ECC50000}"/>
    <cellStyle name="SAPBEXresItemX 4 3 3 2" xfId="50482" xr:uid="{00000000-0005-0000-0000-0000EDC50000}"/>
    <cellStyle name="SAPBEXresItemX 4 3 3 2 2" xfId="50483" xr:uid="{00000000-0005-0000-0000-0000EEC50000}"/>
    <cellStyle name="SAPBEXresItemX 4 3 3 2 2 2" xfId="50484" xr:uid="{00000000-0005-0000-0000-0000EFC50000}"/>
    <cellStyle name="SAPBEXresItemX 4 3 3 2 2 2 2" xfId="50485" xr:uid="{00000000-0005-0000-0000-0000F0C50000}"/>
    <cellStyle name="SAPBEXresItemX 4 3 3 2 2 3" xfId="50486" xr:uid="{00000000-0005-0000-0000-0000F1C50000}"/>
    <cellStyle name="SAPBEXresItemX 4 3 3 2 3" xfId="50487" xr:uid="{00000000-0005-0000-0000-0000F2C50000}"/>
    <cellStyle name="SAPBEXresItemX 4 3 3 2 3 2" xfId="50488" xr:uid="{00000000-0005-0000-0000-0000F3C50000}"/>
    <cellStyle name="SAPBEXresItemX 4 3 3 2 4" xfId="50489" xr:uid="{00000000-0005-0000-0000-0000F4C50000}"/>
    <cellStyle name="SAPBEXresItemX 4 3 3 3" xfId="50490" xr:uid="{00000000-0005-0000-0000-0000F5C50000}"/>
    <cellStyle name="SAPBEXresItemX 4 3 3 3 2" xfId="50491" xr:uid="{00000000-0005-0000-0000-0000F6C50000}"/>
    <cellStyle name="SAPBEXresItemX 4 3 3 3 2 2" xfId="50492" xr:uid="{00000000-0005-0000-0000-0000F7C50000}"/>
    <cellStyle name="SAPBEXresItemX 4 3 3 3 3" xfId="50493" xr:uid="{00000000-0005-0000-0000-0000F8C50000}"/>
    <cellStyle name="SAPBEXresItemX 4 3 3 4" xfId="50494" xr:uid="{00000000-0005-0000-0000-0000F9C50000}"/>
    <cellStyle name="SAPBEXresItemX 4 3 3 4 2" xfId="50495" xr:uid="{00000000-0005-0000-0000-0000FAC50000}"/>
    <cellStyle name="SAPBEXresItemX 4 3 3 5" xfId="50496" xr:uid="{00000000-0005-0000-0000-0000FBC50000}"/>
    <cellStyle name="SAPBEXresItemX 4 3 4" xfId="50497" xr:uid="{00000000-0005-0000-0000-0000FCC50000}"/>
    <cellStyle name="SAPBEXresItemX 4 3 4 2" xfId="50498" xr:uid="{00000000-0005-0000-0000-0000FDC50000}"/>
    <cellStyle name="SAPBEXresItemX 4 3 4 2 2" xfId="50499" xr:uid="{00000000-0005-0000-0000-0000FEC50000}"/>
    <cellStyle name="SAPBEXresItemX 4 3 4 3" xfId="50500" xr:uid="{00000000-0005-0000-0000-0000FFC50000}"/>
    <cellStyle name="SAPBEXresItemX 4 3 5" xfId="50501" xr:uid="{00000000-0005-0000-0000-000000C60000}"/>
    <cellStyle name="SAPBEXresItemX 4 3 5 2" xfId="50502" xr:uid="{00000000-0005-0000-0000-000001C60000}"/>
    <cellStyle name="SAPBEXresItemX 4 3 5 2 2" xfId="50503" xr:uid="{00000000-0005-0000-0000-000002C60000}"/>
    <cellStyle name="SAPBEXresItemX 4 3 5 3" xfId="50504" xr:uid="{00000000-0005-0000-0000-000003C60000}"/>
    <cellStyle name="SAPBEXresItemX 4 3 6" xfId="50505" xr:uid="{00000000-0005-0000-0000-000004C60000}"/>
    <cellStyle name="SAPBEXresItemX 4 3 6 2" xfId="50506" xr:uid="{00000000-0005-0000-0000-000005C60000}"/>
    <cellStyle name="SAPBEXresItemX 4 3 6 2 2" xfId="50507" xr:uid="{00000000-0005-0000-0000-000006C60000}"/>
    <cellStyle name="SAPBEXresItemX 4 3 6 3" xfId="50508" xr:uid="{00000000-0005-0000-0000-000007C60000}"/>
    <cellStyle name="SAPBEXresItemX 4 3 7" xfId="50509" xr:uid="{00000000-0005-0000-0000-000008C60000}"/>
    <cellStyle name="SAPBEXresItemX 4 3 7 2" xfId="50510" xr:uid="{00000000-0005-0000-0000-000009C60000}"/>
    <cellStyle name="SAPBEXresItemX 4 3 8" xfId="50511" xr:uid="{00000000-0005-0000-0000-00000AC60000}"/>
    <cellStyle name="SAPBEXresItemX 4 4" xfId="50512" xr:uid="{00000000-0005-0000-0000-00000BC60000}"/>
    <cellStyle name="SAPBEXresItemX 4 4 2" xfId="50513" xr:uid="{00000000-0005-0000-0000-00000CC60000}"/>
    <cellStyle name="SAPBEXresItemX 4 4 2 2" xfId="50514" xr:uid="{00000000-0005-0000-0000-00000DC60000}"/>
    <cellStyle name="SAPBEXresItemX 4 4 2 2 2" xfId="50515" xr:uid="{00000000-0005-0000-0000-00000EC60000}"/>
    <cellStyle name="SAPBEXresItemX 4 4 2 2 2 2" xfId="50516" xr:uid="{00000000-0005-0000-0000-00000FC60000}"/>
    <cellStyle name="SAPBEXresItemX 4 4 2 2 3" xfId="50517" xr:uid="{00000000-0005-0000-0000-000010C60000}"/>
    <cellStyle name="SAPBEXresItemX 4 4 2 3" xfId="50518" xr:uid="{00000000-0005-0000-0000-000011C60000}"/>
    <cellStyle name="SAPBEXresItemX 4 4 2 3 2" xfId="50519" xr:uid="{00000000-0005-0000-0000-000012C60000}"/>
    <cellStyle name="SAPBEXresItemX 4 4 2 4" xfId="50520" xr:uid="{00000000-0005-0000-0000-000013C60000}"/>
    <cellStyle name="SAPBEXresItemX 4 4 3" xfId="50521" xr:uid="{00000000-0005-0000-0000-000014C60000}"/>
    <cellStyle name="SAPBEXresItemX 4 4 3 2" xfId="50522" xr:uid="{00000000-0005-0000-0000-000015C60000}"/>
    <cellStyle name="SAPBEXresItemX 4 4 3 2 2" xfId="50523" xr:uid="{00000000-0005-0000-0000-000016C60000}"/>
    <cellStyle name="SAPBEXresItemX 4 4 3 3" xfId="50524" xr:uid="{00000000-0005-0000-0000-000017C60000}"/>
    <cellStyle name="SAPBEXresItemX 4 4 4" xfId="50525" xr:uid="{00000000-0005-0000-0000-000018C60000}"/>
    <cellStyle name="SAPBEXresItemX 4 4 4 2" xfId="50526" xr:uid="{00000000-0005-0000-0000-000019C60000}"/>
    <cellStyle name="SAPBEXresItemX 4 4 5" xfId="50527" xr:uid="{00000000-0005-0000-0000-00001AC60000}"/>
    <cellStyle name="SAPBEXresItemX 4 5" xfId="50528" xr:uid="{00000000-0005-0000-0000-00001BC60000}"/>
    <cellStyle name="SAPBEXresItemX 4 5 2" xfId="50529" xr:uid="{00000000-0005-0000-0000-00001CC60000}"/>
    <cellStyle name="SAPBEXresItemX 4 5 2 2" xfId="50530" xr:uid="{00000000-0005-0000-0000-00001DC60000}"/>
    <cellStyle name="SAPBEXresItemX 4 5 3" xfId="50531" xr:uid="{00000000-0005-0000-0000-00001EC60000}"/>
    <cellStyle name="SAPBEXresItemX 4 6" xfId="50532" xr:uid="{00000000-0005-0000-0000-00001FC60000}"/>
    <cellStyle name="SAPBEXresItemX 4 6 2" xfId="50533" xr:uid="{00000000-0005-0000-0000-000020C60000}"/>
    <cellStyle name="SAPBEXresItemX 4 6 2 2" xfId="50534" xr:uid="{00000000-0005-0000-0000-000021C60000}"/>
    <cellStyle name="SAPBEXresItemX 4 6 3" xfId="50535" xr:uid="{00000000-0005-0000-0000-000022C60000}"/>
    <cellStyle name="SAPBEXresItemX 4 7" xfId="50536" xr:uid="{00000000-0005-0000-0000-000023C60000}"/>
    <cellStyle name="SAPBEXresItemX 4 7 2" xfId="50537" xr:uid="{00000000-0005-0000-0000-000024C60000}"/>
    <cellStyle name="SAPBEXresItemX 4 7 2 2" xfId="50538" xr:uid="{00000000-0005-0000-0000-000025C60000}"/>
    <cellStyle name="SAPBEXresItemX 4 7 3" xfId="50539" xr:uid="{00000000-0005-0000-0000-000026C60000}"/>
    <cellStyle name="SAPBEXresItemX 4 8" xfId="50540" xr:uid="{00000000-0005-0000-0000-000027C60000}"/>
    <cellStyle name="SAPBEXresItemX 4 8 2" xfId="50541" xr:uid="{00000000-0005-0000-0000-000028C60000}"/>
    <cellStyle name="SAPBEXresItemX 4 9" xfId="50542" xr:uid="{00000000-0005-0000-0000-000029C60000}"/>
    <cellStyle name="SAPBEXresItemX 5" xfId="50543" xr:uid="{00000000-0005-0000-0000-00002AC60000}"/>
    <cellStyle name="SAPBEXresItemX 5 2" xfId="50544" xr:uid="{00000000-0005-0000-0000-00002BC60000}"/>
    <cellStyle name="SAPBEXresItemX 5 2 2" xfId="50545" xr:uid="{00000000-0005-0000-0000-00002CC60000}"/>
    <cellStyle name="SAPBEXresItemX 5 2 2 2" xfId="50546" xr:uid="{00000000-0005-0000-0000-00002DC60000}"/>
    <cellStyle name="SAPBEXresItemX 5 2 2 2 2" xfId="50547" xr:uid="{00000000-0005-0000-0000-00002EC60000}"/>
    <cellStyle name="SAPBEXresItemX 5 2 2 3" xfId="50548" xr:uid="{00000000-0005-0000-0000-00002FC60000}"/>
    <cellStyle name="SAPBEXresItemX 5 2 3" xfId="50549" xr:uid="{00000000-0005-0000-0000-000030C60000}"/>
    <cellStyle name="SAPBEXresItemX 5 2 3 2" xfId="50550" xr:uid="{00000000-0005-0000-0000-000031C60000}"/>
    <cellStyle name="SAPBEXresItemX 5 2 4" xfId="50551" xr:uid="{00000000-0005-0000-0000-000032C60000}"/>
    <cellStyle name="SAPBEXresItemX 5 3" xfId="50552" xr:uid="{00000000-0005-0000-0000-000033C60000}"/>
    <cellStyle name="SAPBEXresItemX 5 3 2" xfId="50553" xr:uid="{00000000-0005-0000-0000-000034C60000}"/>
    <cellStyle name="SAPBEXresItemX 5 3 2 2" xfId="50554" xr:uid="{00000000-0005-0000-0000-000035C60000}"/>
    <cellStyle name="SAPBEXresItemX 5 3 3" xfId="50555" xr:uid="{00000000-0005-0000-0000-000036C60000}"/>
    <cellStyle name="SAPBEXresItemX 5 4" xfId="50556" xr:uid="{00000000-0005-0000-0000-000037C60000}"/>
    <cellStyle name="SAPBEXresItemX 5 4 2" xfId="50557" xr:uid="{00000000-0005-0000-0000-000038C60000}"/>
    <cellStyle name="SAPBEXresItemX 5 4 2 2" xfId="50558" xr:uid="{00000000-0005-0000-0000-000039C60000}"/>
    <cellStyle name="SAPBEXresItemX 5 4 3" xfId="50559" xr:uid="{00000000-0005-0000-0000-00003AC60000}"/>
    <cellStyle name="SAPBEXresItemX 5 5" xfId="50560" xr:uid="{00000000-0005-0000-0000-00003BC60000}"/>
    <cellStyle name="SAPBEXresItemX 5 5 2" xfId="50561" xr:uid="{00000000-0005-0000-0000-00003CC60000}"/>
    <cellStyle name="SAPBEXresItemX 5 5 2 2" xfId="50562" xr:uid="{00000000-0005-0000-0000-00003DC60000}"/>
    <cellStyle name="SAPBEXresItemX 5 5 3" xfId="50563" xr:uid="{00000000-0005-0000-0000-00003EC60000}"/>
    <cellStyle name="SAPBEXresItemX 5 6" xfId="50564" xr:uid="{00000000-0005-0000-0000-00003FC60000}"/>
    <cellStyle name="SAPBEXresItemX 5 6 2" xfId="50565" xr:uid="{00000000-0005-0000-0000-000040C60000}"/>
    <cellStyle name="SAPBEXresItemX 5 7" xfId="50566" xr:uid="{00000000-0005-0000-0000-000041C60000}"/>
    <cellStyle name="SAPBEXresItemX 6" xfId="50567" xr:uid="{00000000-0005-0000-0000-000042C60000}"/>
    <cellStyle name="SAPBEXresItemX 6 2" xfId="50568" xr:uid="{00000000-0005-0000-0000-000043C60000}"/>
    <cellStyle name="SAPBEXresItemX 6 2 2" xfId="50569" xr:uid="{00000000-0005-0000-0000-000044C60000}"/>
    <cellStyle name="SAPBEXresItemX 6 3" xfId="50570" xr:uid="{00000000-0005-0000-0000-000045C60000}"/>
    <cellStyle name="SAPBEXresItemX 6 3 2" xfId="50571" xr:uid="{00000000-0005-0000-0000-000046C60000}"/>
    <cellStyle name="SAPBEXresItemX 6 3 2 2" xfId="50572" xr:uid="{00000000-0005-0000-0000-000047C60000}"/>
    <cellStyle name="SAPBEXresItemX 6 3 3" xfId="50573" xr:uid="{00000000-0005-0000-0000-000048C60000}"/>
    <cellStyle name="SAPBEXresItemX 6 4" xfId="50574" xr:uid="{00000000-0005-0000-0000-000049C60000}"/>
    <cellStyle name="SAPBEXresItemX 6 4 2" xfId="50575" xr:uid="{00000000-0005-0000-0000-00004AC60000}"/>
    <cellStyle name="SAPBEXresItemX 6 4 2 2" xfId="50576" xr:uid="{00000000-0005-0000-0000-00004BC60000}"/>
    <cellStyle name="SAPBEXresItemX 6 4 3" xfId="50577" xr:uid="{00000000-0005-0000-0000-00004CC60000}"/>
    <cellStyle name="SAPBEXresItemX 6 5" xfId="50578" xr:uid="{00000000-0005-0000-0000-00004DC60000}"/>
    <cellStyle name="SAPBEXresItemX 7" xfId="50579" xr:uid="{00000000-0005-0000-0000-00004EC60000}"/>
    <cellStyle name="SAPBEXresItemX 7 2" xfId="50580" xr:uid="{00000000-0005-0000-0000-00004FC60000}"/>
    <cellStyle name="SAPBEXresItemX 7 2 2" xfId="50581" xr:uid="{00000000-0005-0000-0000-000050C60000}"/>
    <cellStyle name="SAPBEXresItemX 7 2 2 2" xfId="50582" xr:uid="{00000000-0005-0000-0000-000051C60000}"/>
    <cellStyle name="SAPBEXresItemX 7 2 3" xfId="50583" xr:uid="{00000000-0005-0000-0000-000052C60000}"/>
    <cellStyle name="SAPBEXresItemX 7 2 3 2" xfId="50584" xr:uid="{00000000-0005-0000-0000-000053C60000}"/>
    <cellStyle name="SAPBEXresItemX 7 2 3 2 2" xfId="50585" xr:uid="{00000000-0005-0000-0000-000054C60000}"/>
    <cellStyle name="SAPBEXresItemX 7 2 3 3" xfId="50586" xr:uid="{00000000-0005-0000-0000-000055C60000}"/>
    <cellStyle name="SAPBEXresItemX 7 2 4" xfId="50587" xr:uid="{00000000-0005-0000-0000-000056C60000}"/>
    <cellStyle name="SAPBEXresItemX 7 3" xfId="50588" xr:uid="{00000000-0005-0000-0000-000057C60000}"/>
    <cellStyle name="SAPBEXresItemX 7 3 2" xfId="50589" xr:uid="{00000000-0005-0000-0000-000058C60000}"/>
    <cellStyle name="SAPBEXresItemX 7 3 2 2" xfId="50590" xr:uid="{00000000-0005-0000-0000-000059C60000}"/>
    <cellStyle name="SAPBEXresItemX 7 3 3" xfId="50591" xr:uid="{00000000-0005-0000-0000-00005AC60000}"/>
    <cellStyle name="SAPBEXresItemX 7 4" xfId="50592" xr:uid="{00000000-0005-0000-0000-00005BC60000}"/>
    <cellStyle name="SAPBEXresItemX 7 4 2" xfId="50593" xr:uid="{00000000-0005-0000-0000-00005CC60000}"/>
    <cellStyle name="SAPBEXresItemX 7 4 2 2" xfId="50594" xr:uid="{00000000-0005-0000-0000-00005DC60000}"/>
    <cellStyle name="SAPBEXresItemX 7 4 3" xfId="50595" xr:uid="{00000000-0005-0000-0000-00005EC60000}"/>
    <cellStyle name="SAPBEXresItemX 7 5" xfId="50596" xr:uid="{00000000-0005-0000-0000-00005FC60000}"/>
    <cellStyle name="SAPBEXresItemX 7 5 2" xfId="50597" xr:uid="{00000000-0005-0000-0000-000060C60000}"/>
    <cellStyle name="SAPBEXresItemX 7 5 2 2" xfId="50598" xr:uid="{00000000-0005-0000-0000-000061C60000}"/>
    <cellStyle name="SAPBEXresItemX 7 5 3" xfId="50599" xr:uid="{00000000-0005-0000-0000-000062C60000}"/>
    <cellStyle name="SAPBEXresItemX 7 6" xfId="50600" xr:uid="{00000000-0005-0000-0000-000063C60000}"/>
    <cellStyle name="SAPBEXresItemX 8" xfId="50601" xr:uid="{00000000-0005-0000-0000-000064C60000}"/>
    <cellStyle name="SAPBEXresItemX 8 2" xfId="50602" xr:uid="{00000000-0005-0000-0000-000065C60000}"/>
    <cellStyle name="SAPBEXresItemX 8 2 2" xfId="50603" xr:uid="{00000000-0005-0000-0000-000066C60000}"/>
    <cellStyle name="SAPBEXresItemX 8 3" xfId="50604" xr:uid="{00000000-0005-0000-0000-000067C60000}"/>
    <cellStyle name="SAPBEXresItemX 9" xfId="50605" xr:uid="{00000000-0005-0000-0000-000068C60000}"/>
    <cellStyle name="SAPBEXresItemX 9 2" xfId="50606" xr:uid="{00000000-0005-0000-0000-000069C60000}"/>
    <cellStyle name="SAPBEXresItemX 9 2 2" xfId="50607" xr:uid="{00000000-0005-0000-0000-00006AC60000}"/>
    <cellStyle name="SAPBEXresItemX 9 3" xfId="50608" xr:uid="{00000000-0005-0000-0000-00006BC60000}"/>
    <cellStyle name="SAPBEXstdData" xfId="73" xr:uid="{00000000-0005-0000-0000-00006CC60000}"/>
    <cellStyle name="SAPBEXstdData 2" xfId="50609" xr:uid="{00000000-0005-0000-0000-00006DC60000}"/>
    <cellStyle name="SAPBEXstdData 2 2" xfId="50610" xr:uid="{00000000-0005-0000-0000-00006EC60000}"/>
    <cellStyle name="SAPBEXstdData 2 2 2" xfId="50611" xr:uid="{00000000-0005-0000-0000-00006FC60000}"/>
    <cellStyle name="SAPBEXstdData 2 2 2 2" xfId="50612" xr:uid="{00000000-0005-0000-0000-000070C60000}"/>
    <cellStyle name="SAPBEXstdData 2 2 3" xfId="50613" xr:uid="{00000000-0005-0000-0000-000071C60000}"/>
    <cellStyle name="SAPBEXstdData 2 3" xfId="50614" xr:uid="{00000000-0005-0000-0000-000072C60000}"/>
    <cellStyle name="SAPBEXstdData 2 3 2" xfId="50615" xr:uid="{00000000-0005-0000-0000-000073C60000}"/>
    <cellStyle name="SAPBEXstdData 2 3 2 2" xfId="50616" xr:uid="{00000000-0005-0000-0000-000074C60000}"/>
    <cellStyle name="SAPBEXstdData 2 3 3" xfId="50617" xr:uid="{00000000-0005-0000-0000-000075C60000}"/>
    <cellStyle name="SAPBEXstdData 2 4" xfId="50618" xr:uid="{00000000-0005-0000-0000-000076C60000}"/>
    <cellStyle name="SAPBEXstdData 2 4 2" xfId="50619" xr:uid="{00000000-0005-0000-0000-000077C60000}"/>
    <cellStyle name="SAPBEXstdData 2 4 2 2" xfId="50620" xr:uid="{00000000-0005-0000-0000-000078C60000}"/>
    <cellStyle name="SAPBEXstdData 2 4 3" xfId="50621" xr:uid="{00000000-0005-0000-0000-000079C60000}"/>
    <cellStyle name="SAPBEXstdData 2 5" xfId="50622" xr:uid="{00000000-0005-0000-0000-00007AC60000}"/>
    <cellStyle name="SAPBEXstdData 2 5 2" xfId="50623" xr:uid="{00000000-0005-0000-0000-00007BC60000}"/>
    <cellStyle name="SAPBEXstdData 2 6" xfId="50624" xr:uid="{00000000-0005-0000-0000-00007CC60000}"/>
    <cellStyle name="SAPBEXstdData 2 6 2" xfId="50625" xr:uid="{00000000-0005-0000-0000-00007DC60000}"/>
    <cellStyle name="SAPBEXstdData 2 6 2 2" xfId="50626" xr:uid="{00000000-0005-0000-0000-00007EC60000}"/>
    <cellStyle name="SAPBEXstdData 2 6 2 2 2" xfId="50627" xr:uid="{00000000-0005-0000-0000-00007FC60000}"/>
    <cellStyle name="SAPBEXstdData 2 6 2 3" xfId="50628" xr:uid="{00000000-0005-0000-0000-000080C60000}"/>
    <cellStyle name="SAPBEXstdData 2 6 3" xfId="50629" xr:uid="{00000000-0005-0000-0000-000081C60000}"/>
    <cellStyle name="SAPBEXstdData 2 6 3 2" xfId="50630" xr:uid="{00000000-0005-0000-0000-000082C60000}"/>
    <cellStyle name="SAPBEXstdData 2 6 4" xfId="50631" xr:uid="{00000000-0005-0000-0000-000083C60000}"/>
    <cellStyle name="SAPBEXstdData 2 7" xfId="50632" xr:uid="{00000000-0005-0000-0000-000084C60000}"/>
    <cellStyle name="SAPBEXstdData 3" xfId="50633" xr:uid="{00000000-0005-0000-0000-000085C60000}"/>
    <cellStyle name="SAPBEXstdData 3 2" xfId="50634" xr:uid="{00000000-0005-0000-0000-000086C60000}"/>
    <cellStyle name="SAPBEXstdData 3 2 2" xfId="50635" xr:uid="{00000000-0005-0000-0000-000087C60000}"/>
    <cellStyle name="SAPBEXstdData 3 2 2 2" xfId="50636" xr:uid="{00000000-0005-0000-0000-000088C60000}"/>
    <cellStyle name="SAPBEXstdData 3 2 3" xfId="50637" xr:uid="{00000000-0005-0000-0000-000089C60000}"/>
    <cellStyle name="SAPBEXstdData 3 3" xfId="50638" xr:uid="{00000000-0005-0000-0000-00008AC60000}"/>
    <cellStyle name="SAPBEXstdData 3 3 2" xfId="50639" xr:uid="{00000000-0005-0000-0000-00008BC60000}"/>
    <cellStyle name="SAPBEXstdData 3 4" xfId="50640" xr:uid="{00000000-0005-0000-0000-00008CC60000}"/>
    <cellStyle name="SAPBEXstdData 4" xfId="50641" xr:uid="{00000000-0005-0000-0000-00008DC60000}"/>
    <cellStyle name="SAPBEXstdData 4 2" xfId="50642" xr:uid="{00000000-0005-0000-0000-00008EC60000}"/>
    <cellStyle name="SAPBEXstdData 4 2 2" xfId="50643" xr:uid="{00000000-0005-0000-0000-00008FC60000}"/>
    <cellStyle name="SAPBEXstdData 4 3" xfId="50644" xr:uid="{00000000-0005-0000-0000-000090C60000}"/>
    <cellStyle name="SAPBEXstdData 5" xfId="50645" xr:uid="{00000000-0005-0000-0000-000091C60000}"/>
    <cellStyle name="SAPBEXstdData 5 2" xfId="50646" xr:uid="{00000000-0005-0000-0000-000092C60000}"/>
    <cellStyle name="SAPBEXstdData 5 2 2" xfId="50647" xr:uid="{00000000-0005-0000-0000-000093C60000}"/>
    <cellStyle name="SAPBEXstdData 5 3" xfId="50648" xr:uid="{00000000-0005-0000-0000-000094C60000}"/>
    <cellStyle name="SAPBEXstdData 6" xfId="50649" xr:uid="{00000000-0005-0000-0000-000095C60000}"/>
    <cellStyle name="SAPBEXstdData 6 2" xfId="50650" xr:uid="{00000000-0005-0000-0000-000096C60000}"/>
    <cellStyle name="SAPBEXstdData 6 2 2" xfId="50651" xr:uid="{00000000-0005-0000-0000-000097C60000}"/>
    <cellStyle name="SAPBEXstdData 6 3" xfId="50652" xr:uid="{00000000-0005-0000-0000-000098C60000}"/>
    <cellStyle name="SAPBEXstdData 7" xfId="50653" xr:uid="{00000000-0005-0000-0000-000099C60000}"/>
    <cellStyle name="SAPBEXstdData 7 2" xfId="50654" xr:uid="{00000000-0005-0000-0000-00009AC60000}"/>
    <cellStyle name="SAPBEXstdData 8" xfId="50655" xr:uid="{00000000-0005-0000-0000-00009BC60000}"/>
    <cellStyle name="SAPBEXstdData 8 2" xfId="50656" xr:uid="{00000000-0005-0000-0000-00009CC60000}"/>
    <cellStyle name="SAPBEXstdData 9" xfId="50657" xr:uid="{00000000-0005-0000-0000-00009DC60000}"/>
    <cellStyle name="SAPBEXstdDataEmph" xfId="74" xr:uid="{00000000-0005-0000-0000-00009EC60000}"/>
    <cellStyle name="SAPBEXstdDataEmph 2" xfId="50658" xr:uid="{00000000-0005-0000-0000-00009FC60000}"/>
    <cellStyle name="SAPBEXstdDataEmph 2 2" xfId="50659" xr:uid="{00000000-0005-0000-0000-0000A0C60000}"/>
    <cellStyle name="SAPBEXstdDataEmph 2 2 2" xfId="50660" xr:uid="{00000000-0005-0000-0000-0000A1C60000}"/>
    <cellStyle name="SAPBEXstdDataEmph 2 3" xfId="50661" xr:uid="{00000000-0005-0000-0000-0000A2C60000}"/>
    <cellStyle name="SAPBEXstdDataEmph 2 3 2" xfId="50662" xr:uid="{00000000-0005-0000-0000-0000A3C60000}"/>
    <cellStyle name="SAPBEXstdDataEmph 2 3 2 2" xfId="50663" xr:uid="{00000000-0005-0000-0000-0000A4C60000}"/>
    <cellStyle name="SAPBEXstdDataEmph 2 3 3" xfId="50664" xr:uid="{00000000-0005-0000-0000-0000A5C60000}"/>
    <cellStyle name="SAPBEXstdDataEmph 2 4" xfId="50665" xr:uid="{00000000-0005-0000-0000-0000A6C60000}"/>
    <cellStyle name="SAPBEXstdDataEmph 2 4 2" xfId="50666" xr:uid="{00000000-0005-0000-0000-0000A7C60000}"/>
    <cellStyle name="SAPBEXstdDataEmph 2 4 2 2" xfId="50667" xr:uid="{00000000-0005-0000-0000-0000A8C60000}"/>
    <cellStyle name="SAPBEXstdDataEmph 2 4 3" xfId="50668" xr:uid="{00000000-0005-0000-0000-0000A9C60000}"/>
    <cellStyle name="SAPBEXstdDataEmph 2 5" xfId="50669" xr:uid="{00000000-0005-0000-0000-0000AAC60000}"/>
    <cellStyle name="SAPBEXstdDataEmph 3" xfId="50670" xr:uid="{00000000-0005-0000-0000-0000ABC60000}"/>
    <cellStyle name="SAPBEXstdDataEmph 3 2" xfId="50671" xr:uid="{00000000-0005-0000-0000-0000ACC60000}"/>
    <cellStyle name="SAPBEXstdDataEmph 3 2 2" xfId="50672" xr:uid="{00000000-0005-0000-0000-0000ADC60000}"/>
    <cellStyle name="SAPBEXstdDataEmph 3 2 2 2" xfId="50673" xr:uid="{00000000-0005-0000-0000-0000AEC60000}"/>
    <cellStyle name="SAPBEXstdDataEmph 3 2 3" xfId="50674" xr:uid="{00000000-0005-0000-0000-0000AFC60000}"/>
    <cellStyle name="SAPBEXstdDataEmph 3 3" xfId="50675" xr:uid="{00000000-0005-0000-0000-0000B0C60000}"/>
    <cellStyle name="SAPBEXstdDataEmph 3 3 2" xfId="50676" xr:uid="{00000000-0005-0000-0000-0000B1C60000}"/>
    <cellStyle name="SAPBEXstdDataEmph 3 4" xfId="50677" xr:uid="{00000000-0005-0000-0000-0000B2C60000}"/>
    <cellStyle name="SAPBEXstdDataEmph 4" xfId="50678" xr:uid="{00000000-0005-0000-0000-0000B3C60000}"/>
    <cellStyle name="SAPBEXstdDataEmph 4 2" xfId="50679" xr:uid="{00000000-0005-0000-0000-0000B4C60000}"/>
    <cellStyle name="SAPBEXstdDataEmph 4 2 2" xfId="50680" xr:uid="{00000000-0005-0000-0000-0000B5C60000}"/>
    <cellStyle name="SAPBEXstdDataEmph 4 3" xfId="50681" xr:uid="{00000000-0005-0000-0000-0000B6C60000}"/>
    <cellStyle name="SAPBEXstdDataEmph 5" xfId="50682" xr:uid="{00000000-0005-0000-0000-0000B7C60000}"/>
    <cellStyle name="SAPBEXstdDataEmph 5 2" xfId="50683" xr:uid="{00000000-0005-0000-0000-0000B8C60000}"/>
    <cellStyle name="SAPBEXstdDataEmph 5 2 2" xfId="50684" xr:uid="{00000000-0005-0000-0000-0000B9C60000}"/>
    <cellStyle name="SAPBEXstdDataEmph 5 3" xfId="50685" xr:uid="{00000000-0005-0000-0000-0000BAC60000}"/>
    <cellStyle name="SAPBEXstdDataEmph 6" xfId="50686" xr:uid="{00000000-0005-0000-0000-0000BBC60000}"/>
    <cellStyle name="SAPBEXstdDataEmph 6 2" xfId="50687" xr:uid="{00000000-0005-0000-0000-0000BCC60000}"/>
    <cellStyle name="SAPBEXstdDataEmph 6 2 2" xfId="50688" xr:uid="{00000000-0005-0000-0000-0000BDC60000}"/>
    <cellStyle name="SAPBEXstdDataEmph 6 3" xfId="50689" xr:uid="{00000000-0005-0000-0000-0000BEC60000}"/>
    <cellStyle name="SAPBEXstdDataEmph 7" xfId="50690" xr:uid="{00000000-0005-0000-0000-0000BFC60000}"/>
    <cellStyle name="SAPBEXstdDataEmph 7 2" xfId="50691" xr:uid="{00000000-0005-0000-0000-0000C0C60000}"/>
    <cellStyle name="SAPBEXstdDataEmph 8" xfId="50692" xr:uid="{00000000-0005-0000-0000-0000C1C60000}"/>
    <cellStyle name="SAPBEXstdItem" xfId="75" xr:uid="{00000000-0005-0000-0000-0000C2C60000}"/>
    <cellStyle name="SAPBEXstdItem 2" xfId="50693" xr:uid="{00000000-0005-0000-0000-0000C3C60000}"/>
    <cellStyle name="SAPBEXstdItem 2 2" xfId="50694" xr:uid="{00000000-0005-0000-0000-0000C4C60000}"/>
    <cellStyle name="SAPBEXstdItem 2 2 2" xfId="50695" xr:uid="{00000000-0005-0000-0000-0000C5C60000}"/>
    <cellStyle name="SAPBEXstdItem 2 2 2 2" xfId="50696" xr:uid="{00000000-0005-0000-0000-0000C6C60000}"/>
    <cellStyle name="SAPBEXstdItem 2 2 3" xfId="50697" xr:uid="{00000000-0005-0000-0000-0000C7C60000}"/>
    <cellStyle name="SAPBEXstdItem 2 3" xfId="50698" xr:uid="{00000000-0005-0000-0000-0000C8C60000}"/>
    <cellStyle name="SAPBEXstdItem 2 3 2" xfId="50699" xr:uid="{00000000-0005-0000-0000-0000C9C60000}"/>
    <cellStyle name="SAPBEXstdItem 2 3 2 2" xfId="50700" xr:uid="{00000000-0005-0000-0000-0000CAC60000}"/>
    <cellStyle name="SAPBEXstdItem 2 3 3" xfId="50701" xr:uid="{00000000-0005-0000-0000-0000CBC60000}"/>
    <cellStyle name="SAPBEXstdItem 2 4" xfId="50702" xr:uid="{00000000-0005-0000-0000-0000CCC60000}"/>
    <cellStyle name="SAPBEXstdItem 2 4 2" xfId="50703" xr:uid="{00000000-0005-0000-0000-0000CDC60000}"/>
    <cellStyle name="SAPBEXstdItem 2 4 2 2" xfId="50704" xr:uid="{00000000-0005-0000-0000-0000CEC60000}"/>
    <cellStyle name="SAPBEXstdItem 2 4 3" xfId="50705" xr:uid="{00000000-0005-0000-0000-0000CFC60000}"/>
    <cellStyle name="SAPBEXstdItem 2 5" xfId="50706" xr:uid="{00000000-0005-0000-0000-0000D0C60000}"/>
    <cellStyle name="SAPBEXstdItem 2 5 2" xfId="50707" xr:uid="{00000000-0005-0000-0000-0000D1C60000}"/>
    <cellStyle name="SAPBEXstdItem 2 6" xfId="50708" xr:uid="{00000000-0005-0000-0000-0000D2C60000}"/>
    <cellStyle name="SAPBEXstdItem 2 6 2" xfId="50709" xr:uid="{00000000-0005-0000-0000-0000D3C60000}"/>
    <cellStyle name="SAPBEXstdItem 2 6 2 2" xfId="50710" xr:uid="{00000000-0005-0000-0000-0000D4C60000}"/>
    <cellStyle name="SAPBEXstdItem 2 6 2 2 2" xfId="50711" xr:uid="{00000000-0005-0000-0000-0000D5C60000}"/>
    <cellStyle name="SAPBEXstdItem 2 6 2 3" xfId="50712" xr:uid="{00000000-0005-0000-0000-0000D6C60000}"/>
    <cellStyle name="SAPBEXstdItem 2 6 3" xfId="50713" xr:uid="{00000000-0005-0000-0000-0000D7C60000}"/>
    <cellStyle name="SAPBEXstdItem 2 6 3 2" xfId="50714" xr:uid="{00000000-0005-0000-0000-0000D8C60000}"/>
    <cellStyle name="SAPBEXstdItem 2 6 4" xfId="50715" xr:uid="{00000000-0005-0000-0000-0000D9C60000}"/>
    <cellStyle name="SAPBEXstdItem 2 7" xfId="50716" xr:uid="{00000000-0005-0000-0000-0000DAC60000}"/>
    <cellStyle name="SAPBEXstdItem 3" xfId="50717" xr:uid="{00000000-0005-0000-0000-0000DBC60000}"/>
    <cellStyle name="SAPBEXstdItem 3 2" xfId="50718" xr:uid="{00000000-0005-0000-0000-0000DCC60000}"/>
    <cellStyle name="SAPBEXstdItem 3 2 2" xfId="50719" xr:uid="{00000000-0005-0000-0000-0000DDC60000}"/>
    <cellStyle name="SAPBEXstdItem 3 2 2 2" xfId="50720" xr:uid="{00000000-0005-0000-0000-0000DEC60000}"/>
    <cellStyle name="SAPBEXstdItem 3 2 3" xfId="50721" xr:uid="{00000000-0005-0000-0000-0000DFC60000}"/>
    <cellStyle name="SAPBEXstdItem 3 3" xfId="50722" xr:uid="{00000000-0005-0000-0000-0000E0C60000}"/>
    <cellStyle name="SAPBEXstdItem 3 3 2" xfId="50723" xr:uid="{00000000-0005-0000-0000-0000E1C60000}"/>
    <cellStyle name="SAPBEXstdItem 3 4" xfId="50724" xr:uid="{00000000-0005-0000-0000-0000E2C60000}"/>
    <cellStyle name="SAPBEXstdItem 4" xfId="50725" xr:uid="{00000000-0005-0000-0000-0000E3C60000}"/>
    <cellStyle name="SAPBEXstdItem 4 2" xfId="50726" xr:uid="{00000000-0005-0000-0000-0000E4C60000}"/>
    <cellStyle name="SAPBEXstdItem 4 2 2" xfId="50727" xr:uid="{00000000-0005-0000-0000-0000E5C60000}"/>
    <cellStyle name="SAPBEXstdItem 4 3" xfId="50728" xr:uid="{00000000-0005-0000-0000-0000E6C60000}"/>
    <cellStyle name="SAPBEXstdItem 5" xfId="50729" xr:uid="{00000000-0005-0000-0000-0000E7C60000}"/>
    <cellStyle name="SAPBEXstdItem 5 2" xfId="50730" xr:uid="{00000000-0005-0000-0000-0000E8C60000}"/>
    <cellStyle name="SAPBEXstdItem 5 2 2" xfId="50731" xr:uid="{00000000-0005-0000-0000-0000E9C60000}"/>
    <cellStyle name="SAPBEXstdItem 5 3" xfId="50732" xr:uid="{00000000-0005-0000-0000-0000EAC60000}"/>
    <cellStyle name="SAPBEXstdItem 6" xfId="50733" xr:uid="{00000000-0005-0000-0000-0000EBC60000}"/>
    <cellStyle name="SAPBEXstdItem 6 2" xfId="50734" xr:uid="{00000000-0005-0000-0000-0000ECC60000}"/>
    <cellStyle name="SAPBEXstdItem 6 2 2" xfId="50735" xr:uid="{00000000-0005-0000-0000-0000EDC60000}"/>
    <cellStyle name="SAPBEXstdItem 6 3" xfId="50736" xr:uid="{00000000-0005-0000-0000-0000EEC60000}"/>
    <cellStyle name="SAPBEXstdItem 7" xfId="50737" xr:uid="{00000000-0005-0000-0000-0000EFC60000}"/>
    <cellStyle name="SAPBEXstdItem 7 2" xfId="50738" xr:uid="{00000000-0005-0000-0000-0000F0C60000}"/>
    <cellStyle name="SAPBEXstdItem 8" xfId="50739" xr:uid="{00000000-0005-0000-0000-0000F1C60000}"/>
    <cellStyle name="SAPBEXstdItem 8 2" xfId="50740" xr:uid="{00000000-0005-0000-0000-0000F2C60000}"/>
    <cellStyle name="SAPBEXstdItem 9" xfId="50741" xr:uid="{00000000-0005-0000-0000-0000F3C60000}"/>
    <cellStyle name="SAPBEXstdItem_Forecast Template 3-31-11.updates (Alan Updates)" xfId="50742" xr:uid="{00000000-0005-0000-0000-0000F4C60000}"/>
    <cellStyle name="SAPBEXstdItemX" xfId="76" xr:uid="{00000000-0005-0000-0000-0000F5C60000}"/>
    <cellStyle name="SAPBEXstdItemX 10" xfId="50743" xr:uid="{00000000-0005-0000-0000-0000F6C60000}"/>
    <cellStyle name="SAPBEXstdItemX 10 2" xfId="50744" xr:uid="{00000000-0005-0000-0000-0000F7C60000}"/>
    <cellStyle name="SAPBEXstdItemX 10 2 2" xfId="50745" xr:uid="{00000000-0005-0000-0000-0000F8C60000}"/>
    <cellStyle name="SAPBEXstdItemX 10 3" xfId="50746" xr:uid="{00000000-0005-0000-0000-0000F9C60000}"/>
    <cellStyle name="SAPBEXstdItemX 11" xfId="50747" xr:uid="{00000000-0005-0000-0000-0000FAC60000}"/>
    <cellStyle name="SAPBEXstdItemX 11 2" xfId="50748" xr:uid="{00000000-0005-0000-0000-0000FBC60000}"/>
    <cellStyle name="SAPBEXstdItemX 12" xfId="50749" xr:uid="{00000000-0005-0000-0000-0000FCC60000}"/>
    <cellStyle name="SAPBEXstdItemX 12 2" xfId="50750" xr:uid="{00000000-0005-0000-0000-0000FDC60000}"/>
    <cellStyle name="SAPBEXstdItemX 12 2 2" xfId="50751" xr:uid="{00000000-0005-0000-0000-0000FEC60000}"/>
    <cellStyle name="SAPBEXstdItemX 12 3" xfId="50752" xr:uid="{00000000-0005-0000-0000-0000FFC60000}"/>
    <cellStyle name="SAPBEXstdItemX 12 3 2" xfId="50753" xr:uid="{00000000-0005-0000-0000-000000C70000}"/>
    <cellStyle name="SAPBEXstdItemX 12 4" xfId="50754" xr:uid="{00000000-0005-0000-0000-000001C70000}"/>
    <cellStyle name="SAPBEXstdItemX 13" xfId="50755" xr:uid="{00000000-0005-0000-0000-000002C70000}"/>
    <cellStyle name="SAPBEXstdItemX 13 2" xfId="50756" xr:uid="{00000000-0005-0000-0000-000003C70000}"/>
    <cellStyle name="SAPBEXstdItemX 14" xfId="50757" xr:uid="{00000000-0005-0000-0000-000004C70000}"/>
    <cellStyle name="SAPBEXstdItemX 14 2" xfId="50758" xr:uid="{00000000-0005-0000-0000-000005C70000}"/>
    <cellStyle name="SAPBEXstdItemX 15" xfId="50759" xr:uid="{00000000-0005-0000-0000-000006C70000}"/>
    <cellStyle name="SAPBEXstdItemX 15 2" xfId="50760" xr:uid="{00000000-0005-0000-0000-000007C70000}"/>
    <cellStyle name="SAPBEXstdItemX 16" xfId="50761" xr:uid="{00000000-0005-0000-0000-000008C70000}"/>
    <cellStyle name="SAPBEXstdItemX 17" xfId="50762" xr:uid="{00000000-0005-0000-0000-000009C70000}"/>
    <cellStyle name="SAPBEXstdItemX 2" xfId="50763" xr:uid="{00000000-0005-0000-0000-00000AC70000}"/>
    <cellStyle name="SAPBEXstdItemX 2 10" xfId="50764" xr:uid="{00000000-0005-0000-0000-00000BC70000}"/>
    <cellStyle name="SAPBEXstdItemX 2 2" xfId="50765" xr:uid="{00000000-0005-0000-0000-00000CC70000}"/>
    <cellStyle name="SAPBEXstdItemX 2 2 2" xfId="50766" xr:uid="{00000000-0005-0000-0000-00000DC70000}"/>
    <cellStyle name="SAPBEXstdItemX 2 2 2 2" xfId="50767" xr:uid="{00000000-0005-0000-0000-00000EC70000}"/>
    <cellStyle name="SAPBEXstdItemX 2 2 2 2 2" xfId="50768" xr:uid="{00000000-0005-0000-0000-00000FC70000}"/>
    <cellStyle name="SAPBEXstdItemX 2 2 2 2 2 2" xfId="50769" xr:uid="{00000000-0005-0000-0000-000010C70000}"/>
    <cellStyle name="SAPBEXstdItemX 2 2 2 2 3" xfId="50770" xr:uid="{00000000-0005-0000-0000-000011C70000}"/>
    <cellStyle name="SAPBEXstdItemX 2 2 2 3" xfId="50771" xr:uid="{00000000-0005-0000-0000-000012C70000}"/>
    <cellStyle name="SAPBEXstdItemX 2 2 2 3 2" xfId="50772" xr:uid="{00000000-0005-0000-0000-000013C70000}"/>
    <cellStyle name="SAPBEXstdItemX 2 2 2 4" xfId="50773" xr:uid="{00000000-0005-0000-0000-000014C70000}"/>
    <cellStyle name="SAPBEXstdItemX 2 2 3" xfId="50774" xr:uid="{00000000-0005-0000-0000-000015C70000}"/>
    <cellStyle name="SAPBEXstdItemX 2 2 3 2" xfId="50775" xr:uid="{00000000-0005-0000-0000-000016C70000}"/>
    <cellStyle name="SAPBEXstdItemX 2 2 3 2 2" xfId="50776" xr:uid="{00000000-0005-0000-0000-000017C70000}"/>
    <cellStyle name="SAPBEXstdItemX 2 2 3 3" xfId="50777" xr:uid="{00000000-0005-0000-0000-000018C70000}"/>
    <cellStyle name="SAPBEXstdItemX 2 2 4" xfId="50778" xr:uid="{00000000-0005-0000-0000-000019C70000}"/>
    <cellStyle name="SAPBEXstdItemX 2 2 4 2" xfId="50779" xr:uid="{00000000-0005-0000-0000-00001AC70000}"/>
    <cellStyle name="SAPBEXstdItemX 2 2 4 2 2" xfId="50780" xr:uid="{00000000-0005-0000-0000-00001BC70000}"/>
    <cellStyle name="SAPBEXstdItemX 2 2 4 3" xfId="50781" xr:uid="{00000000-0005-0000-0000-00001CC70000}"/>
    <cellStyle name="SAPBEXstdItemX 2 2 5" xfId="50782" xr:uid="{00000000-0005-0000-0000-00001DC70000}"/>
    <cellStyle name="SAPBEXstdItemX 2 2 5 2" xfId="50783" xr:uid="{00000000-0005-0000-0000-00001EC70000}"/>
    <cellStyle name="SAPBEXstdItemX 2 2 5 2 2" xfId="50784" xr:uid="{00000000-0005-0000-0000-00001FC70000}"/>
    <cellStyle name="SAPBEXstdItemX 2 2 5 3" xfId="50785" xr:uid="{00000000-0005-0000-0000-000020C70000}"/>
    <cellStyle name="SAPBEXstdItemX 2 2 6" xfId="50786" xr:uid="{00000000-0005-0000-0000-000021C70000}"/>
    <cellStyle name="SAPBEXstdItemX 2 2 6 2" xfId="50787" xr:uid="{00000000-0005-0000-0000-000022C70000}"/>
    <cellStyle name="SAPBEXstdItemX 2 2 7" xfId="50788" xr:uid="{00000000-0005-0000-0000-000023C70000}"/>
    <cellStyle name="SAPBEXstdItemX 2 3" xfId="50789" xr:uid="{00000000-0005-0000-0000-000024C70000}"/>
    <cellStyle name="SAPBEXstdItemX 2 3 2" xfId="50790" xr:uid="{00000000-0005-0000-0000-000025C70000}"/>
    <cellStyle name="SAPBEXstdItemX 2 3 2 2" xfId="50791" xr:uid="{00000000-0005-0000-0000-000026C70000}"/>
    <cellStyle name="SAPBEXstdItemX 2 3 2 2 2" xfId="50792" xr:uid="{00000000-0005-0000-0000-000027C70000}"/>
    <cellStyle name="SAPBEXstdItemX 2 3 2 2 2 2" xfId="50793" xr:uid="{00000000-0005-0000-0000-000028C70000}"/>
    <cellStyle name="SAPBEXstdItemX 2 3 2 2 2 2 2" xfId="50794" xr:uid="{00000000-0005-0000-0000-000029C70000}"/>
    <cellStyle name="SAPBEXstdItemX 2 3 2 2 2 3" xfId="50795" xr:uid="{00000000-0005-0000-0000-00002AC70000}"/>
    <cellStyle name="SAPBEXstdItemX 2 3 2 2 3" xfId="50796" xr:uid="{00000000-0005-0000-0000-00002BC70000}"/>
    <cellStyle name="SAPBEXstdItemX 2 3 2 2 3 2" xfId="50797" xr:uid="{00000000-0005-0000-0000-00002CC70000}"/>
    <cellStyle name="SAPBEXstdItemX 2 3 2 2 4" xfId="50798" xr:uid="{00000000-0005-0000-0000-00002DC70000}"/>
    <cellStyle name="SAPBEXstdItemX 2 3 2 3" xfId="50799" xr:uid="{00000000-0005-0000-0000-00002EC70000}"/>
    <cellStyle name="SAPBEXstdItemX 2 3 2 3 2" xfId="50800" xr:uid="{00000000-0005-0000-0000-00002FC70000}"/>
    <cellStyle name="SAPBEXstdItemX 2 3 2 3 2 2" xfId="50801" xr:uid="{00000000-0005-0000-0000-000030C70000}"/>
    <cellStyle name="SAPBEXstdItemX 2 3 2 3 3" xfId="50802" xr:uid="{00000000-0005-0000-0000-000031C70000}"/>
    <cellStyle name="SAPBEXstdItemX 2 3 2 4" xfId="50803" xr:uid="{00000000-0005-0000-0000-000032C70000}"/>
    <cellStyle name="SAPBEXstdItemX 2 3 2 4 2" xfId="50804" xr:uid="{00000000-0005-0000-0000-000033C70000}"/>
    <cellStyle name="SAPBEXstdItemX 2 3 2 4 2 2" xfId="50805" xr:uid="{00000000-0005-0000-0000-000034C70000}"/>
    <cellStyle name="SAPBEXstdItemX 2 3 2 4 3" xfId="50806" xr:uid="{00000000-0005-0000-0000-000035C70000}"/>
    <cellStyle name="SAPBEXstdItemX 2 3 2 5" xfId="50807" xr:uid="{00000000-0005-0000-0000-000036C70000}"/>
    <cellStyle name="SAPBEXstdItemX 2 3 2 5 2" xfId="50808" xr:uid="{00000000-0005-0000-0000-000037C70000}"/>
    <cellStyle name="SAPBEXstdItemX 2 3 2 6" xfId="50809" xr:uid="{00000000-0005-0000-0000-000038C70000}"/>
    <cellStyle name="SAPBEXstdItemX 2 3 3" xfId="50810" xr:uid="{00000000-0005-0000-0000-000039C70000}"/>
    <cellStyle name="SAPBEXstdItemX 2 3 3 2" xfId="50811" xr:uid="{00000000-0005-0000-0000-00003AC70000}"/>
    <cellStyle name="SAPBEXstdItemX 2 3 3 2 2" xfId="50812" xr:uid="{00000000-0005-0000-0000-00003BC70000}"/>
    <cellStyle name="SAPBEXstdItemX 2 3 3 2 2 2" xfId="50813" xr:uid="{00000000-0005-0000-0000-00003CC70000}"/>
    <cellStyle name="SAPBEXstdItemX 2 3 3 2 2 2 2" xfId="50814" xr:uid="{00000000-0005-0000-0000-00003DC70000}"/>
    <cellStyle name="SAPBEXstdItemX 2 3 3 2 2 3" xfId="50815" xr:uid="{00000000-0005-0000-0000-00003EC70000}"/>
    <cellStyle name="SAPBEXstdItemX 2 3 3 2 3" xfId="50816" xr:uid="{00000000-0005-0000-0000-00003FC70000}"/>
    <cellStyle name="SAPBEXstdItemX 2 3 3 2 3 2" xfId="50817" xr:uid="{00000000-0005-0000-0000-000040C70000}"/>
    <cellStyle name="SAPBEXstdItemX 2 3 3 2 4" xfId="50818" xr:uid="{00000000-0005-0000-0000-000041C70000}"/>
    <cellStyle name="SAPBEXstdItemX 2 3 3 3" xfId="50819" xr:uid="{00000000-0005-0000-0000-000042C70000}"/>
    <cellStyle name="SAPBEXstdItemX 2 3 3 3 2" xfId="50820" xr:uid="{00000000-0005-0000-0000-000043C70000}"/>
    <cellStyle name="SAPBEXstdItemX 2 3 3 3 2 2" xfId="50821" xr:uid="{00000000-0005-0000-0000-000044C70000}"/>
    <cellStyle name="SAPBEXstdItemX 2 3 3 3 3" xfId="50822" xr:uid="{00000000-0005-0000-0000-000045C70000}"/>
    <cellStyle name="SAPBEXstdItemX 2 3 3 4" xfId="50823" xr:uid="{00000000-0005-0000-0000-000046C70000}"/>
    <cellStyle name="SAPBEXstdItemX 2 3 3 4 2" xfId="50824" xr:uid="{00000000-0005-0000-0000-000047C70000}"/>
    <cellStyle name="SAPBEXstdItemX 2 3 3 5" xfId="50825" xr:uid="{00000000-0005-0000-0000-000048C70000}"/>
    <cellStyle name="SAPBEXstdItemX 2 3 4" xfId="50826" xr:uid="{00000000-0005-0000-0000-000049C70000}"/>
    <cellStyle name="SAPBEXstdItemX 2 3 4 2" xfId="50827" xr:uid="{00000000-0005-0000-0000-00004AC70000}"/>
    <cellStyle name="SAPBEXstdItemX 2 3 4 2 2" xfId="50828" xr:uid="{00000000-0005-0000-0000-00004BC70000}"/>
    <cellStyle name="SAPBEXstdItemX 2 3 4 3" xfId="50829" xr:uid="{00000000-0005-0000-0000-00004CC70000}"/>
    <cellStyle name="SAPBEXstdItemX 2 3 5" xfId="50830" xr:uid="{00000000-0005-0000-0000-00004DC70000}"/>
    <cellStyle name="SAPBEXstdItemX 2 3 5 2" xfId="50831" xr:uid="{00000000-0005-0000-0000-00004EC70000}"/>
    <cellStyle name="SAPBEXstdItemX 2 3 5 2 2" xfId="50832" xr:uid="{00000000-0005-0000-0000-00004FC70000}"/>
    <cellStyle name="SAPBEXstdItemX 2 3 5 3" xfId="50833" xr:uid="{00000000-0005-0000-0000-000050C70000}"/>
    <cellStyle name="SAPBEXstdItemX 2 3 6" xfId="50834" xr:uid="{00000000-0005-0000-0000-000051C70000}"/>
    <cellStyle name="SAPBEXstdItemX 2 3 6 2" xfId="50835" xr:uid="{00000000-0005-0000-0000-000052C70000}"/>
    <cellStyle name="SAPBEXstdItemX 2 3 6 2 2" xfId="50836" xr:uid="{00000000-0005-0000-0000-000053C70000}"/>
    <cellStyle name="SAPBEXstdItemX 2 3 6 3" xfId="50837" xr:uid="{00000000-0005-0000-0000-000054C70000}"/>
    <cellStyle name="SAPBEXstdItemX 2 3 7" xfId="50838" xr:uid="{00000000-0005-0000-0000-000055C70000}"/>
    <cellStyle name="SAPBEXstdItemX 2 3 7 2" xfId="50839" xr:uid="{00000000-0005-0000-0000-000056C70000}"/>
    <cellStyle name="SAPBEXstdItemX 2 3 8" xfId="50840" xr:uid="{00000000-0005-0000-0000-000057C70000}"/>
    <cellStyle name="SAPBEXstdItemX 2 4" xfId="50841" xr:uid="{00000000-0005-0000-0000-000058C70000}"/>
    <cellStyle name="SAPBEXstdItemX 2 4 2" xfId="50842" xr:uid="{00000000-0005-0000-0000-000059C70000}"/>
    <cellStyle name="SAPBEXstdItemX 2 4 2 2" xfId="50843" xr:uid="{00000000-0005-0000-0000-00005AC70000}"/>
    <cellStyle name="SAPBEXstdItemX 2 4 2 2 2" xfId="50844" xr:uid="{00000000-0005-0000-0000-00005BC70000}"/>
    <cellStyle name="SAPBEXstdItemX 2 4 2 2 2 2" xfId="50845" xr:uid="{00000000-0005-0000-0000-00005CC70000}"/>
    <cellStyle name="SAPBEXstdItemX 2 4 2 2 3" xfId="50846" xr:uid="{00000000-0005-0000-0000-00005DC70000}"/>
    <cellStyle name="SAPBEXstdItemX 2 4 2 3" xfId="50847" xr:uid="{00000000-0005-0000-0000-00005EC70000}"/>
    <cellStyle name="SAPBEXstdItemX 2 4 2 3 2" xfId="50848" xr:uid="{00000000-0005-0000-0000-00005FC70000}"/>
    <cellStyle name="SAPBEXstdItemX 2 4 2 3 2 2" xfId="50849" xr:uid="{00000000-0005-0000-0000-000060C70000}"/>
    <cellStyle name="SAPBEXstdItemX 2 4 2 3 3" xfId="50850" xr:uid="{00000000-0005-0000-0000-000061C70000}"/>
    <cellStyle name="SAPBEXstdItemX 2 4 2 4" xfId="50851" xr:uid="{00000000-0005-0000-0000-000062C70000}"/>
    <cellStyle name="SAPBEXstdItemX 2 4 2 4 2" xfId="50852" xr:uid="{00000000-0005-0000-0000-000063C70000}"/>
    <cellStyle name="SAPBEXstdItemX 2 4 2 5" xfId="50853" xr:uid="{00000000-0005-0000-0000-000064C70000}"/>
    <cellStyle name="SAPBEXstdItemX 2 4 3" xfId="50854" xr:uid="{00000000-0005-0000-0000-000065C70000}"/>
    <cellStyle name="SAPBEXstdItemX 2 4 3 2" xfId="50855" xr:uid="{00000000-0005-0000-0000-000066C70000}"/>
    <cellStyle name="SAPBEXstdItemX 2 4 3 2 2" xfId="50856" xr:uid="{00000000-0005-0000-0000-000067C70000}"/>
    <cellStyle name="SAPBEXstdItemX 2 4 3 2 2 2" xfId="50857" xr:uid="{00000000-0005-0000-0000-000068C70000}"/>
    <cellStyle name="SAPBEXstdItemX 2 4 3 2 3" xfId="50858" xr:uid="{00000000-0005-0000-0000-000069C70000}"/>
    <cellStyle name="SAPBEXstdItemX 2 4 3 3" xfId="50859" xr:uid="{00000000-0005-0000-0000-00006AC70000}"/>
    <cellStyle name="SAPBEXstdItemX 2 4 3 3 2" xfId="50860" xr:uid="{00000000-0005-0000-0000-00006BC70000}"/>
    <cellStyle name="SAPBEXstdItemX 2 4 3 4" xfId="50861" xr:uid="{00000000-0005-0000-0000-00006CC70000}"/>
    <cellStyle name="SAPBEXstdItemX 2 4 4" xfId="50862" xr:uid="{00000000-0005-0000-0000-00006DC70000}"/>
    <cellStyle name="SAPBEXstdItemX 2 4 4 2" xfId="50863" xr:uid="{00000000-0005-0000-0000-00006EC70000}"/>
    <cellStyle name="SAPBEXstdItemX 2 4 4 2 2" xfId="50864" xr:uid="{00000000-0005-0000-0000-00006FC70000}"/>
    <cellStyle name="SAPBEXstdItemX 2 4 4 3" xfId="50865" xr:uid="{00000000-0005-0000-0000-000070C70000}"/>
    <cellStyle name="SAPBEXstdItemX 2 4 5" xfId="50866" xr:uid="{00000000-0005-0000-0000-000071C70000}"/>
    <cellStyle name="SAPBEXstdItemX 2 4 5 2" xfId="50867" xr:uid="{00000000-0005-0000-0000-000072C70000}"/>
    <cellStyle name="SAPBEXstdItemX 2 4 6" xfId="50868" xr:uid="{00000000-0005-0000-0000-000073C70000}"/>
    <cellStyle name="SAPBEXstdItemX 2 5" xfId="50869" xr:uid="{00000000-0005-0000-0000-000074C70000}"/>
    <cellStyle name="SAPBEXstdItemX 2 5 2" xfId="50870" xr:uid="{00000000-0005-0000-0000-000075C70000}"/>
    <cellStyle name="SAPBEXstdItemX 2 5 2 2" xfId="50871" xr:uid="{00000000-0005-0000-0000-000076C70000}"/>
    <cellStyle name="SAPBEXstdItemX 2 5 2 2 2" xfId="50872" xr:uid="{00000000-0005-0000-0000-000077C70000}"/>
    <cellStyle name="SAPBEXstdItemX 2 5 2 2 2 2" xfId="50873" xr:uid="{00000000-0005-0000-0000-000078C70000}"/>
    <cellStyle name="SAPBEXstdItemX 2 5 2 2 3" xfId="50874" xr:uid="{00000000-0005-0000-0000-000079C70000}"/>
    <cellStyle name="SAPBEXstdItemX 2 5 2 3" xfId="50875" xr:uid="{00000000-0005-0000-0000-00007AC70000}"/>
    <cellStyle name="SAPBEXstdItemX 2 5 2 3 2" xfId="50876" xr:uid="{00000000-0005-0000-0000-00007BC70000}"/>
    <cellStyle name="SAPBEXstdItemX 2 5 2 4" xfId="50877" xr:uid="{00000000-0005-0000-0000-00007CC70000}"/>
    <cellStyle name="SAPBEXstdItemX 2 5 3" xfId="50878" xr:uid="{00000000-0005-0000-0000-00007DC70000}"/>
    <cellStyle name="SAPBEXstdItemX 2 5 3 2" xfId="50879" xr:uid="{00000000-0005-0000-0000-00007EC70000}"/>
    <cellStyle name="SAPBEXstdItemX 2 5 3 2 2" xfId="50880" xr:uid="{00000000-0005-0000-0000-00007FC70000}"/>
    <cellStyle name="SAPBEXstdItemX 2 5 3 3" xfId="50881" xr:uid="{00000000-0005-0000-0000-000080C70000}"/>
    <cellStyle name="SAPBEXstdItemX 2 5 4" xfId="50882" xr:uid="{00000000-0005-0000-0000-000081C70000}"/>
    <cellStyle name="SAPBEXstdItemX 2 5 4 2" xfId="50883" xr:uid="{00000000-0005-0000-0000-000082C70000}"/>
    <cellStyle name="SAPBEXstdItemX 2 5 5" xfId="50884" xr:uid="{00000000-0005-0000-0000-000083C70000}"/>
    <cellStyle name="SAPBEXstdItemX 2 6" xfId="50885" xr:uid="{00000000-0005-0000-0000-000084C70000}"/>
    <cellStyle name="SAPBEXstdItemX 2 6 2" xfId="50886" xr:uid="{00000000-0005-0000-0000-000085C70000}"/>
    <cellStyle name="SAPBEXstdItemX 2 6 2 2" xfId="50887" xr:uid="{00000000-0005-0000-0000-000086C70000}"/>
    <cellStyle name="SAPBEXstdItemX 2 6 3" xfId="50888" xr:uid="{00000000-0005-0000-0000-000087C70000}"/>
    <cellStyle name="SAPBEXstdItemX 2 7" xfId="50889" xr:uid="{00000000-0005-0000-0000-000088C70000}"/>
    <cellStyle name="SAPBEXstdItemX 2 7 2" xfId="50890" xr:uid="{00000000-0005-0000-0000-000089C70000}"/>
    <cellStyle name="SAPBEXstdItemX 2 7 2 2" xfId="50891" xr:uid="{00000000-0005-0000-0000-00008AC70000}"/>
    <cellStyle name="SAPBEXstdItemX 2 7 3" xfId="50892" xr:uid="{00000000-0005-0000-0000-00008BC70000}"/>
    <cellStyle name="SAPBEXstdItemX 2 8" xfId="50893" xr:uid="{00000000-0005-0000-0000-00008CC70000}"/>
    <cellStyle name="SAPBEXstdItemX 2 8 2" xfId="50894" xr:uid="{00000000-0005-0000-0000-00008DC70000}"/>
    <cellStyle name="SAPBEXstdItemX 2 8 2 2" xfId="50895" xr:uid="{00000000-0005-0000-0000-00008EC70000}"/>
    <cellStyle name="SAPBEXstdItemX 2 8 3" xfId="50896" xr:uid="{00000000-0005-0000-0000-00008FC70000}"/>
    <cellStyle name="SAPBEXstdItemX 2 9" xfId="50897" xr:uid="{00000000-0005-0000-0000-000090C70000}"/>
    <cellStyle name="SAPBEXstdItemX 2 9 2" xfId="50898" xr:uid="{00000000-0005-0000-0000-000091C70000}"/>
    <cellStyle name="SAPBEXstdItemX 3" xfId="50899" xr:uid="{00000000-0005-0000-0000-000092C70000}"/>
    <cellStyle name="SAPBEXstdItemX 3 2" xfId="50900" xr:uid="{00000000-0005-0000-0000-000093C70000}"/>
    <cellStyle name="SAPBEXstdItemX 3 2 2" xfId="50901" xr:uid="{00000000-0005-0000-0000-000094C70000}"/>
    <cellStyle name="SAPBEXstdItemX 3 2 2 2" xfId="50902" xr:uid="{00000000-0005-0000-0000-000095C70000}"/>
    <cellStyle name="SAPBEXstdItemX 3 2 2 2 2" xfId="50903" xr:uid="{00000000-0005-0000-0000-000096C70000}"/>
    <cellStyle name="SAPBEXstdItemX 3 2 2 2 2 2" xfId="50904" xr:uid="{00000000-0005-0000-0000-000097C70000}"/>
    <cellStyle name="SAPBEXstdItemX 3 2 2 2 3" xfId="50905" xr:uid="{00000000-0005-0000-0000-000098C70000}"/>
    <cellStyle name="SAPBEXstdItemX 3 2 2 3" xfId="50906" xr:uid="{00000000-0005-0000-0000-000099C70000}"/>
    <cellStyle name="SAPBEXstdItemX 3 2 2 3 2" xfId="50907" xr:uid="{00000000-0005-0000-0000-00009AC70000}"/>
    <cellStyle name="SAPBEXstdItemX 3 2 2 4" xfId="50908" xr:uid="{00000000-0005-0000-0000-00009BC70000}"/>
    <cellStyle name="SAPBEXstdItemX 3 2 3" xfId="50909" xr:uid="{00000000-0005-0000-0000-00009CC70000}"/>
    <cellStyle name="SAPBEXstdItemX 3 2 3 2" xfId="50910" xr:uid="{00000000-0005-0000-0000-00009DC70000}"/>
    <cellStyle name="SAPBEXstdItemX 3 2 3 2 2" xfId="50911" xr:uid="{00000000-0005-0000-0000-00009EC70000}"/>
    <cellStyle name="SAPBEXstdItemX 3 2 3 3" xfId="50912" xr:uid="{00000000-0005-0000-0000-00009FC70000}"/>
    <cellStyle name="SAPBEXstdItemX 3 2 4" xfId="50913" xr:uid="{00000000-0005-0000-0000-0000A0C70000}"/>
    <cellStyle name="SAPBEXstdItemX 3 2 4 2" xfId="50914" xr:uid="{00000000-0005-0000-0000-0000A1C70000}"/>
    <cellStyle name="SAPBEXstdItemX 3 2 4 2 2" xfId="50915" xr:uid="{00000000-0005-0000-0000-0000A2C70000}"/>
    <cellStyle name="SAPBEXstdItemX 3 2 4 3" xfId="50916" xr:uid="{00000000-0005-0000-0000-0000A3C70000}"/>
    <cellStyle name="SAPBEXstdItemX 3 2 5" xfId="50917" xr:uid="{00000000-0005-0000-0000-0000A4C70000}"/>
    <cellStyle name="SAPBEXstdItemX 3 2 5 2" xfId="50918" xr:uid="{00000000-0005-0000-0000-0000A5C70000}"/>
    <cellStyle name="SAPBEXstdItemX 3 2 5 2 2" xfId="50919" xr:uid="{00000000-0005-0000-0000-0000A6C70000}"/>
    <cellStyle name="SAPBEXstdItemX 3 2 5 3" xfId="50920" xr:uid="{00000000-0005-0000-0000-0000A7C70000}"/>
    <cellStyle name="SAPBEXstdItemX 3 2 6" xfId="50921" xr:uid="{00000000-0005-0000-0000-0000A8C70000}"/>
    <cellStyle name="SAPBEXstdItemX 3 2 6 2" xfId="50922" xr:uid="{00000000-0005-0000-0000-0000A9C70000}"/>
    <cellStyle name="SAPBEXstdItemX 3 2 7" xfId="50923" xr:uid="{00000000-0005-0000-0000-0000AAC70000}"/>
    <cellStyle name="SAPBEXstdItemX 3 3" xfId="50924" xr:uid="{00000000-0005-0000-0000-0000ABC70000}"/>
    <cellStyle name="SAPBEXstdItemX 3 3 2" xfId="50925" xr:uid="{00000000-0005-0000-0000-0000ACC70000}"/>
    <cellStyle name="SAPBEXstdItemX 3 3 2 2" xfId="50926" xr:uid="{00000000-0005-0000-0000-0000ADC70000}"/>
    <cellStyle name="SAPBEXstdItemX 3 3 2 2 2" xfId="50927" xr:uid="{00000000-0005-0000-0000-0000AEC70000}"/>
    <cellStyle name="SAPBEXstdItemX 3 3 2 2 2 2" xfId="50928" xr:uid="{00000000-0005-0000-0000-0000AFC70000}"/>
    <cellStyle name="SAPBEXstdItemX 3 3 2 2 3" xfId="50929" xr:uid="{00000000-0005-0000-0000-0000B0C70000}"/>
    <cellStyle name="SAPBEXstdItemX 3 3 2 3" xfId="50930" xr:uid="{00000000-0005-0000-0000-0000B1C70000}"/>
    <cellStyle name="SAPBEXstdItemX 3 3 2 3 2" xfId="50931" xr:uid="{00000000-0005-0000-0000-0000B2C70000}"/>
    <cellStyle name="SAPBEXstdItemX 3 3 2 4" xfId="50932" xr:uid="{00000000-0005-0000-0000-0000B3C70000}"/>
    <cellStyle name="SAPBEXstdItemX 3 3 3" xfId="50933" xr:uid="{00000000-0005-0000-0000-0000B4C70000}"/>
    <cellStyle name="SAPBEXstdItemX 3 3 3 2" xfId="50934" xr:uid="{00000000-0005-0000-0000-0000B5C70000}"/>
    <cellStyle name="SAPBEXstdItemX 3 3 3 2 2" xfId="50935" xr:uid="{00000000-0005-0000-0000-0000B6C70000}"/>
    <cellStyle name="SAPBEXstdItemX 3 3 3 3" xfId="50936" xr:uid="{00000000-0005-0000-0000-0000B7C70000}"/>
    <cellStyle name="SAPBEXstdItemX 3 3 4" xfId="50937" xr:uid="{00000000-0005-0000-0000-0000B8C70000}"/>
    <cellStyle name="SAPBEXstdItemX 3 3 4 2" xfId="50938" xr:uid="{00000000-0005-0000-0000-0000B9C70000}"/>
    <cellStyle name="SAPBEXstdItemX 3 3 5" xfId="50939" xr:uid="{00000000-0005-0000-0000-0000BAC70000}"/>
    <cellStyle name="SAPBEXstdItemX 3 4" xfId="50940" xr:uid="{00000000-0005-0000-0000-0000BBC70000}"/>
    <cellStyle name="SAPBEXstdItemX 3 4 2" xfId="50941" xr:uid="{00000000-0005-0000-0000-0000BCC70000}"/>
    <cellStyle name="SAPBEXstdItemX 3 4 2 2" xfId="50942" xr:uid="{00000000-0005-0000-0000-0000BDC70000}"/>
    <cellStyle name="SAPBEXstdItemX 3 4 3" xfId="50943" xr:uid="{00000000-0005-0000-0000-0000BEC70000}"/>
    <cellStyle name="SAPBEXstdItemX 3 5" xfId="50944" xr:uid="{00000000-0005-0000-0000-0000BFC70000}"/>
    <cellStyle name="SAPBEXstdItemX 3 5 2" xfId="50945" xr:uid="{00000000-0005-0000-0000-0000C0C70000}"/>
    <cellStyle name="SAPBEXstdItemX 3 5 2 2" xfId="50946" xr:uid="{00000000-0005-0000-0000-0000C1C70000}"/>
    <cellStyle name="SAPBEXstdItemX 3 5 3" xfId="50947" xr:uid="{00000000-0005-0000-0000-0000C2C70000}"/>
    <cellStyle name="SAPBEXstdItemX 3 6" xfId="50948" xr:uid="{00000000-0005-0000-0000-0000C3C70000}"/>
    <cellStyle name="SAPBEXstdItemX 3 6 2" xfId="50949" xr:uid="{00000000-0005-0000-0000-0000C4C70000}"/>
    <cellStyle name="SAPBEXstdItemX 3 6 2 2" xfId="50950" xr:uid="{00000000-0005-0000-0000-0000C5C70000}"/>
    <cellStyle name="SAPBEXstdItemX 3 6 3" xfId="50951" xr:uid="{00000000-0005-0000-0000-0000C6C70000}"/>
    <cellStyle name="SAPBEXstdItemX 3 7" xfId="50952" xr:uid="{00000000-0005-0000-0000-0000C7C70000}"/>
    <cellStyle name="SAPBEXstdItemX 3 7 2" xfId="50953" xr:uid="{00000000-0005-0000-0000-0000C8C70000}"/>
    <cellStyle name="SAPBEXstdItemX 3 8" xfId="50954" xr:uid="{00000000-0005-0000-0000-0000C9C70000}"/>
    <cellStyle name="SAPBEXstdItemX 4" xfId="50955" xr:uid="{00000000-0005-0000-0000-0000CAC70000}"/>
    <cellStyle name="SAPBEXstdItemX 4 2" xfId="50956" xr:uid="{00000000-0005-0000-0000-0000CBC70000}"/>
    <cellStyle name="SAPBEXstdItemX 4 2 2" xfId="50957" xr:uid="{00000000-0005-0000-0000-0000CCC70000}"/>
    <cellStyle name="SAPBEXstdItemX 4 2 2 2" xfId="50958" xr:uid="{00000000-0005-0000-0000-0000CDC70000}"/>
    <cellStyle name="SAPBEXstdItemX 4 2 2 2 2" xfId="50959" xr:uid="{00000000-0005-0000-0000-0000CEC70000}"/>
    <cellStyle name="SAPBEXstdItemX 4 2 2 2 2 2" xfId="50960" xr:uid="{00000000-0005-0000-0000-0000CFC70000}"/>
    <cellStyle name="SAPBEXstdItemX 4 2 2 2 3" xfId="50961" xr:uid="{00000000-0005-0000-0000-0000D0C70000}"/>
    <cellStyle name="SAPBEXstdItemX 4 2 2 3" xfId="50962" xr:uid="{00000000-0005-0000-0000-0000D1C70000}"/>
    <cellStyle name="SAPBEXstdItemX 4 2 2 3 2" xfId="50963" xr:uid="{00000000-0005-0000-0000-0000D2C70000}"/>
    <cellStyle name="SAPBEXstdItemX 4 2 2 4" xfId="50964" xr:uid="{00000000-0005-0000-0000-0000D3C70000}"/>
    <cellStyle name="SAPBEXstdItemX 4 2 3" xfId="50965" xr:uid="{00000000-0005-0000-0000-0000D4C70000}"/>
    <cellStyle name="SAPBEXstdItemX 4 2 3 2" xfId="50966" xr:uid="{00000000-0005-0000-0000-0000D5C70000}"/>
    <cellStyle name="SAPBEXstdItemX 4 2 3 2 2" xfId="50967" xr:uid="{00000000-0005-0000-0000-0000D6C70000}"/>
    <cellStyle name="SAPBEXstdItemX 4 2 3 3" xfId="50968" xr:uid="{00000000-0005-0000-0000-0000D7C70000}"/>
    <cellStyle name="SAPBEXstdItemX 4 2 4" xfId="50969" xr:uid="{00000000-0005-0000-0000-0000D8C70000}"/>
    <cellStyle name="SAPBEXstdItemX 4 2 4 2" xfId="50970" xr:uid="{00000000-0005-0000-0000-0000D9C70000}"/>
    <cellStyle name="SAPBEXstdItemX 4 2 4 2 2" xfId="50971" xr:uid="{00000000-0005-0000-0000-0000DAC70000}"/>
    <cellStyle name="SAPBEXstdItemX 4 2 4 3" xfId="50972" xr:uid="{00000000-0005-0000-0000-0000DBC70000}"/>
    <cellStyle name="SAPBEXstdItemX 4 2 5" xfId="50973" xr:uid="{00000000-0005-0000-0000-0000DCC70000}"/>
    <cellStyle name="SAPBEXstdItemX 4 2 5 2" xfId="50974" xr:uid="{00000000-0005-0000-0000-0000DDC70000}"/>
    <cellStyle name="SAPBEXstdItemX 4 2 5 2 2" xfId="50975" xr:uid="{00000000-0005-0000-0000-0000DEC70000}"/>
    <cellStyle name="SAPBEXstdItemX 4 2 5 3" xfId="50976" xr:uid="{00000000-0005-0000-0000-0000DFC70000}"/>
    <cellStyle name="SAPBEXstdItemX 4 2 6" xfId="50977" xr:uid="{00000000-0005-0000-0000-0000E0C70000}"/>
    <cellStyle name="SAPBEXstdItemX 4 2 6 2" xfId="50978" xr:uid="{00000000-0005-0000-0000-0000E1C70000}"/>
    <cellStyle name="SAPBEXstdItemX 4 2 7" xfId="50979" xr:uid="{00000000-0005-0000-0000-0000E2C70000}"/>
    <cellStyle name="SAPBEXstdItemX 4 3" xfId="50980" xr:uid="{00000000-0005-0000-0000-0000E3C70000}"/>
    <cellStyle name="SAPBEXstdItemX 4 3 2" xfId="50981" xr:uid="{00000000-0005-0000-0000-0000E4C70000}"/>
    <cellStyle name="SAPBEXstdItemX 4 3 2 2" xfId="50982" xr:uid="{00000000-0005-0000-0000-0000E5C70000}"/>
    <cellStyle name="SAPBEXstdItemX 4 3 2 2 2" xfId="50983" xr:uid="{00000000-0005-0000-0000-0000E6C70000}"/>
    <cellStyle name="SAPBEXstdItemX 4 3 2 2 2 2" xfId="50984" xr:uid="{00000000-0005-0000-0000-0000E7C70000}"/>
    <cellStyle name="SAPBEXstdItemX 4 3 2 2 2 2 2" xfId="50985" xr:uid="{00000000-0005-0000-0000-0000E8C70000}"/>
    <cellStyle name="SAPBEXstdItemX 4 3 2 2 2 3" xfId="50986" xr:uid="{00000000-0005-0000-0000-0000E9C70000}"/>
    <cellStyle name="SAPBEXstdItemX 4 3 2 2 3" xfId="50987" xr:uid="{00000000-0005-0000-0000-0000EAC70000}"/>
    <cellStyle name="SAPBEXstdItemX 4 3 2 2 3 2" xfId="50988" xr:uid="{00000000-0005-0000-0000-0000EBC70000}"/>
    <cellStyle name="SAPBEXstdItemX 4 3 2 2 4" xfId="50989" xr:uid="{00000000-0005-0000-0000-0000ECC70000}"/>
    <cellStyle name="SAPBEXstdItemX 4 3 2 3" xfId="50990" xr:uid="{00000000-0005-0000-0000-0000EDC70000}"/>
    <cellStyle name="SAPBEXstdItemX 4 3 2 3 2" xfId="50991" xr:uid="{00000000-0005-0000-0000-0000EEC70000}"/>
    <cellStyle name="SAPBEXstdItemX 4 3 2 3 2 2" xfId="50992" xr:uid="{00000000-0005-0000-0000-0000EFC70000}"/>
    <cellStyle name="SAPBEXstdItemX 4 3 2 3 3" xfId="50993" xr:uid="{00000000-0005-0000-0000-0000F0C70000}"/>
    <cellStyle name="SAPBEXstdItemX 4 3 2 4" xfId="50994" xr:uid="{00000000-0005-0000-0000-0000F1C70000}"/>
    <cellStyle name="SAPBEXstdItemX 4 3 2 4 2" xfId="50995" xr:uid="{00000000-0005-0000-0000-0000F2C70000}"/>
    <cellStyle name="SAPBEXstdItemX 4 3 2 4 2 2" xfId="50996" xr:uid="{00000000-0005-0000-0000-0000F3C70000}"/>
    <cellStyle name="SAPBEXstdItemX 4 3 2 4 3" xfId="50997" xr:uid="{00000000-0005-0000-0000-0000F4C70000}"/>
    <cellStyle name="SAPBEXstdItemX 4 3 2 5" xfId="50998" xr:uid="{00000000-0005-0000-0000-0000F5C70000}"/>
    <cellStyle name="SAPBEXstdItemX 4 3 2 5 2" xfId="50999" xr:uid="{00000000-0005-0000-0000-0000F6C70000}"/>
    <cellStyle name="SAPBEXstdItemX 4 3 2 6" xfId="51000" xr:uid="{00000000-0005-0000-0000-0000F7C70000}"/>
    <cellStyle name="SAPBEXstdItemX 4 3 3" xfId="51001" xr:uid="{00000000-0005-0000-0000-0000F8C70000}"/>
    <cellStyle name="SAPBEXstdItemX 4 3 3 2" xfId="51002" xr:uid="{00000000-0005-0000-0000-0000F9C70000}"/>
    <cellStyle name="SAPBEXstdItemX 4 3 3 2 2" xfId="51003" xr:uid="{00000000-0005-0000-0000-0000FAC70000}"/>
    <cellStyle name="SAPBEXstdItemX 4 3 3 2 2 2" xfId="51004" xr:uid="{00000000-0005-0000-0000-0000FBC70000}"/>
    <cellStyle name="SAPBEXstdItemX 4 3 3 2 2 2 2" xfId="51005" xr:uid="{00000000-0005-0000-0000-0000FCC70000}"/>
    <cellStyle name="SAPBEXstdItemX 4 3 3 2 2 3" xfId="51006" xr:uid="{00000000-0005-0000-0000-0000FDC70000}"/>
    <cellStyle name="SAPBEXstdItemX 4 3 3 2 3" xfId="51007" xr:uid="{00000000-0005-0000-0000-0000FEC70000}"/>
    <cellStyle name="SAPBEXstdItemX 4 3 3 2 3 2" xfId="51008" xr:uid="{00000000-0005-0000-0000-0000FFC70000}"/>
    <cellStyle name="SAPBEXstdItemX 4 3 3 2 4" xfId="51009" xr:uid="{00000000-0005-0000-0000-000000C80000}"/>
    <cellStyle name="SAPBEXstdItemX 4 3 3 3" xfId="51010" xr:uid="{00000000-0005-0000-0000-000001C80000}"/>
    <cellStyle name="SAPBEXstdItemX 4 3 3 3 2" xfId="51011" xr:uid="{00000000-0005-0000-0000-000002C80000}"/>
    <cellStyle name="SAPBEXstdItemX 4 3 3 3 2 2" xfId="51012" xr:uid="{00000000-0005-0000-0000-000003C80000}"/>
    <cellStyle name="SAPBEXstdItemX 4 3 3 3 3" xfId="51013" xr:uid="{00000000-0005-0000-0000-000004C80000}"/>
    <cellStyle name="SAPBEXstdItemX 4 3 3 4" xfId="51014" xr:uid="{00000000-0005-0000-0000-000005C80000}"/>
    <cellStyle name="SAPBEXstdItemX 4 3 3 4 2" xfId="51015" xr:uid="{00000000-0005-0000-0000-000006C80000}"/>
    <cellStyle name="SAPBEXstdItemX 4 3 3 5" xfId="51016" xr:uid="{00000000-0005-0000-0000-000007C80000}"/>
    <cellStyle name="SAPBEXstdItemX 4 3 4" xfId="51017" xr:uid="{00000000-0005-0000-0000-000008C80000}"/>
    <cellStyle name="SAPBEXstdItemX 4 3 4 2" xfId="51018" xr:uid="{00000000-0005-0000-0000-000009C80000}"/>
    <cellStyle name="SAPBEXstdItemX 4 3 4 2 2" xfId="51019" xr:uid="{00000000-0005-0000-0000-00000AC80000}"/>
    <cellStyle name="SAPBEXstdItemX 4 3 4 3" xfId="51020" xr:uid="{00000000-0005-0000-0000-00000BC80000}"/>
    <cellStyle name="SAPBEXstdItemX 4 3 5" xfId="51021" xr:uid="{00000000-0005-0000-0000-00000CC80000}"/>
    <cellStyle name="SAPBEXstdItemX 4 3 5 2" xfId="51022" xr:uid="{00000000-0005-0000-0000-00000DC80000}"/>
    <cellStyle name="SAPBEXstdItemX 4 3 5 2 2" xfId="51023" xr:uid="{00000000-0005-0000-0000-00000EC80000}"/>
    <cellStyle name="SAPBEXstdItemX 4 3 5 3" xfId="51024" xr:uid="{00000000-0005-0000-0000-00000FC80000}"/>
    <cellStyle name="SAPBEXstdItemX 4 3 6" xfId="51025" xr:uid="{00000000-0005-0000-0000-000010C80000}"/>
    <cellStyle name="SAPBEXstdItemX 4 3 6 2" xfId="51026" xr:uid="{00000000-0005-0000-0000-000011C80000}"/>
    <cellStyle name="SAPBEXstdItemX 4 3 6 2 2" xfId="51027" xr:uid="{00000000-0005-0000-0000-000012C80000}"/>
    <cellStyle name="SAPBEXstdItemX 4 3 6 3" xfId="51028" xr:uid="{00000000-0005-0000-0000-000013C80000}"/>
    <cellStyle name="SAPBEXstdItemX 4 3 7" xfId="51029" xr:uid="{00000000-0005-0000-0000-000014C80000}"/>
    <cellStyle name="SAPBEXstdItemX 4 3 7 2" xfId="51030" xr:uid="{00000000-0005-0000-0000-000015C80000}"/>
    <cellStyle name="SAPBEXstdItemX 4 3 8" xfId="51031" xr:uid="{00000000-0005-0000-0000-000016C80000}"/>
    <cellStyle name="SAPBEXstdItemX 4 4" xfId="51032" xr:uid="{00000000-0005-0000-0000-000017C80000}"/>
    <cellStyle name="SAPBEXstdItemX 4 4 2" xfId="51033" xr:uid="{00000000-0005-0000-0000-000018C80000}"/>
    <cellStyle name="SAPBEXstdItemX 4 4 2 2" xfId="51034" xr:uid="{00000000-0005-0000-0000-000019C80000}"/>
    <cellStyle name="SAPBEXstdItemX 4 4 2 2 2" xfId="51035" xr:uid="{00000000-0005-0000-0000-00001AC80000}"/>
    <cellStyle name="SAPBEXstdItemX 4 4 2 2 2 2" xfId="51036" xr:uid="{00000000-0005-0000-0000-00001BC80000}"/>
    <cellStyle name="SAPBEXstdItemX 4 4 2 2 3" xfId="51037" xr:uid="{00000000-0005-0000-0000-00001CC80000}"/>
    <cellStyle name="SAPBEXstdItemX 4 4 2 3" xfId="51038" xr:uid="{00000000-0005-0000-0000-00001DC80000}"/>
    <cellStyle name="SAPBEXstdItemX 4 4 2 3 2" xfId="51039" xr:uid="{00000000-0005-0000-0000-00001EC80000}"/>
    <cellStyle name="SAPBEXstdItemX 4 4 2 4" xfId="51040" xr:uid="{00000000-0005-0000-0000-00001FC80000}"/>
    <cellStyle name="SAPBEXstdItemX 4 4 3" xfId="51041" xr:uid="{00000000-0005-0000-0000-000020C80000}"/>
    <cellStyle name="SAPBEXstdItemX 4 4 3 2" xfId="51042" xr:uid="{00000000-0005-0000-0000-000021C80000}"/>
    <cellStyle name="SAPBEXstdItemX 4 4 3 2 2" xfId="51043" xr:uid="{00000000-0005-0000-0000-000022C80000}"/>
    <cellStyle name="SAPBEXstdItemX 4 4 3 3" xfId="51044" xr:uid="{00000000-0005-0000-0000-000023C80000}"/>
    <cellStyle name="SAPBEXstdItemX 4 4 4" xfId="51045" xr:uid="{00000000-0005-0000-0000-000024C80000}"/>
    <cellStyle name="SAPBEXstdItemX 4 4 4 2" xfId="51046" xr:uid="{00000000-0005-0000-0000-000025C80000}"/>
    <cellStyle name="SAPBEXstdItemX 4 4 5" xfId="51047" xr:uid="{00000000-0005-0000-0000-000026C80000}"/>
    <cellStyle name="SAPBEXstdItemX 4 5" xfId="51048" xr:uid="{00000000-0005-0000-0000-000027C80000}"/>
    <cellStyle name="SAPBEXstdItemX 4 5 2" xfId="51049" xr:uid="{00000000-0005-0000-0000-000028C80000}"/>
    <cellStyle name="SAPBEXstdItemX 4 5 2 2" xfId="51050" xr:uid="{00000000-0005-0000-0000-000029C80000}"/>
    <cellStyle name="SAPBEXstdItemX 4 5 3" xfId="51051" xr:uid="{00000000-0005-0000-0000-00002AC80000}"/>
    <cellStyle name="SAPBEXstdItemX 4 6" xfId="51052" xr:uid="{00000000-0005-0000-0000-00002BC80000}"/>
    <cellStyle name="SAPBEXstdItemX 4 6 2" xfId="51053" xr:uid="{00000000-0005-0000-0000-00002CC80000}"/>
    <cellStyle name="SAPBEXstdItemX 4 6 2 2" xfId="51054" xr:uid="{00000000-0005-0000-0000-00002DC80000}"/>
    <cellStyle name="SAPBEXstdItemX 4 6 3" xfId="51055" xr:uid="{00000000-0005-0000-0000-00002EC80000}"/>
    <cellStyle name="SAPBEXstdItemX 4 7" xfId="51056" xr:uid="{00000000-0005-0000-0000-00002FC80000}"/>
    <cellStyle name="SAPBEXstdItemX 4 7 2" xfId="51057" xr:uid="{00000000-0005-0000-0000-000030C80000}"/>
    <cellStyle name="SAPBEXstdItemX 4 7 2 2" xfId="51058" xr:uid="{00000000-0005-0000-0000-000031C80000}"/>
    <cellStyle name="SAPBEXstdItemX 4 7 3" xfId="51059" xr:uid="{00000000-0005-0000-0000-000032C80000}"/>
    <cellStyle name="SAPBEXstdItemX 4 8" xfId="51060" xr:uid="{00000000-0005-0000-0000-000033C80000}"/>
    <cellStyle name="SAPBEXstdItemX 4 8 2" xfId="51061" xr:uid="{00000000-0005-0000-0000-000034C80000}"/>
    <cellStyle name="SAPBEXstdItemX 4 9" xfId="51062" xr:uid="{00000000-0005-0000-0000-000035C80000}"/>
    <cellStyle name="SAPBEXstdItemX 5" xfId="51063" xr:uid="{00000000-0005-0000-0000-000036C80000}"/>
    <cellStyle name="SAPBEXstdItemX 5 2" xfId="51064" xr:uid="{00000000-0005-0000-0000-000037C80000}"/>
    <cellStyle name="SAPBEXstdItemX 5 2 2" xfId="51065" xr:uid="{00000000-0005-0000-0000-000038C80000}"/>
    <cellStyle name="SAPBEXstdItemX 5 2 2 2" xfId="51066" xr:uid="{00000000-0005-0000-0000-000039C80000}"/>
    <cellStyle name="SAPBEXstdItemX 5 2 2 2 2" xfId="51067" xr:uid="{00000000-0005-0000-0000-00003AC80000}"/>
    <cellStyle name="SAPBEXstdItemX 5 2 2 3" xfId="51068" xr:uid="{00000000-0005-0000-0000-00003BC80000}"/>
    <cellStyle name="SAPBEXstdItemX 5 2 3" xfId="51069" xr:uid="{00000000-0005-0000-0000-00003CC80000}"/>
    <cellStyle name="SAPBEXstdItemX 5 2 3 2" xfId="51070" xr:uid="{00000000-0005-0000-0000-00003DC80000}"/>
    <cellStyle name="SAPBEXstdItemX 5 2 4" xfId="51071" xr:uid="{00000000-0005-0000-0000-00003EC80000}"/>
    <cellStyle name="SAPBEXstdItemX 5 3" xfId="51072" xr:uid="{00000000-0005-0000-0000-00003FC80000}"/>
    <cellStyle name="SAPBEXstdItemX 5 3 2" xfId="51073" xr:uid="{00000000-0005-0000-0000-000040C80000}"/>
    <cellStyle name="SAPBEXstdItemX 5 3 2 2" xfId="51074" xr:uid="{00000000-0005-0000-0000-000041C80000}"/>
    <cellStyle name="SAPBEXstdItemX 5 3 3" xfId="51075" xr:uid="{00000000-0005-0000-0000-000042C80000}"/>
    <cellStyle name="SAPBEXstdItemX 5 4" xfId="51076" xr:uid="{00000000-0005-0000-0000-000043C80000}"/>
    <cellStyle name="SAPBEXstdItemX 5 4 2" xfId="51077" xr:uid="{00000000-0005-0000-0000-000044C80000}"/>
    <cellStyle name="SAPBEXstdItemX 5 4 2 2" xfId="51078" xr:uid="{00000000-0005-0000-0000-000045C80000}"/>
    <cellStyle name="SAPBEXstdItemX 5 4 3" xfId="51079" xr:uid="{00000000-0005-0000-0000-000046C80000}"/>
    <cellStyle name="SAPBEXstdItemX 5 5" xfId="51080" xr:uid="{00000000-0005-0000-0000-000047C80000}"/>
    <cellStyle name="SAPBEXstdItemX 5 5 2" xfId="51081" xr:uid="{00000000-0005-0000-0000-000048C80000}"/>
    <cellStyle name="SAPBEXstdItemX 5 5 2 2" xfId="51082" xr:uid="{00000000-0005-0000-0000-000049C80000}"/>
    <cellStyle name="SAPBEXstdItemX 5 5 3" xfId="51083" xr:uid="{00000000-0005-0000-0000-00004AC80000}"/>
    <cellStyle name="SAPBEXstdItemX 5 6" xfId="51084" xr:uid="{00000000-0005-0000-0000-00004BC80000}"/>
    <cellStyle name="SAPBEXstdItemX 5 6 2" xfId="51085" xr:uid="{00000000-0005-0000-0000-00004CC80000}"/>
    <cellStyle name="SAPBEXstdItemX 5 7" xfId="51086" xr:uid="{00000000-0005-0000-0000-00004DC80000}"/>
    <cellStyle name="SAPBEXstdItemX 6" xfId="51087" xr:uid="{00000000-0005-0000-0000-00004EC80000}"/>
    <cellStyle name="SAPBEXstdItemX 6 2" xfId="51088" xr:uid="{00000000-0005-0000-0000-00004FC80000}"/>
    <cellStyle name="SAPBEXstdItemX 6 2 2" xfId="51089" xr:uid="{00000000-0005-0000-0000-000050C80000}"/>
    <cellStyle name="SAPBEXstdItemX 6 3" xfId="51090" xr:uid="{00000000-0005-0000-0000-000051C80000}"/>
    <cellStyle name="SAPBEXstdItemX 6 3 2" xfId="51091" xr:uid="{00000000-0005-0000-0000-000052C80000}"/>
    <cellStyle name="SAPBEXstdItemX 6 3 2 2" xfId="51092" xr:uid="{00000000-0005-0000-0000-000053C80000}"/>
    <cellStyle name="SAPBEXstdItemX 6 3 3" xfId="51093" xr:uid="{00000000-0005-0000-0000-000054C80000}"/>
    <cellStyle name="SAPBEXstdItemX 6 4" xfId="51094" xr:uid="{00000000-0005-0000-0000-000055C80000}"/>
    <cellStyle name="SAPBEXstdItemX 6 4 2" xfId="51095" xr:uid="{00000000-0005-0000-0000-000056C80000}"/>
    <cellStyle name="SAPBEXstdItemX 6 4 2 2" xfId="51096" xr:uid="{00000000-0005-0000-0000-000057C80000}"/>
    <cellStyle name="SAPBEXstdItemX 6 4 3" xfId="51097" xr:uid="{00000000-0005-0000-0000-000058C80000}"/>
    <cellStyle name="SAPBEXstdItemX 6 5" xfId="51098" xr:uid="{00000000-0005-0000-0000-000059C80000}"/>
    <cellStyle name="SAPBEXstdItemX 7" xfId="51099" xr:uid="{00000000-0005-0000-0000-00005AC80000}"/>
    <cellStyle name="SAPBEXstdItemX 7 2" xfId="51100" xr:uid="{00000000-0005-0000-0000-00005BC80000}"/>
    <cellStyle name="SAPBEXstdItemX 7 2 2" xfId="51101" xr:uid="{00000000-0005-0000-0000-00005CC80000}"/>
    <cellStyle name="SAPBEXstdItemX 7 2 2 2" xfId="51102" xr:uid="{00000000-0005-0000-0000-00005DC80000}"/>
    <cellStyle name="SAPBEXstdItemX 7 2 3" xfId="51103" xr:uid="{00000000-0005-0000-0000-00005EC80000}"/>
    <cellStyle name="SAPBEXstdItemX 7 2 3 2" xfId="51104" xr:uid="{00000000-0005-0000-0000-00005FC80000}"/>
    <cellStyle name="SAPBEXstdItemX 7 2 3 2 2" xfId="51105" xr:uid="{00000000-0005-0000-0000-000060C80000}"/>
    <cellStyle name="SAPBEXstdItemX 7 2 3 3" xfId="51106" xr:uid="{00000000-0005-0000-0000-000061C80000}"/>
    <cellStyle name="SAPBEXstdItemX 7 2 4" xfId="51107" xr:uid="{00000000-0005-0000-0000-000062C80000}"/>
    <cellStyle name="SAPBEXstdItemX 7 3" xfId="51108" xr:uid="{00000000-0005-0000-0000-000063C80000}"/>
    <cellStyle name="SAPBEXstdItemX 7 3 2" xfId="51109" xr:uid="{00000000-0005-0000-0000-000064C80000}"/>
    <cellStyle name="SAPBEXstdItemX 7 3 2 2" xfId="51110" xr:uid="{00000000-0005-0000-0000-000065C80000}"/>
    <cellStyle name="SAPBEXstdItemX 7 3 3" xfId="51111" xr:uid="{00000000-0005-0000-0000-000066C80000}"/>
    <cellStyle name="SAPBEXstdItemX 7 4" xfId="51112" xr:uid="{00000000-0005-0000-0000-000067C80000}"/>
    <cellStyle name="SAPBEXstdItemX 7 4 2" xfId="51113" xr:uid="{00000000-0005-0000-0000-000068C80000}"/>
    <cellStyle name="SAPBEXstdItemX 7 4 2 2" xfId="51114" xr:uid="{00000000-0005-0000-0000-000069C80000}"/>
    <cellStyle name="SAPBEXstdItemX 7 4 3" xfId="51115" xr:uid="{00000000-0005-0000-0000-00006AC80000}"/>
    <cellStyle name="SAPBEXstdItemX 7 5" xfId="51116" xr:uid="{00000000-0005-0000-0000-00006BC80000}"/>
    <cellStyle name="SAPBEXstdItemX 7 5 2" xfId="51117" xr:uid="{00000000-0005-0000-0000-00006CC80000}"/>
    <cellStyle name="SAPBEXstdItemX 7 5 2 2" xfId="51118" xr:uid="{00000000-0005-0000-0000-00006DC80000}"/>
    <cellStyle name="SAPBEXstdItemX 7 5 3" xfId="51119" xr:uid="{00000000-0005-0000-0000-00006EC80000}"/>
    <cellStyle name="SAPBEXstdItemX 7 6" xfId="51120" xr:uid="{00000000-0005-0000-0000-00006FC80000}"/>
    <cellStyle name="SAPBEXstdItemX 8" xfId="51121" xr:uid="{00000000-0005-0000-0000-000070C80000}"/>
    <cellStyle name="SAPBEXstdItemX 8 2" xfId="51122" xr:uid="{00000000-0005-0000-0000-000071C80000}"/>
    <cellStyle name="SAPBEXstdItemX 8 2 2" xfId="51123" xr:uid="{00000000-0005-0000-0000-000072C80000}"/>
    <cellStyle name="SAPBEXstdItemX 8 3" xfId="51124" xr:uid="{00000000-0005-0000-0000-000073C80000}"/>
    <cellStyle name="SAPBEXstdItemX 9" xfId="51125" xr:uid="{00000000-0005-0000-0000-000074C80000}"/>
    <cellStyle name="SAPBEXstdItemX 9 2" xfId="51126" xr:uid="{00000000-0005-0000-0000-000075C80000}"/>
    <cellStyle name="SAPBEXstdItemX 9 2 2" xfId="51127" xr:uid="{00000000-0005-0000-0000-000076C80000}"/>
    <cellStyle name="SAPBEXstdItemX 9 3" xfId="51128" xr:uid="{00000000-0005-0000-0000-000077C80000}"/>
    <cellStyle name="SAPBEXtitle" xfId="77" xr:uid="{00000000-0005-0000-0000-000078C80000}"/>
    <cellStyle name="SAPBEXtitle 10" xfId="51129" xr:uid="{00000000-0005-0000-0000-000079C80000}"/>
    <cellStyle name="SAPBEXtitle 10 2" xfId="51130" xr:uid="{00000000-0005-0000-0000-00007AC80000}"/>
    <cellStyle name="SAPBEXtitle 11" xfId="51131" xr:uid="{00000000-0005-0000-0000-00007BC80000}"/>
    <cellStyle name="SAPBEXtitle 11 2" xfId="51132" xr:uid="{00000000-0005-0000-0000-00007CC80000}"/>
    <cellStyle name="SAPBEXtitle 12" xfId="51133" xr:uid="{00000000-0005-0000-0000-00007DC80000}"/>
    <cellStyle name="SAPBEXtitle 2" xfId="51134" xr:uid="{00000000-0005-0000-0000-00007EC80000}"/>
    <cellStyle name="SAPBEXtitle 2 2" xfId="51135" xr:uid="{00000000-0005-0000-0000-00007FC80000}"/>
    <cellStyle name="SAPBEXtitle 2 2 2" xfId="51136" xr:uid="{00000000-0005-0000-0000-000080C80000}"/>
    <cellStyle name="SAPBEXtitle 2 2 2 2" xfId="51137" xr:uid="{00000000-0005-0000-0000-000081C80000}"/>
    <cellStyle name="SAPBEXtitle 2 2 2 2 2" xfId="51138" xr:uid="{00000000-0005-0000-0000-000082C80000}"/>
    <cellStyle name="SAPBEXtitle 2 2 2 2 2 2" xfId="51139" xr:uid="{00000000-0005-0000-0000-000083C80000}"/>
    <cellStyle name="SAPBEXtitle 2 2 2 2 3" xfId="51140" xr:uid="{00000000-0005-0000-0000-000084C80000}"/>
    <cellStyle name="SAPBEXtitle 2 2 2 3" xfId="51141" xr:uid="{00000000-0005-0000-0000-000085C80000}"/>
    <cellStyle name="SAPBEXtitle 2 2 2 3 2" xfId="51142" xr:uid="{00000000-0005-0000-0000-000086C80000}"/>
    <cellStyle name="SAPBEXtitle 2 2 2 4" xfId="51143" xr:uid="{00000000-0005-0000-0000-000087C80000}"/>
    <cellStyle name="SAPBEXtitle 2 2 3" xfId="51144" xr:uid="{00000000-0005-0000-0000-000088C80000}"/>
    <cellStyle name="SAPBEXtitle 2 2 3 2" xfId="51145" xr:uid="{00000000-0005-0000-0000-000089C80000}"/>
    <cellStyle name="SAPBEXtitle 2 2 3 2 2" xfId="51146" xr:uid="{00000000-0005-0000-0000-00008AC80000}"/>
    <cellStyle name="SAPBEXtitle 2 2 3 3" xfId="51147" xr:uid="{00000000-0005-0000-0000-00008BC80000}"/>
    <cellStyle name="SAPBEXtitle 2 2 4" xfId="51148" xr:uid="{00000000-0005-0000-0000-00008CC80000}"/>
    <cellStyle name="SAPBEXtitle 2 2 4 2" xfId="51149" xr:uid="{00000000-0005-0000-0000-00008DC80000}"/>
    <cellStyle name="SAPBEXtitle 2 2 4 2 2" xfId="51150" xr:uid="{00000000-0005-0000-0000-00008EC80000}"/>
    <cellStyle name="SAPBEXtitle 2 2 4 3" xfId="51151" xr:uid="{00000000-0005-0000-0000-00008FC80000}"/>
    <cellStyle name="SAPBEXtitle 2 2 5" xfId="51152" xr:uid="{00000000-0005-0000-0000-000090C80000}"/>
    <cellStyle name="SAPBEXtitle 2 2 5 2" xfId="51153" xr:uid="{00000000-0005-0000-0000-000091C80000}"/>
    <cellStyle name="SAPBEXtitle 2 2 6" xfId="51154" xr:uid="{00000000-0005-0000-0000-000092C80000}"/>
    <cellStyle name="SAPBEXtitle 2 3" xfId="51155" xr:uid="{00000000-0005-0000-0000-000093C80000}"/>
    <cellStyle name="SAPBEXtitle 2 4" xfId="51156" xr:uid="{00000000-0005-0000-0000-000094C80000}"/>
    <cellStyle name="SAPBEXtitle 2 4 2" xfId="51157" xr:uid="{00000000-0005-0000-0000-000095C80000}"/>
    <cellStyle name="SAPBEXtitle 2 4 2 2" xfId="51158" xr:uid="{00000000-0005-0000-0000-000096C80000}"/>
    <cellStyle name="SAPBEXtitle 2 4 3" xfId="51159" xr:uid="{00000000-0005-0000-0000-000097C80000}"/>
    <cellStyle name="SAPBEXtitle 2 5" xfId="51160" xr:uid="{00000000-0005-0000-0000-000098C80000}"/>
    <cellStyle name="SAPBEXtitle 2 5 2" xfId="51161" xr:uid="{00000000-0005-0000-0000-000099C80000}"/>
    <cellStyle name="SAPBEXtitle 2 5 2 2" xfId="51162" xr:uid="{00000000-0005-0000-0000-00009AC80000}"/>
    <cellStyle name="SAPBEXtitle 2 5 3" xfId="51163" xr:uid="{00000000-0005-0000-0000-00009BC80000}"/>
    <cellStyle name="SAPBEXtitle 3" xfId="51164" xr:uid="{00000000-0005-0000-0000-00009CC80000}"/>
    <cellStyle name="SAPBEXtitle 3 2" xfId="51165" xr:uid="{00000000-0005-0000-0000-00009DC80000}"/>
    <cellStyle name="SAPBEXtitle 3 2 2" xfId="51166" xr:uid="{00000000-0005-0000-0000-00009EC80000}"/>
    <cellStyle name="SAPBEXtitle 3 3" xfId="51167" xr:uid="{00000000-0005-0000-0000-00009FC80000}"/>
    <cellStyle name="SAPBEXtitle 3 3 2" xfId="51168" xr:uid="{00000000-0005-0000-0000-0000A0C80000}"/>
    <cellStyle name="SAPBEXtitle 3 3 2 2" xfId="51169" xr:uid="{00000000-0005-0000-0000-0000A1C80000}"/>
    <cellStyle name="SAPBEXtitle 3 3 3" xfId="51170" xr:uid="{00000000-0005-0000-0000-0000A2C80000}"/>
    <cellStyle name="SAPBEXtitle 3 4" xfId="51171" xr:uid="{00000000-0005-0000-0000-0000A3C80000}"/>
    <cellStyle name="SAPBEXtitle 3 4 2" xfId="51172" xr:uid="{00000000-0005-0000-0000-0000A4C80000}"/>
    <cellStyle name="SAPBEXtitle 3 4 2 2" xfId="51173" xr:uid="{00000000-0005-0000-0000-0000A5C80000}"/>
    <cellStyle name="SAPBEXtitle 3 4 3" xfId="51174" xr:uid="{00000000-0005-0000-0000-0000A6C80000}"/>
    <cellStyle name="SAPBEXtitle 3 5" xfId="51175" xr:uid="{00000000-0005-0000-0000-0000A7C80000}"/>
    <cellStyle name="SAPBEXtitle 4" xfId="51176" xr:uid="{00000000-0005-0000-0000-0000A8C80000}"/>
    <cellStyle name="SAPBEXtitle 4 2" xfId="51177" xr:uid="{00000000-0005-0000-0000-0000A9C80000}"/>
    <cellStyle name="SAPBEXtitle 4 2 2" xfId="51178" xr:uid="{00000000-0005-0000-0000-0000AAC80000}"/>
    <cellStyle name="SAPBEXtitle 4 2 2 2" xfId="51179" xr:uid="{00000000-0005-0000-0000-0000ABC80000}"/>
    <cellStyle name="SAPBEXtitle 4 2 3" xfId="51180" xr:uid="{00000000-0005-0000-0000-0000ACC80000}"/>
    <cellStyle name="SAPBEXtitle 4 2 3 2" xfId="51181" xr:uid="{00000000-0005-0000-0000-0000ADC80000}"/>
    <cellStyle name="SAPBEXtitle 4 2 3 2 2" xfId="51182" xr:uid="{00000000-0005-0000-0000-0000AEC80000}"/>
    <cellStyle name="SAPBEXtitle 4 2 3 3" xfId="51183" xr:uid="{00000000-0005-0000-0000-0000AFC80000}"/>
    <cellStyle name="SAPBEXtitle 4 2 4" xfId="51184" xr:uid="{00000000-0005-0000-0000-0000B0C80000}"/>
    <cellStyle name="SAPBEXtitle 4 3" xfId="51185" xr:uid="{00000000-0005-0000-0000-0000B1C80000}"/>
    <cellStyle name="SAPBEXtitle 4 3 2" xfId="51186" xr:uid="{00000000-0005-0000-0000-0000B2C80000}"/>
    <cellStyle name="SAPBEXtitle 4 3 2 2" xfId="51187" xr:uid="{00000000-0005-0000-0000-0000B3C80000}"/>
    <cellStyle name="SAPBEXtitle 4 3 3" xfId="51188" xr:uid="{00000000-0005-0000-0000-0000B4C80000}"/>
    <cellStyle name="SAPBEXtitle 4 4" xfId="51189" xr:uid="{00000000-0005-0000-0000-0000B5C80000}"/>
    <cellStyle name="SAPBEXtitle 4 4 2" xfId="51190" xr:uid="{00000000-0005-0000-0000-0000B6C80000}"/>
    <cellStyle name="SAPBEXtitle 4 4 2 2" xfId="51191" xr:uid="{00000000-0005-0000-0000-0000B7C80000}"/>
    <cellStyle name="SAPBEXtitle 4 4 3" xfId="51192" xr:uid="{00000000-0005-0000-0000-0000B8C80000}"/>
    <cellStyle name="SAPBEXtitle 4 5" xfId="51193" xr:uid="{00000000-0005-0000-0000-0000B9C80000}"/>
    <cellStyle name="SAPBEXtitle 4 5 2" xfId="51194" xr:uid="{00000000-0005-0000-0000-0000BAC80000}"/>
    <cellStyle name="SAPBEXtitle 4 5 2 2" xfId="51195" xr:uid="{00000000-0005-0000-0000-0000BBC80000}"/>
    <cellStyle name="SAPBEXtitle 4 5 3" xfId="51196" xr:uid="{00000000-0005-0000-0000-0000BCC80000}"/>
    <cellStyle name="SAPBEXtitle 4 6" xfId="51197" xr:uid="{00000000-0005-0000-0000-0000BDC80000}"/>
    <cellStyle name="SAPBEXtitle 5" xfId="51198" xr:uid="{00000000-0005-0000-0000-0000BEC80000}"/>
    <cellStyle name="SAPBEXtitle 5 2" xfId="51199" xr:uid="{00000000-0005-0000-0000-0000BFC80000}"/>
    <cellStyle name="SAPBEXtitle 5 2 2" xfId="51200" xr:uid="{00000000-0005-0000-0000-0000C0C80000}"/>
    <cellStyle name="SAPBEXtitle 5 3" xfId="51201" xr:uid="{00000000-0005-0000-0000-0000C1C80000}"/>
    <cellStyle name="SAPBEXtitle 6" xfId="51202" xr:uid="{00000000-0005-0000-0000-0000C2C80000}"/>
    <cellStyle name="SAPBEXtitle 6 2" xfId="51203" xr:uid="{00000000-0005-0000-0000-0000C3C80000}"/>
    <cellStyle name="SAPBEXtitle 6 2 2" xfId="51204" xr:uid="{00000000-0005-0000-0000-0000C4C80000}"/>
    <cellStyle name="SAPBEXtitle 6 3" xfId="51205" xr:uid="{00000000-0005-0000-0000-0000C5C80000}"/>
    <cellStyle name="SAPBEXtitle 7" xfId="51206" xr:uid="{00000000-0005-0000-0000-0000C6C80000}"/>
    <cellStyle name="SAPBEXtitle 7 2" xfId="51207" xr:uid="{00000000-0005-0000-0000-0000C7C80000}"/>
    <cellStyle name="SAPBEXtitle 7 2 2" xfId="51208" xr:uid="{00000000-0005-0000-0000-0000C8C80000}"/>
    <cellStyle name="SAPBEXtitle 7 3" xfId="51209" xr:uid="{00000000-0005-0000-0000-0000C9C80000}"/>
    <cellStyle name="SAPBEXtitle 8" xfId="51210" xr:uid="{00000000-0005-0000-0000-0000CAC80000}"/>
    <cellStyle name="SAPBEXtitle 8 2" xfId="51211" xr:uid="{00000000-0005-0000-0000-0000CBC80000}"/>
    <cellStyle name="SAPBEXtitle 9" xfId="51212" xr:uid="{00000000-0005-0000-0000-0000CCC80000}"/>
    <cellStyle name="SAPBEXtitle 9 2" xfId="51213" xr:uid="{00000000-0005-0000-0000-0000CDC80000}"/>
    <cellStyle name="SAPBEXunassignedItem" xfId="51214" xr:uid="{00000000-0005-0000-0000-0000CEC80000}"/>
    <cellStyle name="SAPBEXunassignedItem 10" xfId="51215" xr:uid="{00000000-0005-0000-0000-0000CFC80000}"/>
    <cellStyle name="SAPBEXunassignedItem 11" xfId="51216" xr:uid="{00000000-0005-0000-0000-0000D0C80000}"/>
    <cellStyle name="SAPBEXunassignedItem 2" xfId="51217" xr:uid="{00000000-0005-0000-0000-0000D1C80000}"/>
    <cellStyle name="SAPBEXunassignedItem 2 2" xfId="51218" xr:uid="{00000000-0005-0000-0000-0000D2C80000}"/>
    <cellStyle name="SAPBEXunassignedItem 2 2 2" xfId="51219" xr:uid="{00000000-0005-0000-0000-0000D3C80000}"/>
    <cellStyle name="SAPBEXunassignedItem 2 2 2 2" xfId="51220" xr:uid="{00000000-0005-0000-0000-0000D4C80000}"/>
    <cellStyle name="SAPBEXunassignedItem 2 2 3" xfId="51221" xr:uid="{00000000-0005-0000-0000-0000D5C80000}"/>
    <cellStyle name="SAPBEXunassignedItem 2 2 3 2" xfId="51222" xr:uid="{00000000-0005-0000-0000-0000D6C80000}"/>
    <cellStyle name="SAPBEXunassignedItem 2 2 3 2 2" xfId="51223" xr:uid="{00000000-0005-0000-0000-0000D7C80000}"/>
    <cellStyle name="SAPBEXunassignedItem 2 2 3 3" xfId="51224" xr:uid="{00000000-0005-0000-0000-0000D8C80000}"/>
    <cellStyle name="SAPBEXunassignedItem 2 2 4" xfId="51225" xr:uid="{00000000-0005-0000-0000-0000D9C80000}"/>
    <cellStyle name="SAPBEXunassignedItem 2 2 4 2" xfId="51226" xr:uid="{00000000-0005-0000-0000-0000DAC80000}"/>
    <cellStyle name="SAPBEXunassignedItem 2 2 4 2 2" xfId="51227" xr:uid="{00000000-0005-0000-0000-0000DBC80000}"/>
    <cellStyle name="SAPBEXunassignedItem 2 2 4 3" xfId="51228" xr:uid="{00000000-0005-0000-0000-0000DCC80000}"/>
    <cellStyle name="SAPBEXunassignedItem 2 2 5" xfId="51229" xr:uid="{00000000-0005-0000-0000-0000DDC80000}"/>
    <cellStyle name="SAPBEXunassignedItem 2 3" xfId="51230" xr:uid="{00000000-0005-0000-0000-0000DEC80000}"/>
    <cellStyle name="SAPBEXunassignedItem 2 3 2" xfId="51231" xr:uid="{00000000-0005-0000-0000-0000DFC80000}"/>
    <cellStyle name="SAPBEXunassignedItem 2 3 2 2" xfId="51232" xr:uid="{00000000-0005-0000-0000-0000E0C80000}"/>
    <cellStyle name="SAPBEXunassignedItem 2 3 2 2 2" xfId="51233" xr:uid="{00000000-0005-0000-0000-0000E1C80000}"/>
    <cellStyle name="SAPBEXunassignedItem 2 3 2 3" xfId="51234" xr:uid="{00000000-0005-0000-0000-0000E2C80000}"/>
    <cellStyle name="SAPBEXunassignedItem 2 3 2 3 2" xfId="51235" xr:uid="{00000000-0005-0000-0000-0000E3C80000}"/>
    <cellStyle name="SAPBEXunassignedItem 2 3 2 3 2 2" xfId="51236" xr:uid="{00000000-0005-0000-0000-0000E4C80000}"/>
    <cellStyle name="SAPBEXunassignedItem 2 3 2 3 3" xfId="51237" xr:uid="{00000000-0005-0000-0000-0000E5C80000}"/>
    <cellStyle name="SAPBEXunassignedItem 2 3 2 4" xfId="51238" xr:uid="{00000000-0005-0000-0000-0000E6C80000}"/>
    <cellStyle name="SAPBEXunassignedItem 2 3 3" xfId="51239" xr:uid="{00000000-0005-0000-0000-0000E7C80000}"/>
    <cellStyle name="SAPBEXunassignedItem 2 3 3 2" xfId="51240" xr:uid="{00000000-0005-0000-0000-0000E8C80000}"/>
    <cellStyle name="SAPBEXunassignedItem 2 3 3 2 2" xfId="51241" xr:uid="{00000000-0005-0000-0000-0000E9C80000}"/>
    <cellStyle name="SAPBEXunassignedItem 2 3 3 3" xfId="51242" xr:uid="{00000000-0005-0000-0000-0000EAC80000}"/>
    <cellStyle name="SAPBEXunassignedItem 2 3 4" xfId="51243" xr:uid="{00000000-0005-0000-0000-0000EBC80000}"/>
    <cellStyle name="SAPBEXunassignedItem 2 3 4 2" xfId="51244" xr:uid="{00000000-0005-0000-0000-0000ECC80000}"/>
    <cellStyle name="SAPBEXunassignedItem 2 3 4 2 2" xfId="51245" xr:uid="{00000000-0005-0000-0000-0000EDC80000}"/>
    <cellStyle name="SAPBEXunassignedItem 2 3 4 3" xfId="51246" xr:uid="{00000000-0005-0000-0000-0000EEC80000}"/>
    <cellStyle name="SAPBEXunassignedItem 2 3 5" xfId="51247" xr:uid="{00000000-0005-0000-0000-0000EFC80000}"/>
    <cellStyle name="SAPBEXunassignedItem 2 3 5 2" xfId="51248" xr:uid="{00000000-0005-0000-0000-0000F0C80000}"/>
    <cellStyle name="SAPBEXunassignedItem 2 3 5 2 2" xfId="51249" xr:uid="{00000000-0005-0000-0000-0000F1C80000}"/>
    <cellStyle name="SAPBEXunassignedItem 2 3 5 3" xfId="51250" xr:uid="{00000000-0005-0000-0000-0000F2C80000}"/>
    <cellStyle name="SAPBEXunassignedItem 2 3 6" xfId="51251" xr:uid="{00000000-0005-0000-0000-0000F3C80000}"/>
    <cellStyle name="SAPBEXunassignedItem 2 4" xfId="51252" xr:uid="{00000000-0005-0000-0000-0000F4C80000}"/>
    <cellStyle name="SAPBEXunassignedItem 2 4 2" xfId="51253" xr:uid="{00000000-0005-0000-0000-0000F5C80000}"/>
    <cellStyle name="SAPBEXunassignedItem 2 4 2 2" xfId="51254" xr:uid="{00000000-0005-0000-0000-0000F6C80000}"/>
    <cellStyle name="SAPBEXunassignedItem 2 4 3" xfId="51255" xr:uid="{00000000-0005-0000-0000-0000F7C80000}"/>
    <cellStyle name="SAPBEXunassignedItem 2 5" xfId="51256" xr:uid="{00000000-0005-0000-0000-0000F8C80000}"/>
    <cellStyle name="SAPBEXunassignedItem 2 5 2" xfId="51257" xr:uid="{00000000-0005-0000-0000-0000F9C80000}"/>
    <cellStyle name="SAPBEXunassignedItem 2 5 2 2" xfId="51258" xr:uid="{00000000-0005-0000-0000-0000FAC80000}"/>
    <cellStyle name="SAPBEXunassignedItem 2 5 3" xfId="51259" xr:uid="{00000000-0005-0000-0000-0000FBC80000}"/>
    <cellStyle name="SAPBEXunassignedItem 2 6" xfId="51260" xr:uid="{00000000-0005-0000-0000-0000FCC80000}"/>
    <cellStyle name="SAPBEXunassignedItem 2 6 2" xfId="51261" xr:uid="{00000000-0005-0000-0000-0000FDC80000}"/>
    <cellStyle name="SAPBEXunassignedItem 2 6 2 2" xfId="51262" xr:uid="{00000000-0005-0000-0000-0000FEC80000}"/>
    <cellStyle name="SAPBEXunassignedItem 2 6 3" xfId="51263" xr:uid="{00000000-0005-0000-0000-0000FFC80000}"/>
    <cellStyle name="SAPBEXunassignedItem 2 7" xfId="51264" xr:uid="{00000000-0005-0000-0000-000000C90000}"/>
    <cellStyle name="SAPBEXunassignedItem 3" xfId="51265" xr:uid="{00000000-0005-0000-0000-000001C90000}"/>
    <cellStyle name="SAPBEXunassignedItem 3 2" xfId="51266" xr:uid="{00000000-0005-0000-0000-000002C90000}"/>
    <cellStyle name="SAPBEXunassignedItem 3 2 2" xfId="51267" xr:uid="{00000000-0005-0000-0000-000003C90000}"/>
    <cellStyle name="SAPBEXunassignedItem 3 2 2 2" xfId="51268" xr:uid="{00000000-0005-0000-0000-000004C90000}"/>
    <cellStyle name="SAPBEXunassignedItem 3 2 3" xfId="51269" xr:uid="{00000000-0005-0000-0000-000005C90000}"/>
    <cellStyle name="SAPBEXunassignedItem 3 2 3 2" xfId="51270" xr:uid="{00000000-0005-0000-0000-000006C90000}"/>
    <cellStyle name="SAPBEXunassignedItem 3 2 3 2 2" xfId="51271" xr:uid="{00000000-0005-0000-0000-000007C90000}"/>
    <cellStyle name="SAPBEXunassignedItem 3 2 3 3" xfId="51272" xr:uid="{00000000-0005-0000-0000-000008C90000}"/>
    <cellStyle name="SAPBEXunassignedItem 3 2 4" xfId="51273" xr:uid="{00000000-0005-0000-0000-000009C90000}"/>
    <cellStyle name="SAPBEXunassignedItem 3 2 4 2" xfId="51274" xr:uid="{00000000-0005-0000-0000-00000AC90000}"/>
    <cellStyle name="SAPBEXunassignedItem 3 2 4 2 2" xfId="51275" xr:uid="{00000000-0005-0000-0000-00000BC90000}"/>
    <cellStyle name="SAPBEXunassignedItem 3 2 4 3" xfId="51276" xr:uid="{00000000-0005-0000-0000-00000CC90000}"/>
    <cellStyle name="SAPBEXunassignedItem 3 2 5" xfId="51277" xr:uid="{00000000-0005-0000-0000-00000DC90000}"/>
    <cellStyle name="SAPBEXunassignedItem 3 3" xfId="51278" xr:uid="{00000000-0005-0000-0000-00000EC90000}"/>
    <cellStyle name="SAPBEXunassignedItem 3 3 2" xfId="51279" xr:uid="{00000000-0005-0000-0000-00000FC90000}"/>
    <cellStyle name="SAPBEXunassignedItem 3 3 2 2" xfId="51280" xr:uid="{00000000-0005-0000-0000-000010C90000}"/>
    <cellStyle name="SAPBEXunassignedItem 3 3 3" xfId="51281" xr:uid="{00000000-0005-0000-0000-000011C90000}"/>
    <cellStyle name="SAPBEXunassignedItem 3 4" xfId="51282" xr:uid="{00000000-0005-0000-0000-000012C90000}"/>
    <cellStyle name="SAPBEXunassignedItem 3 4 2" xfId="51283" xr:uid="{00000000-0005-0000-0000-000013C90000}"/>
    <cellStyle name="SAPBEXunassignedItem 3 4 2 2" xfId="51284" xr:uid="{00000000-0005-0000-0000-000014C90000}"/>
    <cellStyle name="SAPBEXunassignedItem 3 4 3" xfId="51285" xr:uid="{00000000-0005-0000-0000-000015C90000}"/>
    <cellStyle name="SAPBEXunassignedItem 3 5" xfId="51286" xr:uid="{00000000-0005-0000-0000-000016C90000}"/>
    <cellStyle name="SAPBEXunassignedItem 3 5 2" xfId="51287" xr:uid="{00000000-0005-0000-0000-000017C90000}"/>
    <cellStyle name="SAPBEXunassignedItem 3 5 2 2" xfId="51288" xr:uid="{00000000-0005-0000-0000-000018C90000}"/>
    <cellStyle name="SAPBEXunassignedItem 3 5 3" xfId="51289" xr:uid="{00000000-0005-0000-0000-000019C90000}"/>
    <cellStyle name="SAPBEXunassignedItem 3 6" xfId="51290" xr:uid="{00000000-0005-0000-0000-00001AC90000}"/>
    <cellStyle name="SAPBEXunassignedItem 4" xfId="51291" xr:uid="{00000000-0005-0000-0000-00001BC90000}"/>
    <cellStyle name="SAPBEXunassignedItem 4 2" xfId="51292" xr:uid="{00000000-0005-0000-0000-00001CC90000}"/>
    <cellStyle name="SAPBEXunassignedItem 4 2 2" xfId="51293" xr:uid="{00000000-0005-0000-0000-00001DC90000}"/>
    <cellStyle name="SAPBEXunassignedItem 4 3" xfId="51294" xr:uid="{00000000-0005-0000-0000-00001EC90000}"/>
    <cellStyle name="SAPBEXunassignedItem 4 3 2" xfId="51295" xr:uid="{00000000-0005-0000-0000-00001FC90000}"/>
    <cellStyle name="SAPBEXunassignedItem 4 3 2 2" xfId="51296" xr:uid="{00000000-0005-0000-0000-000020C90000}"/>
    <cellStyle name="SAPBEXunassignedItem 4 3 3" xfId="51297" xr:uid="{00000000-0005-0000-0000-000021C90000}"/>
    <cellStyle name="SAPBEXunassignedItem 4 4" xfId="51298" xr:uid="{00000000-0005-0000-0000-000022C90000}"/>
    <cellStyle name="SAPBEXunassignedItem 4 4 2" xfId="51299" xr:uid="{00000000-0005-0000-0000-000023C90000}"/>
    <cellStyle name="SAPBEXunassignedItem 4 4 2 2" xfId="51300" xr:uid="{00000000-0005-0000-0000-000024C90000}"/>
    <cellStyle name="SAPBEXunassignedItem 4 4 3" xfId="51301" xr:uid="{00000000-0005-0000-0000-000025C90000}"/>
    <cellStyle name="SAPBEXunassignedItem 4 5" xfId="51302" xr:uid="{00000000-0005-0000-0000-000026C90000}"/>
    <cellStyle name="SAPBEXunassignedItem 5" xfId="51303" xr:uid="{00000000-0005-0000-0000-000027C90000}"/>
    <cellStyle name="SAPBEXunassignedItem 5 2" xfId="51304" xr:uid="{00000000-0005-0000-0000-000028C90000}"/>
    <cellStyle name="SAPBEXunassignedItem 5 2 2" xfId="51305" xr:uid="{00000000-0005-0000-0000-000029C90000}"/>
    <cellStyle name="SAPBEXunassignedItem 5 3" xfId="51306" xr:uid="{00000000-0005-0000-0000-00002AC90000}"/>
    <cellStyle name="SAPBEXunassignedItem 6" xfId="51307" xr:uid="{00000000-0005-0000-0000-00002BC90000}"/>
    <cellStyle name="SAPBEXunassignedItem 6 2" xfId="51308" xr:uid="{00000000-0005-0000-0000-00002CC90000}"/>
    <cellStyle name="SAPBEXunassignedItem 6 2 2" xfId="51309" xr:uid="{00000000-0005-0000-0000-00002DC90000}"/>
    <cellStyle name="SAPBEXunassignedItem 6 3" xfId="51310" xr:uid="{00000000-0005-0000-0000-00002EC90000}"/>
    <cellStyle name="SAPBEXunassignedItem 7" xfId="51311" xr:uid="{00000000-0005-0000-0000-00002FC90000}"/>
    <cellStyle name="SAPBEXunassignedItem 7 2" xfId="51312" xr:uid="{00000000-0005-0000-0000-000030C90000}"/>
    <cellStyle name="SAPBEXunassignedItem 7 2 2" xfId="51313" xr:uid="{00000000-0005-0000-0000-000031C90000}"/>
    <cellStyle name="SAPBEXunassignedItem 7 3" xfId="51314" xr:uid="{00000000-0005-0000-0000-000032C90000}"/>
    <cellStyle name="SAPBEXunassignedItem 8" xfId="51315" xr:uid="{00000000-0005-0000-0000-000033C90000}"/>
    <cellStyle name="SAPBEXunassignedItem 8 2" xfId="51316" xr:uid="{00000000-0005-0000-0000-000034C90000}"/>
    <cellStyle name="SAPBEXunassignedItem 9" xfId="51317" xr:uid="{00000000-0005-0000-0000-000035C90000}"/>
    <cellStyle name="SAPBEXunassignedItem 9 2" xfId="51318" xr:uid="{00000000-0005-0000-0000-000036C90000}"/>
    <cellStyle name="SAPBEXundefined" xfId="78" xr:uid="{00000000-0005-0000-0000-000037C90000}"/>
    <cellStyle name="SAPBEXundefined 10" xfId="51319" xr:uid="{00000000-0005-0000-0000-000038C90000}"/>
    <cellStyle name="SAPBEXundefined 10 2" xfId="51320" xr:uid="{00000000-0005-0000-0000-000039C90000}"/>
    <cellStyle name="SAPBEXundefined 11" xfId="51321" xr:uid="{00000000-0005-0000-0000-00003AC90000}"/>
    <cellStyle name="SAPBEXundefined 11 2" xfId="51322" xr:uid="{00000000-0005-0000-0000-00003BC90000}"/>
    <cellStyle name="SAPBEXundefined 12" xfId="51323" xr:uid="{00000000-0005-0000-0000-00003CC90000}"/>
    <cellStyle name="SAPBEXundefined 13" xfId="51324" xr:uid="{00000000-0005-0000-0000-00003DC90000}"/>
    <cellStyle name="SAPBEXundefined 2" xfId="51325" xr:uid="{00000000-0005-0000-0000-00003EC90000}"/>
    <cellStyle name="SAPBEXundefined 2 2" xfId="51326" xr:uid="{00000000-0005-0000-0000-00003FC90000}"/>
    <cellStyle name="SAPBEXundefined 2 2 2" xfId="51327" xr:uid="{00000000-0005-0000-0000-000040C90000}"/>
    <cellStyle name="SAPBEXundefined 2 2 2 2" xfId="51328" xr:uid="{00000000-0005-0000-0000-000041C90000}"/>
    <cellStyle name="SAPBEXundefined 2 2 2 2 2" xfId="51329" xr:uid="{00000000-0005-0000-0000-000042C90000}"/>
    <cellStyle name="SAPBEXundefined 2 2 2 2 2 2" xfId="51330" xr:uid="{00000000-0005-0000-0000-000043C90000}"/>
    <cellStyle name="SAPBEXundefined 2 2 2 2 3" xfId="51331" xr:uid="{00000000-0005-0000-0000-000044C90000}"/>
    <cellStyle name="SAPBEXundefined 2 2 2 3" xfId="51332" xr:uid="{00000000-0005-0000-0000-000045C90000}"/>
    <cellStyle name="SAPBEXundefined 2 2 2 3 2" xfId="51333" xr:uid="{00000000-0005-0000-0000-000046C90000}"/>
    <cellStyle name="SAPBEXundefined 2 2 2 4" xfId="51334" xr:uid="{00000000-0005-0000-0000-000047C90000}"/>
    <cellStyle name="SAPBEXundefined 2 2 3" xfId="51335" xr:uid="{00000000-0005-0000-0000-000048C90000}"/>
    <cellStyle name="SAPBEXundefined 2 2 3 2" xfId="51336" xr:uid="{00000000-0005-0000-0000-000049C90000}"/>
    <cellStyle name="SAPBEXundefined 2 2 3 2 2" xfId="51337" xr:uid="{00000000-0005-0000-0000-00004AC90000}"/>
    <cellStyle name="SAPBEXundefined 2 2 3 3" xfId="51338" xr:uid="{00000000-0005-0000-0000-00004BC90000}"/>
    <cellStyle name="SAPBEXundefined 2 2 4" xfId="51339" xr:uid="{00000000-0005-0000-0000-00004CC90000}"/>
    <cellStyle name="SAPBEXundefined 2 2 4 2" xfId="51340" xr:uid="{00000000-0005-0000-0000-00004DC90000}"/>
    <cellStyle name="SAPBEXundefined 2 2 4 2 2" xfId="51341" xr:uid="{00000000-0005-0000-0000-00004EC90000}"/>
    <cellStyle name="SAPBEXundefined 2 2 4 3" xfId="51342" xr:uid="{00000000-0005-0000-0000-00004FC90000}"/>
    <cellStyle name="SAPBEXundefined 2 2 5" xfId="51343" xr:uid="{00000000-0005-0000-0000-000050C90000}"/>
    <cellStyle name="SAPBEXundefined 2 2 5 2" xfId="51344" xr:uid="{00000000-0005-0000-0000-000051C90000}"/>
    <cellStyle name="SAPBEXundefined 2 2 6" xfId="51345" xr:uid="{00000000-0005-0000-0000-000052C90000}"/>
    <cellStyle name="SAPBEXundefined 2 3" xfId="51346" xr:uid="{00000000-0005-0000-0000-000053C90000}"/>
    <cellStyle name="SAPBEXundefined 2 3 2" xfId="51347" xr:uid="{00000000-0005-0000-0000-000054C90000}"/>
    <cellStyle name="SAPBEXundefined 2 4" xfId="51348" xr:uid="{00000000-0005-0000-0000-000055C90000}"/>
    <cellStyle name="SAPBEXundefined 2 4 2" xfId="51349" xr:uid="{00000000-0005-0000-0000-000056C90000}"/>
    <cellStyle name="SAPBEXundefined 2 4 2 2" xfId="51350" xr:uid="{00000000-0005-0000-0000-000057C90000}"/>
    <cellStyle name="SAPBEXundefined 2 4 3" xfId="51351" xr:uid="{00000000-0005-0000-0000-000058C90000}"/>
    <cellStyle name="SAPBEXundefined 2 5" xfId="51352" xr:uid="{00000000-0005-0000-0000-000059C90000}"/>
    <cellStyle name="SAPBEXundefined 2 5 2" xfId="51353" xr:uid="{00000000-0005-0000-0000-00005AC90000}"/>
    <cellStyle name="SAPBEXundefined 2 5 2 2" xfId="51354" xr:uid="{00000000-0005-0000-0000-00005BC90000}"/>
    <cellStyle name="SAPBEXundefined 2 5 3" xfId="51355" xr:uid="{00000000-0005-0000-0000-00005CC90000}"/>
    <cellStyle name="SAPBEXundefined 2 6" xfId="51356" xr:uid="{00000000-0005-0000-0000-00005DC90000}"/>
    <cellStyle name="SAPBEXundefined 3" xfId="51357" xr:uid="{00000000-0005-0000-0000-00005EC90000}"/>
    <cellStyle name="SAPBEXundefined 3 2" xfId="51358" xr:uid="{00000000-0005-0000-0000-00005FC90000}"/>
    <cellStyle name="SAPBEXundefined 3 2 2" xfId="51359" xr:uid="{00000000-0005-0000-0000-000060C90000}"/>
    <cellStyle name="SAPBEXundefined 3 3" xfId="51360" xr:uid="{00000000-0005-0000-0000-000061C90000}"/>
    <cellStyle name="SAPBEXundefined 3 3 2" xfId="51361" xr:uid="{00000000-0005-0000-0000-000062C90000}"/>
    <cellStyle name="SAPBEXundefined 3 3 2 2" xfId="51362" xr:uid="{00000000-0005-0000-0000-000063C90000}"/>
    <cellStyle name="SAPBEXundefined 3 3 3" xfId="51363" xr:uid="{00000000-0005-0000-0000-000064C90000}"/>
    <cellStyle name="SAPBEXundefined 3 4" xfId="51364" xr:uid="{00000000-0005-0000-0000-000065C90000}"/>
    <cellStyle name="SAPBEXundefined 3 4 2" xfId="51365" xr:uid="{00000000-0005-0000-0000-000066C90000}"/>
    <cellStyle name="SAPBEXundefined 3 4 2 2" xfId="51366" xr:uid="{00000000-0005-0000-0000-000067C90000}"/>
    <cellStyle name="SAPBEXundefined 3 4 3" xfId="51367" xr:uid="{00000000-0005-0000-0000-000068C90000}"/>
    <cellStyle name="SAPBEXundefined 3 5" xfId="51368" xr:uid="{00000000-0005-0000-0000-000069C90000}"/>
    <cellStyle name="SAPBEXundefined 4" xfId="51369" xr:uid="{00000000-0005-0000-0000-00006AC90000}"/>
    <cellStyle name="SAPBEXundefined 4 2" xfId="51370" xr:uid="{00000000-0005-0000-0000-00006BC90000}"/>
    <cellStyle name="SAPBEXundefined 4 2 2" xfId="51371" xr:uid="{00000000-0005-0000-0000-00006CC90000}"/>
    <cellStyle name="SAPBEXundefined 4 2 2 2" xfId="51372" xr:uid="{00000000-0005-0000-0000-00006DC90000}"/>
    <cellStyle name="SAPBEXundefined 4 2 3" xfId="51373" xr:uid="{00000000-0005-0000-0000-00006EC90000}"/>
    <cellStyle name="SAPBEXundefined 4 2 3 2" xfId="51374" xr:uid="{00000000-0005-0000-0000-00006FC90000}"/>
    <cellStyle name="SAPBEXundefined 4 2 3 2 2" xfId="51375" xr:uid="{00000000-0005-0000-0000-000070C90000}"/>
    <cellStyle name="SAPBEXundefined 4 2 3 3" xfId="51376" xr:uid="{00000000-0005-0000-0000-000071C90000}"/>
    <cellStyle name="SAPBEXundefined 4 2 4" xfId="51377" xr:uid="{00000000-0005-0000-0000-000072C90000}"/>
    <cellStyle name="SAPBEXundefined 4 3" xfId="51378" xr:uid="{00000000-0005-0000-0000-000073C90000}"/>
    <cellStyle name="SAPBEXundefined 4 3 2" xfId="51379" xr:uid="{00000000-0005-0000-0000-000074C90000}"/>
    <cellStyle name="SAPBEXundefined 4 3 2 2" xfId="51380" xr:uid="{00000000-0005-0000-0000-000075C90000}"/>
    <cellStyle name="SAPBEXundefined 4 3 3" xfId="51381" xr:uid="{00000000-0005-0000-0000-000076C90000}"/>
    <cellStyle name="SAPBEXundefined 4 4" xfId="51382" xr:uid="{00000000-0005-0000-0000-000077C90000}"/>
    <cellStyle name="SAPBEXundefined 4 4 2" xfId="51383" xr:uid="{00000000-0005-0000-0000-000078C90000}"/>
    <cellStyle name="SAPBEXundefined 4 4 2 2" xfId="51384" xr:uid="{00000000-0005-0000-0000-000079C90000}"/>
    <cellStyle name="SAPBEXundefined 4 4 3" xfId="51385" xr:uid="{00000000-0005-0000-0000-00007AC90000}"/>
    <cellStyle name="SAPBEXundefined 4 5" xfId="51386" xr:uid="{00000000-0005-0000-0000-00007BC90000}"/>
    <cellStyle name="SAPBEXundefined 4 5 2" xfId="51387" xr:uid="{00000000-0005-0000-0000-00007CC90000}"/>
    <cellStyle name="SAPBEXundefined 4 5 2 2" xfId="51388" xr:uid="{00000000-0005-0000-0000-00007DC90000}"/>
    <cellStyle name="SAPBEXundefined 4 5 3" xfId="51389" xr:uid="{00000000-0005-0000-0000-00007EC90000}"/>
    <cellStyle name="SAPBEXundefined 4 6" xfId="51390" xr:uid="{00000000-0005-0000-0000-00007FC90000}"/>
    <cellStyle name="SAPBEXundefined 5" xfId="51391" xr:uid="{00000000-0005-0000-0000-000080C90000}"/>
    <cellStyle name="SAPBEXundefined 5 2" xfId="51392" xr:uid="{00000000-0005-0000-0000-000081C90000}"/>
    <cellStyle name="SAPBEXundefined 5 2 2" xfId="51393" xr:uid="{00000000-0005-0000-0000-000082C90000}"/>
    <cellStyle name="SAPBEXundefined 5 3" xfId="51394" xr:uid="{00000000-0005-0000-0000-000083C90000}"/>
    <cellStyle name="SAPBEXundefined 6" xfId="51395" xr:uid="{00000000-0005-0000-0000-000084C90000}"/>
    <cellStyle name="SAPBEXundefined 6 2" xfId="51396" xr:uid="{00000000-0005-0000-0000-000085C90000}"/>
    <cellStyle name="SAPBEXundefined 6 2 2" xfId="51397" xr:uid="{00000000-0005-0000-0000-000086C90000}"/>
    <cellStyle name="SAPBEXundefined 6 3" xfId="51398" xr:uid="{00000000-0005-0000-0000-000087C90000}"/>
    <cellStyle name="SAPBEXundefined 7" xfId="51399" xr:uid="{00000000-0005-0000-0000-000088C90000}"/>
    <cellStyle name="SAPBEXundefined 7 2" xfId="51400" xr:uid="{00000000-0005-0000-0000-000089C90000}"/>
    <cellStyle name="SAPBEXundefined 7 2 2" xfId="51401" xr:uid="{00000000-0005-0000-0000-00008AC90000}"/>
    <cellStyle name="SAPBEXundefined 7 3" xfId="51402" xr:uid="{00000000-0005-0000-0000-00008BC90000}"/>
    <cellStyle name="SAPBEXundefined 8" xfId="51403" xr:uid="{00000000-0005-0000-0000-00008CC90000}"/>
    <cellStyle name="SAPBEXundefined 8 2" xfId="51404" xr:uid="{00000000-0005-0000-0000-00008DC90000}"/>
    <cellStyle name="SAPBEXundefined 9" xfId="51405" xr:uid="{00000000-0005-0000-0000-00008EC90000}"/>
    <cellStyle name="SAPBEXundefined 9 2" xfId="51406" xr:uid="{00000000-0005-0000-0000-00008FC90000}"/>
    <cellStyle name="SHADEDSTORES" xfId="51407" xr:uid="{00000000-0005-0000-0000-000090C90000}"/>
    <cellStyle name="SHADEDSTORES 10" xfId="51408" xr:uid="{00000000-0005-0000-0000-000091C90000}"/>
    <cellStyle name="SHADEDSTORES 10 2" xfId="51409" xr:uid="{00000000-0005-0000-0000-000092C90000}"/>
    <cellStyle name="SHADEDSTORES 10 2 2" xfId="51410" xr:uid="{00000000-0005-0000-0000-000093C90000}"/>
    <cellStyle name="SHADEDSTORES 10 2 2 2" xfId="51411" xr:uid="{00000000-0005-0000-0000-000094C90000}"/>
    <cellStyle name="SHADEDSTORES 10 2 2 2 2" xfId="51412" xr:uid="{00000000-0005-0000-0000-000095C90000}"/>
    <cellStyle name="SHADEDSTORES 10 2 2 2 3" xfId="51413" xr:uid="{00000000-0005-0000-0000-000096C90000}"/>
    <cellStyle name="SHADEDSTORES 10 2 2 3" xfId="51414" xr:uid="{00000000-0005-0000-0000-000097C90000}"/>
    <cellStyle name="SHADEDSTORES 10 2 3" xfId="51415" xr:uid="{00000000-0005-0000-0000-000098C90000}"/>
    <cellStyle name="SHADEDSTORES 10 3" xfId="51416" xr:uid="{00000000-0005-0000-0000-000099C90000}"/>
    <cellStyle name="SHADEDSTORES 10 3 2" xfId="51417" xr:uid="{00000000-0005-0000-0000-00009AC90000}"/>
    <cellStyle name="SHADEDSTORES 10 3 2 2" xfId="51418" xr:uid="{00000000-0005-0000-0000-00009BC90000}"/>
    <cellStyle name="SHADEDSTORES 10 3 2 2 2" xfId="51419" xr:uid="{00000000-0005-0000-0000-00009CC90000}"/>
    <cellStyle name="SHADEDSTORES 10 3 2 2 3" xfId="51420" xr:uid="{00000000-0005-0000-0000-00009DC90000}"/>
    <cellStyle name="SHADEDSTORES 10 3 2 3" xfId="51421" xr:uid="{00000000-0005-0000-0000-00009EC90000}"/>
    <cellStyle name="SHADEDSTORES 10 3 3" xfId="51422" xr:uid="{00000000-0005-0000-0000-00009FC90000}"/>
    <cellStyle name="SHADEDSTORES 10 3 3 2" xfId="51423" xr:uid="{00000000-0005-0000-0000-0000A0C90000}"/>
    <cellStyle name="SHADEDSTORES 10 3 3 3" xfId="51424" xr:uid="{00000000-0005-0000-0000-0000A1C90000}"/>
    <cellStyle name="SHADEDSTORES 10 3 4" xfId="51425" xr:uid="{00000000-0005-0000-0000-0000A2C90000}"/>
    <cellStyle name="SHADEDSTORES 10 4" xfId="51426" xr:uid="{00000000-0005-0000-0000-0000A3C90000}"/>
    <cellStyle name="SHADEDSTORES 10 4 2" xfId="51427" xr:uid="{00000000-0005-0000-0000-0000A4C90000}"/>
    <cellStyle name="SHADEDSTORES 10 4 2 2" xfId="51428" xr:uid="{00000000-0005-0000-0000-0000A5C90000}"/>
    <cellStyle name="SHADEDSTORES 10 4 2 3" xfId="51429" xr:uid="{00000000-0005-0000-0000-0000A6C90000}"/>
    <cellStyle name="SHADEDSTORES 10 4 3" xfId="51430" xr:uid="{00000000-0005-0000-0000-0000A7C90000}"/>
    <cellStyle name="SHADEDSTORES 10 5" xfId="51431" xr:uid="{00000000-0005-0000-0000-0000A8C90000}"/>
    <cellStyle name="SHADEDSTORES 10 5 2" xfId="51432" xr:uid="{00000000-0005-0000-0000-0000A9C90000}"/>
    <cellStyle name="SHADEDSTORES 10 5 3" xfId="51433" xr:uid="{00000000-0005-0000-0000-0000AAC90000}"/>
    <cellStyle name="SHADEDSTORES 10 6" xfId="51434" xr:uid="{00000000-0005-0000-0000-0000ABC90000}"/>
    <cellStyle name="SHADEDSTORES 11" xfId="51435" xr:uid="{00000000-0005-0000-0000-0000ACC90000}"/>
    <cellStyle name="SHADEDSTORES 2" xfId="51436" xr:uid="{00000000-0005-0000-0000-0000ADC90000}"/>
    <cellStyle name="SHADEDSTORES 2 2" xfId="51437" xr:uid="{00000000-0005-0000-0000-0000AEC90000}"/>
    <cellStyle name="SHADEDSTORES 2 2 2" xfId="51438" xr:uid="{00000000-0005-0000-0000-0000AFC90000}"/>
    <cellStyle name="SHADEDSTORES 2 2 2 2" xfId="51439" xr:uid="{00000000-0005-0000-0000-0000B0C90000}"/>
    <cellStyle name="SHADEDSTORES 2 2 2 2 2" xfId="51440" xr:uid="{00000000-0005-0000-0000-0000B1C90000}"/>
    <cellStyle name="SHADEDSTORES 2 2 2 2 2 2" xfId="51441" xr:uid="{00000000-0005-0000-0000-0000B2C90000}"/>
    <cellStyle name="SHADEDSTORES 2 2 2 2 2 2 2" xfId="51442" xr:uid="{00000000-0005-0000-0000-0000B3C90000}"/>
    <cellStyle name="SHADEDSTORES 2 2 2 2 2 2 2 2" xfId="51443" xr:uid="{00000000-0005-0000-0000-0000B4C90000}"/>
    <cellStyle name="SHADEDSTORES 2 2 2 2 2 2 2 3" xfId="51444" xr:uid="{00000000-0005-0000-0000-0000B5C90000}"/>
    <cellStyle name="SHADEDSTORES 2 2 2 2 2 2 3" xfId="51445" xr:uid="{00000000-0005-0000-0000-0000B6C90000}"/>
    <cellStyle name="SHADEDSTORES 2 2 2 2 2 3" xfId="51446" xr:uid="{00000000-0005-0000-0000-0000B7C90000}"/>
    <cellStyle name="SHADEDSTORES 2 2 2 2 3" xfId="51447" xr:uid="{00000000-0005-0000-0000-0000B8C90000}"/>
    <cellStyle name="SHADEDSTORES 2 2 2 2 3 2" xfId="51448" xr:uid="{00000000-0005-0000-0000-0000B9C90000}"/>
    <cellStyle name="SHADEDSTORES 2 2 2 2 3 2 2" xfId="51449" xr:uid="{00000000-0005-0000-0000-0000BAC90000}"/>
    <cellStyle name="SHADEDSTORES 2 2 2 2 3 2 2 2" xfId="51450" xr:uid="{00000000-0005-0000-0000-0000BBC90000}"/>
    <cellStyle name="SHADEDSTORES 2 2 2 2 3 2 2 3" xfId="51451" xr:uid="{00000000-0005-0000-0000-0000BCC90000}"/>
    <cellStyle name="SHADEDSTORES 2 2 2 2 3 2 3" xfId="51452" xr:uid="{00000000-0005-0000-0000-0000BDC90000}"/>
    <cellStyle name="SHADEDSTORES 2 2 2 2 3 3" xfId="51453" xr:uid="{00000000-0005-0000-0000-0000BEC90000}"/>
    <cellStyle name="SHADEDSTORES 2 2 2 2 3 3 2" xfId="51454" xr:uid="{00000000-0005-0000-0000-0000BFC90000}"/>
    <cellStyle name="SHADEDSTORES 2 2 2 2 3 3 3" xfId="51455" xr:uid="{00000000-0005-0000-0000-0000C0C90000}"/>
    <cellStyle name="SHADEDSTORES 2 2 2 2 3 4" xfId="51456" xr:uid="{00000000-0005-0000-0000-0000C1C90000}"/>
    <cellStyle name="SHADEDSTORES 2 2 2 2 4" xfId="51457" xr:uid="{00000000-0005-0000-0000-0000C2C90000}"/>
    <cellStyle name="SHADEDSTORES 2 2 2 2 4 2" xfId="51458" xr:uid="{00000000-0005-0000-0000-0000C3C90000}"/>
    <cellStyle name="SHADEDSTORES 2 2 2 2 4 2 2" xfId="51459" xr:uid="{00000000-0005-0000-0000-0000C4C90000}"/>
    <cellStyle name="SHADEDSTORES 2 2 2 2 4 2 3" xfId="51460" xr:uid="{00000000-0005-0000-0000-0000C5C90000}"/>
    <cellStyle name="SHADEDSTORES 2 2 2 2 4 3" xfId="51461" xr:uid="{00000000-0005-0000-0000-0000C6C90000}"/>
    <cellStyle name="SHADEDSTORES 2 2 2 2 5" xfId="51462" xr:uid="{00000000-0005-0000-0000-0000C7C90000}"/>
    <cellStyle name="SHADEDSTORES 2 2 2 2 5 2" xfId="51463" xr:uid="{00000000-0005-0000-0000-0000C8C90000}"/>
    <cellStyle name="SHADEDSTORES 2 2 2 2 5 3" xfId="51464" xr:uid="{00000000-0005-0000-0000-0000C9C90000}"/>
    <cellStyle name="SHADEDSTORES 2 2 2 2 6" xfId="51465" xr:uid="{00000000-0005-0000-0000-0000CAC90000}"/>
    <cellStyle name="SHADEDSTORES 2 2 2 3" xfId="51466" xr:uid="{00000000-0005-0000-0000-0000CBC90000}"/>
    <cellStyle name="SHADEDSTORES 2 2 3" xfId="51467" xr:uid="{00000000-0005-0000-0000-0000CCC90000}"/>
    <cellStyle name="SHADEDSTORES 2 2 3 2" xfId="51468" xr:uid="{00000000-0005-0000-0000-0000CDC90000}"/>
    <cellStyle name="SHADEDSTORES 2 2 3 2 2" xfId="51469" xr:uid="{00000000-0005-0000-0000-0000CEC90000}"/>
    <cellStyle name="SHADEDSTORES 2 2 3 3" xfId="51470" xr:uid="{00000000-0005-0000-0000-0000CFC90000}"/>
    <cellStyle name="SHADEDSTORES 2 2 4" xfId="51471" xr:uid="{00000000-0005-0000-0000-0000D0C90000}"/>
    <cellStyle name="SHADEDSTORES 2 2 4 2" xfId="51472" xr:uid="{00000000-0005-0000-0000-0000D1C90000}"/>
    <cellStyle name="SHADEDSTORES 2 2 4 2 2" xfId="51473" xr:uid="{00000000-0005-0000-0000-0000D2C90000}"/>
    <cellStyle name="SHADEDSTORES 2 2 4 3" xfId="51474" xr:uid="{00000000-0005-0000-0000-0000D3C90000}"/>
    <cellStyle name="SHADEDSTORES 2 2 5" xfId="51475" xr:uid="{00000000-0005-0000-0000-0000D4C90000}"/>
    <cellStyle name="SHADEDSTORES 2 2 5 2" xfId="51476" xr:uid="{00000000-0005-0000-0000-0000D5C90000}"/>
    <cellStyle name="SHADEDSTORES 2 2 5 2 2" xfId="51477" xr:uid="{00000000-0005-0000-0000-0000D6C90000}"/>
    <cellStyle name="SHADEDSTORES 2 2 5 2 2 2" xfId="51478" xr:uid="{00000000-0005-0000-0000-0000D7C90000}"/>
    <cellStyle name="SHADEDSTORES 2 2 5 2 3" xfId="51479" xr:uid="{00000000-0005-0000-0000-0000D8C90000}"/>
    <cellStyle name="SHADEDSTORES 2 2 5 3" xfId="51480" xr:uid="{00000000-0005-0000-0000-0000D9C90000}"/>
    <cellStyle name="SHADEDSTORES 2 2 5 3 2" xfId="51481" xr:uid="{00000000-0005-0000-0000-0000DAC90000}"/>
    <cellStyle name="SHADEDSTORES 2 2 5 4" xfId="51482" xr:uid="{00000000-0005-0000-0000-0000DBC90000}"/>
    <cellStyle name="SHADEDSTORES 2 2 6" xfId="51483" xr:uid="{00000000-0005-0000-0000-0000DCC90000}"/>
    <cellStyle name="SHADEDSTORES 2 3" xfId="51484" xr:uid="{00000000-0005-0000-0000-0000DDC90000}"/>
    <cellStyle name="SHADEDSTORES 2 3 10" xfId="51485" xr:uid="{00000000-0005-0000-0000-0000DEC90000}"/>
    <cellStyle name="SHADEDSTORES 2 3 2" xfId="51486" xr:uid="{00000000-0005-0000-0000-0000DFC90000}"/>
    <cellStyle name="SHADEDSTORES 2 3 2 2" xfId="51487" xr:uid="{00000000-0005-0000-0000-0000E0C90000}"/>
    <cellStyle name="SHADEDSTORES 2 3 2 2 2" xfId="51488" xr:uid="{00000000-0005-0000-0000-0000E1C90000}"/>
    <cellStyle name="SHADEDSTORES 2 3 2 2 2 2" xfId="51489" xr:uid="{00000000-0005-0000-0000-0000E2C90000}"/>
    <cellStyle name="SHADEDSTORES 2 3 2 2 2 2 2" xfId="51490" xr:uid="{00000000-0005-0000-0000-0000E3C90000}"/>
    <cellStyle name="SHADEDSTORES 2 3 2 2 2 2 2 2" xfId="51491" xr:uid="{00000000-0005-0000-0000-0000E4C90000}"/>
    <cellStyle name="SHADEDSTORES 2 3 2 2 2 2 3" xfId="51492" xr:uid="{00000000-0005-0000-0000-0000E5C90000}"/>
    <cellStyle name="SHADEDSTORES 2 3 2 2 2 3" xfId="51493" xr:uid="{00000000-0005-0000-0000-0000E6C90000}"/>
    <cellStyle name="SHADEDSTORES 2 3 2 2 2 3 2" xfId="51494" xr:uid="{00000000-0005-0000-0000-0000E7C90000}"/>
    <cellStyle name="SHADEDSTORES 2 3 2 2 2 4" xfId="51495" xr:uid="{00000000-0005-0000-0000-0000E8C90000}"/>
    <cellStyle name="SHADEDSTORES 2 3 2 2 3" xfId="51496" xr:uid="{00000000-0005-0000-0000-0000E9C90000}"/>
    <cellStyle name="SHADEDSTORES 2 3 2 2 3 2" xfId="51497" xr:uid="{00000000-0005-0000-0000-0000EAC90000}"/>
    <cellStyle name="SHADEDSTORES 2 3 2 2 3 2 2" xfId="51498" xr:uid="{00000000-0005-0000-0000-0000EBC90000}"/>
    <cellStyle name="SHADEDSTORES 2 3 2 2 3 3" xfId="51499" xr:uid="{00000000-0005-0000-0000-0000ECC90000}"/>
    <cellStyle name="SHADEDSTORES 2 3 2 2 3 3 2" xfId="51500" xr:uid="{00000000-0005-0000-0000-0000EDC90000}"/>
    <cellStyle name="SHADEDSTORES 2 3 2 2 3 4" xfId="51501" xr:uid="{00000000-0005-0000-0000-0000EEC90000}"/>
    <cellStyle name="SHADEDSTORES 2 3 2 2 4" xfId="51502" xr:uid="{00000000-0005-0000-0000-0000EFC90000}"/>
    <cellStyle name="SHADEDSTORES 2 3 2 2 4 2" xfId="51503" xr:uid="{00000000-0005-0000-0000-0000F0C90000}"/>
    <cellStyle name="SHADEDSTORES 2 3 2 2 5" xfId="51504" xr:uid="{00000000-0005-0000-0000-0000F1C90000}"/>
    <cellStyle name="SHADEDSTORES 2 3 2 2 5 2" xfId="51505" xr:uid="{00000000-0005-0000-0000-0000F2C90000}"/>
    <cellStyle name="SHADEDSTORES 2 3 2 2 6" xfId="51506" xr:uid="{00000000-0005-0000-0000-0000F3C90000}"/>
    <cellStyle name="SHADEDSTORES 2 3 2 3" xfId="51507" xr:uid="{00000000-0005-0000-0000-0000F4C90000}"/>
    <cellStyle name="SHADEDSTORES 2 3 2 3 2" xfId="51508" xr:uid="{00000000-0005-0000-0000-0000F5C90000}"/>
    <cellStyle name="SHADEDSTORES 2 3 2 3 2 2" xfId="51509" xr:uid="{00000000-0005-0000-0000-0000F6C90000}"/>
    <cellStyle name="SHADEDSTORES 2 3 2 3 3" xfId="51510" xr:uid="{00000000-0005-0000-0000-0000F7C90000}"/>
    <cellStyle name="SHADEDSTORES 2 3 2 4" xfId="51511" xr:uid="{00000000-0005-0000-0000-0000F8C90000}"/>
    <cellStyle name="SHADEDSTORES 2 3 2 4 2" xfId="51512" xr:uid="{00000000-0005-0000-0000-0000F9C90000}"/>
    <cellStyle name="SHADEDSTORES 2 3 2 4 2 2" xfId="51513" xr:uid="{00000000-0005-0000-0000-0000FAC90000}"/>
    <cellStyle name="SHADEDSTORES 2 3 2 4 2 2 2" xfId="51514" xr:uid="{00000000-0005-0000-0000-0000FBC90000}"/>
    <cellStyle name="SHADEDSTORES 2 3 2 4 2 3" xfId="51515" xr:uid="{00000000-0005-0000-0000-0000FCC90000}"/>
    <cellStyle name="SHADEDSTORES 2 3 2 4 3" xfId="51516" xr:uid="{00000000-0005-0000-0000-0000FDC90000}"/>
    <cellStyle name="SHADEDSTORES 2 3 2 4 3 2" xfId="51517" xr:uid="{00000000-0005-0000-0000-0000FEC90000}"/>
    <cellStyle name="SHADEDSTORES 2 3 2 4 4" xfId="51518" xr:uid="{00000000-0005-0000-0000-0000FFC90000}"/>
    <cellStyle name="SHADEDSTORES 2 3 2 5" xfId="51519" xr:uid="{00000000-0005-0000-0000-000000CA0000}"/>
    <cellStyle name="SHADEDSTORES 2 3 2 5 2" xfId="51520" xr:uid="{00000000-0005-0000-0000-000001CA0000}"/>
    <cellStyle name="SHADEDSTORES 2 3 2 5 2 2" xfId="51521" xr:uid="{00000000-0005-0000-0000-000002CA0000}"/>
    <cellStyle name="SHADEDSTORES 2 3 2 5 3" xfId="51522" xr:uid="{00000000-0005-0000-0000-000003CA0000}"/>
    <cellStyle name="SHADEDSTORES 2 3 2 5 3 2" xfId="51523" xr:uid="{00000000-0005-0000-0000-000004CA0000}"/>
    <cellStyle name="SHADEDSTORES 2 3 2 5 4" xfId="51524" xr:uid="{00000000-0005-0000-0000-000005CA0000}"/>
    <cellStyle name="SHADEDSTORES 2 3 2 6" xfId="51525" xr:uid="{00000000-0005-0000-0000-000006CA0000}"/>
    <cellStyle name="SHADEDSTORES 2 3 2 6 2" xfId="51526" xr:uid="{00000000-0005-0000-0000-000007CA0000}"/>
    <cellStyle name="SHADEDSTORES 2 3 2 7" xfId="51527" xr:uid="{00000000-0005-0000-0000-000008CA0000}"/>
    <cellStyle name="SHADEDSTORES 2 3 2 7 2" xfId="51528" xr:uid="{00000000-0005-0000-0000-000009CA0000}"/>
    <cellStyle name="SHADEDSTORES 2 3 2 8" xfId="51529" xr:uid="{00000000-0005-0000-0000-00000ACA0000}"/>
    <cellStyle name="SHADEDSTORES 2 3 3" xfId="51530" xr:uid="{00000000-0005-0000-0000-00000BCA0000}"/>
    <cellStyle name="SHADEDSTORES 2 3 3 2" xfId="51531" xr:uid="{00000000-0005-0000-0000-00000CCA0000}"/>
    <cellStyle name="SHADEDSTORES 2 3 3 2 2" xfId="51532" xr:uid="{00000000-0005-0000-0000-00000DCA0000}"/>
    <cellStyle name="SHADEDSTORES 2 3 3 2 2 2" xfId="51533" xr:uid="{00000000-0005-0000-0000-00000ECA0000}"/>
    <cellStyle name="SHADEDSTORES 2 3 3 2 2 2 2" xfId="51534" xr:uid="{00000000-0005-0000-0000-00000FCA0000}"/>
    <cellStyle name="SHADEDSTORES 2 3 3 2 2 2 2 2" xfId="51535" xr:uid="{00000000-0005-0000-0000-000010CA0000}"/>
    <cellStyle name="SHADEDSTORES 2 3 3 2 2 2 3" xfId="51536" xr:uid="{00000000-0005-0000-0000-000011CA0000}"/>
    <cellStyle name="SHADEDSTORES 2 3 3 2 2 3" xfId="51537" xr:uid="{00000000-0005-0000-0000-000012CA0000}"/>
    <cellStyle name="SHADEDSTORES 2 3 3 2 2 3 2" xfId="51538" xr:uid="{00000000-0005-0000-0000-000013CA0000}"/>
    <cellStyle name="SHADEDSTORES 2 3 3 2 2 4" xfId="51539" xr:uid="{00000000-0005-0000-0000-000014CA0000}"/>
    <cellStyle name="SHADEDSTORES 2 3 3 2 3" xfId="51540" xr:uid="{00000000-0005-0000-0000-000015CA0000}"/>
    <cellStyle name="SHADEDSTORES 2 3 3 2 3 2" xfId="51541" xr:uid="{00000000-0005-0000-0000-000016CA0000}"/>
    <cellStyle name="SHADEDSTORES 2 3 3 2 3 2 2" xfId="51542" xr:uid="{00000000-0005-0000-0000-000017CA0000}"/>
    <cellStyle name="SHADEDSTORES 2 3 3 2 3 3" xfId="51543" xr:uid="{00000000-0005-0000-0000-000018CA0000}"/>
    <cellStyle name="SHADEDSTORES 2 3 3 2 3 3 2" xfId="51544" xr:uid="{00000000-0005-0000-0000-000019CA0000}"/>
    <cellStyle name="SHADEDSTORES 2 3 3 2 3 4" xfId="51545" xr:uid="{00000000-0005-0000-0000-00001ACA0000}"/>
    <cellStyle name="SHADEDSTORES 2 3 3 2 4" xfId="51546" xr:uid="{00000000-0005-0000-0000-00001BCA0000}"/>
    <cellStyle name="SHADEDSTORES 2 3 3 2 4 2" xfId="51547" xr:uid="{00000000-0005-0000-0000-00001CCA0000}"/>
    <cellStyle name="SHADEDSTORES 2 3 3 2 5" xfId="51548" xr:uid="{00000000-0005-0000-0000-00001DCA0000}"/>
    <cellStyle name="SHADEDSTORES 2 3 3 2 5 2" xfId="51549" xr:uid="{00000000-0005-0000-0000-00001ECA0000}"/>
    <cellStyle name="SHADEDSTORES 2 3 3 2 6" xfId="51550" xr:uid="{00000000-0005-0000-0000-00001FCA0000}"/>
    <cellStyle name="SHADEDSTORES 2 3 3 3" xfId="51551" xr:uid="{00000000-0005-0000-0000-000020CA0000}"/>
    <cellStyle name="SHADEDSTORES 2 3 3 3 2" xfId="51552" xr:uid="{00000000-0005-0000-0000-000021CA0000}"/>
    <cellStyle name="SHADEDSTORES 2 3 3 3 2 2" xfId="51553" xr:uid="{00000000-0005-0000-0000-000022CA0000}"/>
    <cellStyle name="SHADEDSTORES 2 3 3 3 2 2 2" xfId="51554" xr:uid="{00000000-0005-0000-0000-000023CA0000}"/>
    <cellStyle name="SHADEDSTORES 2 3 3 3 2 3" xfId="51555" xr:uid="{00000000-0005-0000-0000-000024CA0000}"/>
    <cellStyle name="SHADEDSTORES 2 3 3 3 3" xfId="51556" xr:uid="{00000000-0005-0000-0000-000025CA0000}"/>
    <cellStyle name="SHADEDSTORES 2 3 3 3 3 2" xfId="51557" xr:uid="{00000000-0005-0000-0000-000026CA0000}"/>
    <cellStyle name="SHADEDSTORES 2 3 3 3 4" xfId="51558" xr:uid="{00000000-0005-0000-0000-000027CA0000}"/>
    <cellStyle name="SHADEDSTORES 2 3 3 4" xfId="51559" xr:uid="{00000000-0005-0000-0000-000028CA0000}"/>
    <cellStyle name="SHADEDSTORES 2 3 3 4 2" xfId="51560" xr:uid="{00000000-0005-0000-0000-000029CA0000}"/>
    <cellStyle name="SHADEDSTORES 2 3 3 4 2 2" xfId="51561" xr:uid="{00000000-0005-0000-0000-00002ACA0000}"/>
    <cellStyle name="SHADEDSTORES 2 3 3 4 3" xfId="51562" xr:uid="{00000000-0005-0000-0000-00002BCA0000}"/>
    <cellStyle name="SHADEDSTORES 2 3 3 4 3 2" xfId="51563" xr:uid="{00000000-0005-0000-0000-00002CCA0000}"/>
    <cellStyle name="SHADEDSTORES 2 3 3 4 4" xfId="51564" xr:uid="{00000000-0005-0000-0000-00002DCA0000}"/>
    <cellStyle name="SHADEDSTORES 2 3 3 5" xfId="51565" xr:uid="{00000000-0005-0000-0000-00002ECA0000}"/>
    <cellStyle name="SHADEDSTORES 2 3 3 5 2" xfId="51566" xr:uid="{00000000-0005-0000-0000-00002FCA0000}"/>
    <cellStyle name="SHADEDSTORES 2 3 3 6" xfId="51567" xr:uid="{00000000-0005-0000-0000-000030CA0000}"/>
    <cellStyle name="SHADEDSTORES 2 3 3 6 2" xfId="51568" xr:uid="{00000000-0005-0000-0000-000031CA0000}"/>
    <cellStyle name="SHADEDSTORES 2 3 3 7" xfId="51569" xr:uid="{00000000-0005-0000-0000-000032CA0000}"/>
    <cellStyle name="SHADEDSTORES 2 3 4" xfId="51570" xr:uid="{00000000-0005-0000-0000-000033CA0000}"/>
    <cellStyle name="SHADEDSTORES 2 3 4 2" xfId="51571" xr:uid="{00000000-0005-0000-0000-000034CA0000}"/>
    <cellStyle name="SHADEDSTORES 2 3 4 2 2" xfId="51572" xr:uid="{00000000-0005-0000-0000-000035CA0000}"/>
    <cellStyle name="SHADEDSTORES 2 3 4 3" xfId="51573" xr:uid="{00000000-0005-0000-0000-000036CA0000}"/>
    <cellStyle name="SHADEDSTORES 2 3 5" xfId="51574" xr:uid="{00000000-0005-0000-0000-000037CA0000}"/>
    <cellStyle name="SHADEDSTORES 2 3 5 2" xfId="51575" xr:uid="{00000000-0005-0000-0000-000038CA0000}"/>
    <cellStyle name="SHADEDSTORES 2 3 5 2 2" xfId="51576" xr:uid="{00000000-0005-0000-0000-000039CA0000}"/>
    <cellStyle name="SHADEDSTORES 2 3 5 3" xfId="51577" xr:uid="{00000000-0005-0000-0000-00003ACA0000}"/>
    <cellStyle name="SHADEDSTORES 2 3 6" xfId="51578" xr:uid="{00000000-0005-0000-0000-00003BCA0000}"/>
    <cellStyle name="SHADEDSTORES 2 3 6 2" xfId="51579" xr:uid="{00000000-0005-0000-0000-00003CCA0000}"/>
    <cellStyle name="SHADEDSTORES 2 3 6 2 2" xfId="51580" xr:uid="{00000000-0005-0000-0000-00003DCA0000}"/>
    <cellStyle name="SHADEDSTORES 2 3 6 2 2 2" xfId="51581" xr:uid="{00000000-0005-0000-0000-00003ECA0000}"/>
    <cellStyle name="SHADEDSTORES 2 3 6 2 3" xfId="51582" xr:uid="{00000000-0005-0000-0000-00003FCA0000}"/>
    <cellStyle name="SHADEDSTORES 2 3 6 3" xfId="51583" xr:uid="{00000000-0005-0000-0000-000040CA0000}"/>
    <cellStyle name="SHADEDSTORES 2 3 6 3 2" xfId="51584" xr:uid="{00000000-0005-0000-0000-000041CA0000}"/>
    <cellStyle name="SHADEDSTORES 2 3 6 4" xfId="51585" xr:uid="{00000000-0005-0000-0000-000042CA0000}"/>
    <cellStyle name="SHADEDSTORES 2 3 7" xfId="51586" xr:uid="{00000000-0005-0000-0000-000043CA0000}"/>
    <cellStyle name="SHADEDSTORES 2 3 7 2" xfId="51587" xr:uid="{00000000-0005-0000-0000-000044CA0000}"/>
    <cellStyle name="SHADEDSTORES 2 3 7 2 2" xfId="51588" xr:uid="{00000000-0005-0000-0000-000045CA0000}"/>
    <cellStyle name="SHADEDSTORES 2 3 7 3" xfId="51589" xr:uid="{00000000-0005-0000-0000-000046CA0000}"/>
    <cellStyle name="SHADEDSTORES 2 3 7 3 2" xfId="51590" xr:uid="{00000000-0005-0000-0000-000047CA0000}"/>
    <cellStyle name="SHADEDSTORES 2 3 7 4" xfId="51591" xr:uid="{00000000-0005-0000-0000-000048CA0000}"/>
    <cellStyle name="SHADEDSTORES 2 3 8" xfId="51592" xr:uid="{00000000-0005-0000-0000-000049CA0000}"/>
    <cellStyle name="SHADEDSTORES 2 3 8 2" xfId="51593" xr:uid="{00000000-0005-0000-0000-00004ACA0000}"/>
    <cellStyle name="SHADEDSTORES 2 3 9" xfId="51594" xr:uid="{00000000-0005-0000-0000-00004BCA0000}"/>
    <cellStyle name="SHADEDSTORES 2 3 9 2" xfId="51595" xr:uid="{00000000-0005-0000-0000-00004CCA0000}"/>
    <cellStyle name="SHADEDSTORES 2 4" xfId="51596" xr:uid="{00000000-0005-0000-0000-00004DCA0000}"/>
    <cellStyle name="SHADEDSTORES 2 4 2" xfId="51597" xr:uid="{00000000-0005-0000-0000-00004ECA0000}"/>
    <cellStyle name="SHADEDSTORES 2 4 2 2" xfId="51598" xr:uid="{00000000-0005-0000-0000-00004FCA0000}"/>
    <cellStyle name="SHADEDSTORES 2 4 2 2 2" xfId="51599" xr:uid="{00000000-0005-0000-0000-000050CA0000}"/>
    <cellStyle name="SHADEDSTORES 2 4 2 2 2 2" xfId="51600" xr:uid="{00000000-0005-0000-0000-000051CA0000}"/>
    <cellStyle name="SHADEDSTORES 2 4 2 2 2 2 2" xfId="51601" xr:uid="{00000000-0005-0000-0000-000052CA0000}"/>
    <cellStyle name="SHADEDSTORES 2 4 2 2 2 3" xfId="51602" xr:uid="{00000000-0005-0000-0000-000053CA0000}"/>
    <cellStyle name="SHADEDSTORES 2 4 2 2 3" xfId="51603" xr:uid="{00000000-0005-0000-0000-000054CA0000}"/>
    <cellStyle name="SHADEDSTORES 2 4 2 2 3 2" xfId="51604" xr:uid="{00000000-0005-0000-0000-000055CA0000}"/>
    <cellStyle name="SHADEDSTORES 2 4 2 2 4" xfId="51605" xr:uid="{00000000-0005-0000-0000-000056CA0000}"/>
    <cellStyle name="SHADEDSTORES 2 4 2 3" xfId="51606" xr:uid="{00000000-0005-0000-0000-000057CA0000}"/>
    <cellStyle name="SHADEDSTORES 2 4 2 3 2" xfId="51607" xr:uid="{00000000-0005-0000-0000-000058CA0000}"/>
    <cellStyle name="SHADEDSTORES 2 4 2 3 2 2" xfId="51608" xr:uid="{00000000-0005-0000-0000-000059CA0000}"/>
    <cellStyle name="SHADEDSTORES 2 4 2 3 3" xfId="51609" xr:uid="{00000000-0005-0000-0000-00005ACA0000}"/>
    <cellStyle name="SHADEDSTORES 2 4 2 3 3 2" xfId="51610" xr:uid="{00000000-0005-0000-0000-00005BCA0000}"/>
    <cellStyle name="SHADEDSTORES 2 4 2 3 4" xfId="51611" xr:uid="{00000000-0005-0000-0000-00005CCA0000}"/>
    <cellStyle name="SHADEDSTORES 2 4 2 4" xfId="51612" xr:uid="{00000000-0005-0000-0000-00005DCA0000}"/>
    <cellStyle name="SHADEDSTORES 2 4 2 4 2" xfId="51613" xr:uid="{00000000-0005-0000-0000-00005ECA0000}"/>
    <cellStyle name="SHADEDSTORES 2 4 2 5" xfId="51614" xr:uid="{00000000-0005-0000-0000-00005FCA0000}"/>
    <cellStyle name="SHADEDSTORES 2 4 2 5 2" xfId="51615" xr:uid="{00000000-0005-0000-0000-000060CA0000}"/>
    <cellStyle name="SHADEDSTORES 2 4 2 6" xfId="51616" xr:uid="{00000000-0005-0000-0000-000061CA0000}"/>
    <cellStyle name="SHADEDSTORES 2 4 3" xfId="51617" xr:uid="{00000000-0005-0000-0000-000062CA0000}"/>
    <cellStyle name="SHADEDSTORES 2 4 3 2" xfId="51618" xr:uid="{00000000-0005-0000-0000-000063CA0000}"/>
    <cellStyle name="SHADEDSTORES 2 4 3 2 2" xfId="51619" xr:uid="{00000000-0005-0000-0000-000064CA0000}"/>
    <cellStyle name="SHADEDSTORES 2 4 3 2 2 2" xfId="51620" xr:uid="{00000000-0005-0000-0000-000065CA0000}"/>
    <cellStyle name="SHADEDSTORES 2 4 3 2 3" xfId="51621" xr:uid="{00000000-0005-0000-0000-000066CA0000}"/>
    <cellStyle name="SHADEDSTORES 2 4 3 3" xfId="51622" xr:uid="{00000000-0005-0000-0000-000067CA0000}"/>
    <cellStyle name="SHADEDSTORES 2 4 3 3 2" xfId="51623" xr:uid="{00000000-0005-0000-0000-000068CA0000}"/>
    <cellStyle name="SHADEDSTORES 2 4 3 4" xfId="51624" xr:uid="{00000000-0005-0000-0000-000069CA0000}"/>
    <cellStyle name="SHADEDSTORES 2 4 4" xfId="51625" xr:uid="{00000000-0005-0000-0000-00006ACA0000}"/>
    <cellStyle name="SHADEDSTORES 2 4 4 2" xfId="51626" xr:uid="{00000000-0005-0000-0000-00006BCA0000}"/>
    <cellStyle name="SHADEDSTORES 2 4 4 2 2" xfId="51627" xr:uid="{00000000-0005-0000-0000-00006CCA0000}"/>
    <cellStyle name="SHADEDSTORES 2 4 4 3" xfId="51628" xr:uid="{00000000-0005-0000-0000-00006DCA0000}"/>
    <cellStyle name="SHADEDSTORES 2 4 4 3 2" xfId="51629" xr:uid="{00000000-0005-0000-0000-00006ECA0000}"/>
    <cellStyle name="SHADEDSTORES 2 4 4 4" xfId="51630" xr:uid="{00000000-0005-0000-0000-00006FCA0000}"/>
    <cellStyle name="SHADEDSTORES 2 4 5" xfId="51631" xr:uid="{00000000-0005-0000-0000-000070CA0000}"/>
    <cellStyle name="SHADEDSTORES 2 4 5 2" xfId="51632" xr:uid="{00000000-0005-0000-0000-000071CA0000}"/>
    <cellStyle name="SHADEDSTORES 2 4 6" xfId="51633" xr:uid="{00000000-0005-0000-0000-000072CA0000}"/>
    <cellStyle name="SHADEDSTORES 2 4 6 2" xfId="51634" xr:uid="{00000000-0005-0000-0000-000073CA0000}"/>
    <cellStyle name="SHADEDSTORES 2 4 7" xfId="51635" xr:uid="{00000000-0005-0000-0000-000074CA0000}"/>
    <cellStyle name="SHADEDSTORES 2 5" xfId="51636" xr:uid="{00000000-0005-0000-0000-000075CA0000}"/>
    <cellStyle name="SHADEDSTORES 2 5 2" xfId="51637" xr:uid="{00000000-0005-0000-0000-000076CA0000}"/>
    <cellStyle name="SHADEDSTORES 2 5 2 2" xfId="51638" xr:uid="{00000000-0005-0000-0000-000077CA0000}"/>
    <cellStyle name="SHADEDSTORES 2 5 3" xfId="51639" xr:uid="{00000000-0005-0000-0000-000078CA0000}"/>
    <cellStyle name="SHADEDSTORES 2 6" xfId="51640" xr:uid="{00000000-0005-0000-0000-000079CA0000}"/>
    <cellStyle name="SHADEDSTORES 2 6 2" xfId="51641" xr:uid="{00000000-0005-0000-0000-00007ACA0000}"/>
    <cellStyle name="SHADEDSTORES 2 6 2 2" xfId="51642" xr:uid="{00000000-0005-0000-0000-00007BCA0000}"/>
    <cellStyle name="SHADEDSTORES 2 6 3" xfId="51643" xr:uid="{00000000-0005-0000-0000-00007CCA0000}"/>
    <cellStyle name="SHADEDSTORES 2 7" xfId="51644" xr:uid="{00000000-0005-0000-0000-00007DCA0000}"/>
    <cellStyle name="SHADEDSTORES 2 7 2" xfId="51645" xr:uid="{00000000-0005-0000-0000-00007ECA0000}"/>
    <cellStyle name="SHADEDSTORES 2 7 2 2" xfId="51646" xr:uid="{00000000-0005-0000-0000-00007FCA0000}"/>
    <cellStyle name="SHADEDSTORES 2 7 2 2 2" xfId="51647" xr:uid="{00000000-0005-0000-0000-000080CA0000}"/>
    <cellStyle name="SHADEDSTORES 2 7 2 3" xfId="51648" xr:uid="{00000000-0005-0000-0000-000081CA0000}"/>
    <cellStyle name="SHADEDSTORES 2 7 3" xfId="51649" xr:uid="{00000000-0005-0000-0000-000082CA0000}"/>
    <cellStyle name="SHADEDSTORES 2 7 3 2" xfId="51650" xr:uid="{00000000-0005-0000-0000-000083CA0000}"/>
    <cellStyle name="SHADEDSTORES 2 7 4" xfId="51651" xr:uid="{00000000-0005-0000-0000-000084CA0000}"/>
    <cellStyle name="SHADEDSTORES 2 8" xfId="51652" xr:uid="{00000000-0005-0000-0000-000085CA0000}"/>
    <cellStyle name="SHADEDSTORES 3" xfId="51653" xr:uid="{00000000-0005-0000-0000-000086CA0000}"/>
    <cellStyle name="SHADEDSTORES 3 10" xfId="51654" xr:uid="{00000000-0005-0000-0000-000087CA0000}"/>
    <cellStyle name="SHADEDSTORES 3 11" xfId="51655" xr:uid="{00000000-0005-0000-0000-000088CA0000}"/>
    <cellStyle name="SHADEDSTORES 3 2" xfId="51656" xr:uid="{00000000-0005-0000-0000-000089CA0000}"/>
    <cellStyle name="SHADEDSTORES 3 2 2" xfId="51657" xr:uid="{00000000-0005-0000-0000-00008ACA0000}"/>
    <cellStyle name="SHADEDSTORES 3 2 2 2" xfId="51658" xr:uid="{00000000-0005-0000-0000-00008BCA0000}"/>
    <cellStyle name="SHADEDSTORES 3 2 2 2 2" xfId="51659" xr:uid="{00000000-0005-0000-0000-00008CCA0000}"/>
    <cellStyle name="SHADEDSTORES 3 2 2 2 2 2" xfId="51660" xr:uid="{00000000-0005-0000-0000-00008DCA0000}"/>
    <cellStyle name="SHADEDSTORES 3 2 2 2 2 2 2" xfId="51661" xr:uid="{00000000-0005-0000-0000-00008ECA0000}"/>
    <cellStyle name="SHADEDSTORES 3 2 2 2 2 3" xfId="51662" xr:uid="{00000000-0005-0000-0000-00008FCA0000}"/>
    <cellStyle name="SHADEDSTORES 3 2 2 2 3" xfId="51663" xr:uid="{00000000-0005-0000-0000-000090CA0000}"/>
    <cellStyle name="SHADEDSTORES 3 2 2 2 3 2" xfId="51664" xr:uid="{00000000-0005-0000-0000-000091CA0000}"/>
    <cellStyle name="SHADEDSTORES 3 2 2 2 4" xfId="51665" xr:uid="{00000000-0005-0000-0000-000092CA0000}"/>
    <cellStyle name="SHADEDSTORES 3 2 2 3" xfId="51666" xr:uid="{00000000-0005-0000-0000-000093CA0000}"/>
    <cellStyle name="SHADEDSTORES 3 2 2 3 2" xfId="51667" xr:uid="{00000000-0005-0000-0000-000094CA0000}"/>
    <cellStyle name="SHADEDSTORES 3 2 2 3 2 2" xfId="51668" xr:uid="{00000000-0005-0000-0000-000095CA0000}"/>
    <cellStyle name="SHADEDSTORES 3 2 2 3 3" xfId="51669" xr:uid="{00000000-0005-0000-0000-000096CA0000}"/>
    <cellStyle name="SHADEDSTORES 3 2 2 3 3 2" xfId="51670" xr:uid="{00000000-0005-0000-0000-000097CA0000}"/>
    <cellStyle name="SHADEDSTORES 3 2 2 3 4" xfId="51671" xr:uid="{00000000-0005-0000-0000-000098CA0000}"/>
    <cellStyle name="SHADEDSTORES 3 2 2 4" xfId="51672" xr:uid="{00000000-0005-0000-0000-000099CA0000}"/>
    <cellStyle name="SHADEDSTORES 3 2 2 4 2" xfId="51673" xr:uid="{00000000-0005-0000-0000-00009ACA0000}"/>
    <cellStyle name="SHADEDSTORES 3 2 2 5" xfId="51674" xr:uid="{00000000-0005-0000-0000-00009BCA0000}"/>
    <cellStyle name="SHADEDSTORES 3 2 2 5 2" xfId="51675" xr:uid="{00000000-0005-0000-0000-00009CCA0000}"/>
    <cellStyle name="SHADEDSTORES 3 2 2 6" xfId="51676" xr:uid="{00000000-0005-0000-0000-00009DCA0000}"/>
    <cellStyle name="SHADEDSTORES 3 2 3" xfId="51677" xr:uid="{00000000-0005-0000-0000-00009ECA0000}"/>
    <cellStyle name="SHADEDSTORES 3 2 3 2" xfId="51678" xr:uid="{00000000-0005-0000-0000-00009FCA0000}"/>
    <cellStyle name="SHADEDSTORES 3 2 3 2 2" xfId="51679" xr:uid="{00000000-0005-0000-0000-0000A0CA0000}"/>
    <cellStyle name="SHADEDSTORES 3 2 3 3" xfId="51680" xr:uid="{00000000-0005-0000-0000-0000A1CA0000}"/>
    <cellStyle name="SHADEDSTORES 3 2 4" xfId="51681" xr:uid="{00000000-0005-0000-0000-0000A2CA0000}"/>
    <cellStyle name="SHADEDSTORES 3 2 4 2" xfId="51682" xr:uid="{00000000-0005-0000-0000-0000A3CA0000}"/>
    <cellStyle name="SHADEDSTORES 3 2 4 2 2" xfId="51683" xr:uid="{00000000-0005-0000-0000-0000A4CA0000}"/>
    <cellStyle name="SHADEDSTORES 3 2 4 3" xfId="51684" xr:uid="{00000000-0005-0000-0000-0000A5CA0000}"/>
    <cellStyle name="SHADEDSTORES 3 2 5" xfId="51685" xr:uid="{00000000-0005-0000-0000-0000A6CA0000}"/>
    <cellStyle name="SHADEDSTORES 3 2 5 2" xfId="51686" xr:uid="{00000000-0005-0000-0000-0000A7CA0000}"/>
    <cellStyle name="SHADEDSTORES 3 2 5 2 2" xfId="51687" xr:uid="{00000000-0005-0000-0000-0000A8CA0000}"/>
    <cellStyle name="SHADEDSTORES 3 2 5 2 2 2" xfId="51688" xr:uid="{00000000-0005-0000-0000-0000A9CA0000}"/>
    <cellStyle name="SHADEDSTORES 3 2 5 2 3" xfId="51689" xr:uid="{00000000-0005-0000-0000-0000AACA0000}"/>
    <cellStyle name="SHADEDSTORES 3 2 5 3" xfId="51690" xr:uid="{00000000-0005-0000-0000-0000ABCA0000}"/>
    <cellStyle name="SHADEDSTORES 3 2 5 3 2" xfId="51691" xr:uid="{00000000-0005-0000-0000-0000ACCA0000}"/>
    <cellStyle name="SHADEDSTORES 3 2 5 4" xfId="51692" xr:uid="{00000000-0005-0000-0000-0000ADCA0000}"/>
    <cellStyle name="SHADEDSTORES 3 2 6" xfId="51693" xr:uid="{00000000-0005-0000-0000-0000AECA0000}"/>
    <cellStyle name="SHADEDSTORES 3 2 6 2" xfId="51694" xr:uid="{00000000-0005-0000-0000-0000AFCA0000}"/>
    <cellStyle name="SHADEDSTORES 3 2 6 2 2" xfId="51695" xr:uid="{00000000-0005-0000-0000-0000B0CA0000}"/>
    <cellStyle name="SHADEDSTORES 3 2 6 3" xfId="51696" xr:uid="{00000000-0005-0000-0000-0000B1CA0000}"/>
    <cellStyle name="SHADEDSTORES 3 2 6 3 2" xfId="51697" xr:uid="{00000000-0005-0000-0000-0000B2CA0000}"/>
    <cellStyle name="SHADEDSTORES 3 2 6 4" xfId="51698" xr:uid="{00000000-0005-0000-0000-0000B3CA0000}"/>
    <cellStyle name="SHADEDSTORES 3 2 7" xfId="51699" xr:uid="{00000000-0005-0000-0000-0000B4CA0000}"/>
    <cellStyle name="SHADEDSTORES 3 2 7 2" xfId="51700" xr:uid="{00000000-0005-0000-0000-0000B5CA0000}"/>
    <cellStyle name="SHADEDSTORES 3 2 8" xfId="51701" xr:uid="{00000000-0005-0000-0000-0000B6CA0000}"/>
    <cellStyle name="SHADEDSTORES 3 2 8 2" xfId="51702" xr:uid="{00000000-0005-0000-0000-0000B7CA0000}"/>
    <cellStyle name="SHADEDSTORES 3 2 9" xfId="51703" xr:uid="{00000000-0005-0000-0000-0000B8CA0000}"/>
    <cellStyle name="SHADEDSTORES 3 3" xfId="51704" xr:uid="{00000000-0005-0000-0000-0000B9CA0000}"/>
    <cellStyle name="SHADEDSTORES 3 3 2" xfId="51705" xr:uid="{00000000-0005-0000-0000-0000BACA0000}"/>
    <cellStyle name="SHADEDSTORES 3 3 2 2" xfId="51706" xr:uid="{00000000-0005-0000-0000-0000BBCA0000}"/>
    <cellStyle name="SHADEDSTORES 3 3 2 2 2" xfId="51707" xr:uid="{00000000-0005-0000-0000-0000BCCA0000}"/>
    <cellStyle name="SHADEDSTORES 3 3 2 2 2 2" xfId="51708" xr:uid="{00000000-0005-0000-0000-0000BDCA0000}"/>
    <cellStyle name="SHADEDSTORES 3 3 2 2 2 2 2" xfId="51709" xr:uid="{00000000-0005-0000-0000-0000BECA0000}"/>
    <cellStyle name="SHADEDSTORES 3 3 2 2 2 3" xfId="51710" xr:uid="{00000000-0005-0000-0000-0000BFCA0000}"/>
    <cellStyle name="SHADEDSTORES 3 3 2 2 3" xfId="51711" xr:uid="{00000000-0005-0000-0000-0000C0CA0000}"/>
    <cellStyle name="SHADEDSTORES 3 3 2 2 3 2" xfId="51712" xr:uid="{00000000-0005-0000-0000-0000C1CA0000}"/>
    <cellStyle name="SHADEDSTORES 3 3 2 2 4" xfId="51713" xr:uid="{00000000-0005-0000-0000-0000C2CA0000}"/>
    <cellStyle name="SHADEDSTORES 3 3 2 3" xfId="51714" xr:uid="{00000000-0005-0000-0000-0000C3CA0000}"/>
    <cellStyle name="SHADEDSTORES 3 3 2 3 2" xfId="51715" xr:uid="{00000000-0005-0000-0000-0000C4CA0000}"/>
    <cellStyle name="SHADEDSTORES 3 3 2 3 2 2" xfId="51716" xr:uid="{00000000-0005-0000-0000-0000C5CA0000}"/>
    <cellStyle name="SHADEDSTORES 3 3 2 3 3" xfId="51717" xr:uid="{00000000-0005-0000-0000-0000C6CA0000}"/>
    <cellStyle name="SHADEDSTORES 3 3 2 3 3 2" xfId="51718" xr:uid="{00000000-0005-0000-0000-0000C7CA0000}"/>
    <cellStyle name="SHADEDSTORES 3 3 2 3 4" xfId="51719" xr:uid="{00000000-0005-0000-0000-0000C8CA0000}"/>
    <cellStyle name="SHADEDSTORES 3 3 2 4" xfId="51720" xr:uid="{00000000-0005-0000-0000-0000C9CA0000}"/>
    <cellStyle name="SHADEDSTORES 3 3 2 4 2" xfId="51721" xr:uid="{00000000-0005-0000-0000-0000CACA0000}"/>
    <cellStyle name="SHADEDSTORES 3 3 2 5" xfId="51722" xr:uid="{00000000-0005-0000-0000-0000CBCA0000}"/>
    <cellStyle name="SHADEDSTORES 3 3 2 5 2" xfId="51723" xr:uid="{00000000-0005-0000-0000-0000CCCA0000}"/>
    <cellStyle name="SHADEDSTORES 3 3 2 6" xfId="51724" xr:uid="{00000000-0005-0000-0000-0000CDCA0000}"/>
    <cellStyle name="SHADEDSTORES 3 3 3" xfId="51725" xr:uid="{00000000-0005-0000-0000-0000CECA0000}"/>
    <cellStyle name="SHADEDSTORES 3 3 3 2" xfId="51726" xr:uid="{00000000-0005-0000-0000-0000CFCA0000}"/>
    <cellStyle name="SHADEDSTORES 3 3 3 2 2" xfId="51727" xr:uid="{00000000-0005-0000-0000-0000D0CA0000}"/>
    <cellStyle name="SHADEDSTORES 3 3 3 2 2 2" xfId="51728" xr:uid="{00000000-0005-0000-0000-0000D1CA0000}"/>
    <cellStyle name="SHADEDSTORES 3 3 3 2 3" xfId="51729" xr:uid="{00000000-0005-0000-0000-0000D2CA0000}"/>
    <cellStyle name="SHADEDSTORES 3 3 3 3" xfId="51730" xr:uid="{00000000-0005-0000-0000-0000D3CA0000}"/>
    <cellStyle name="SHADEDSTORES 3 3 3 3 2" xfId="51731" xr:uid="{00000000-0005-0000-0000-0000D4CA0000}"/>
    <cellStyle name="SHADEDSTORES 3 3 3 4" xfId="51732" xr:uid="{00000000-0005-0000-0000-0000D5CA0000}"/>
    <cellStyle name="SHADEDSTORES 3 3 4" xfId="51733" xr:uid="{00000000-0005-0000-0000-0000D6CA0000}"/>
    <cellStyle name="SHADEDSTORES 3 3 4 2" xfId="51734" xr:uid="{00000000-0005-0000-0000-0000D7CA0000}"/>
    <cellStyle name="SHADEDSTORES 3 3 4 2 2" xfId="51735" xr:uid="{00000000-0005-0000-0000-0000D8CA0000}"/>
    <cellStyle name="SHADEDSTORES 3 3 4 3" xfId="51736" xr:uid="{00000000-0005-0000-0000-0000D9CA0000}"/>
    <cellStyle name="SHADEDSTORES 3 3 4 3 2" xfId="51737" xr:uid="{00000000-0005-0000-0000-0000DACA0000}"/>
    <cellStyle name="SHADEDSTORES 3 3 4 4" xfId="51738" xr:uid="{00000000-0005-0000-0000-0000DBCA0000}"/>
    <cellStyle name="SHADEDSTORES 3 3 5" xfId="51739" xr:uid="{00000000-0005-0000-0000-0000DCCA0000}"/>
    <cellStyle name="SHADEDSTORES 3 3 5 2" xfId="51740" xr:uid="{00000000-0005-0000-0000-0000DDCA0000}"/>
    <cellStyle name="SHADEDSTORES 3 3 6" xfId="51741" xr:uid="{00000000-0005-0000-0000-0000DECA0000}"/>
    <cellStyle name="SHADEDSTORES 3 3 6 2" xfId="51742" xr:uid="{00000000-0005-0000-0000-0000DFCA0000}"/>
    <cellStyle name="SHADEDSTORES 3 3 7" xfId="51743" xr:uid="{00000000-0005-0000-0000-0000E0CA0000}"/>
    <cellStyle name="SHADEDSTORES 3 4" xfId="51744" xr:uid="{00000000-0005-0000-0000-0000E1CA0000}"/>
    <cellStyle name="SHADEDSTORES 3 4 2" xfId="51745" xr:uid="{00000000-0005-0000-0000-0000E2CA0000}"/>
    <cellStyle name="SHADEDSTORES 3 4 2 2" xfId="51746" xr:uid="{00000000-0005-0000-0000-0000E3CA0000}"/>
    <cellStyle name="SHADEDSTORES 3 4 3" xfId="51747" xr:uid="{00000000-0005-0000-0000-0000E4CA0000}"/>
    <cellStyle name="SHADEDSTORES 3 5" xfId="51748" xr:uid="{00000000-0005-0000-0000-0000E5CA0000}"/>
    <cellStyle name="SHADEDSTORES 3 5 2" xfId="51749" xr:uid="{00000000-0005-0000-0000-0000E6CA0000}"/>
    <cellStyle name="SHADEDSTORES 3 5 2 2" xfId="51750" xr:uid="{00000000-0005-0000-0000-0000E7CA0000}"/>
    <cellStyle name="SHADEDSTORES 3 5 3" xfId="51751" xr:uid="{00000000-0005-0000-0000-0000E8CA0000}"/>
    <cellStyle name="SHADEDSTORES 3 6" xfId="51752" xr:uid="{00000000-0005-0000-0000-0000E9CA0000}"/>
    <cellStyle name="SHADEDSTORES 3 6 2" xfId="51753" xr:uid="{00000000-0005-0000-0000-0000EACA0000}"/>
    <cellStyle name="SHADEDSTORES 3 6 2 2" xfId="51754" xr:uid="{00000000-0005-0000-0000-0000EBCA0000}"/>
    <cellStyle name="SHADEDSTORES 3 6 2 2 2" xfId="51755" xr:uid="{00000000-0005-0000-0000-0000ECCA0000}"/>
    <cellStyle name="SHADEDSTORES 3 6 2 3" xfId="51756" xr:uid="{00000000-0005-0000-0000-0000EDCA0000}"/>
    <cellStyle name="SHADEDSTORES 3 6 3" xfId="51757" xr:uid="{00000000-0005-0000-0000-0000EECA0000}"/>
    <cellStyle name="SHADEDSTORES 3 6 3 2" xfId="51758" xr:uid="{00000000-0005-0000-0000-0000EFCA0000}"/>
    <cellStyle name="SHADEDSTORES 3 6 4" xfId="51759" xr:uid="{00000000-0005-0000-0000-0000F0CA0000}"/>
    <cellStyle name="SHADEDSTORES 3 7" xfId="51760" xr:uid="{00000000-0005-0000-0000-0000F1CA0000}"/>
    <cellStyle name="SHADEDSTORES 3 7 2" xfId="51761" xr:uid="{00000000-0005-0000-0000-0000F2CA0000}"/>
    <cellStyle name="SHADEDSTORES 3 7 2 2" xfId="51762" xr:uid="{00000000-0005-0000-0000-0000F3CA0000}"/>
    <cellStyle name="SHADEDSTORES 3 7 3" xfId="51763" xr:uid="{00000000-0005-0000-0000-0000F4CA0000}"/>
    <cellStyle name="SHADEDSTORES 3 7 3 2" xfId="51764" xr:uid="{00000000-0005-0000-0000-0000F5CA0000}"/>
    <cellStyle name="SHADEDSTORES 3 7 4" xfId="51765" xr:uid="{00000000-0005-0000-0000-0000F6CA0000}"/>
    <cellStyle name="SHADEDSTORES 3 8" xfId="51766" xr:uid="{00000000-0005-0000-0000-0000F7CA0000}"/>
    <cellStyle name="SHADEDSTORES 3 8 2" xfId="51767" xr:uid="{00000000-0005-0000-0000-0000F8CA0000}"/>
    <cellStyle name="SHADEDSTORES 3 9" xfId="51768" xr:uid="{00000000-0005-0000-0000-0000F9CA0000}"/>
    <cellStyle name="SHADEDSTORES 3 9 2" xfId="51769" xr:uid="{00000000-0005-0000-0000-0000FACA0000}"/>
    <cellStyle name="SHADEDSTORES 4" xfId="51770" xr:uid="{00000000-0005-0000-0000-0000FBCA0000}"/>
    <cellStyle name="SHADEDSTORES 4 10" xfId="51771" xr:uid="{00000000-0005-0000-0000-0000FCCA0000}"/>
    <cellStyle name="SHADEDSTORES 4 11" xfId="51772" xr:uid="{00000000-0005-0000-0000-0000FDCA0000}"/>
    <cellStyle name="SHADEDSTORES 4 2" xfId="51773" xr:uid="{00000000-0005-0000-0000-0000FECA0000}"/>
    <cellStyle name="SHADEDSTORES 4 2 2" xfId="51774" xr:uid="{00000000-0005-0000-0000-0000FFCA0000}"/>
    <cellStyle name="SHADEDSTORES 4 2 2 2" xfId="51775" xr:uid="{00000000-0005-0000-0000-000000CB0000}"/>
    <cellStyle name="SHADEDSTORES 4 2 2 2 2" xfId="51776" xr:uid="{00000000-0005-0000-0000-000001CB0000}"/>
    <cellStyle name="SHADEDSTORES 4 2 2 2 2 2" xfId="51777" xr:uid="{00000000-0005-0000-0000-000002CB0000}"/>
    <cellStyle name="SHADEDSTORES 4 2 2 2 2 2 2" xfId="51778" xr:uid="{00000000-0005-0000-0000-000003CB0000}"/>
    <cellStyle name="SHADEDSTORES 4 2 2 2 2 3" xfId="51779" xr:uid="{00000000-0005-0000-0000-000004CB0000}"/>
    <cellStyle name="SHADEDSTORES 4 2 2 2 3" xfId="51780" xr:uid="{00000000-0005-0000-0000-000005CB0000}"/>
    <cellStyle name="SHADEDSTORES 4 2 2 2 3 2" xfId="51781" xr:uid="{00000000-0005-0000-0000-000006CB0000}"/>
    <cellStyle name="SHADEDSTORES 4 2 2 2 4" xfId="51782" xr:uid="{00000000-0005-0000-0000-000007CB0000}"/>
    <cellStyle name="SHADEDSTORES 4 2 2 3" xfId="51783" xr:uid="{00000000-0005-0000-0000-000008CB0000}"/>
    <cellStyle name="SHADEDSTORES 4 2 2 3 2" xfId="51784" xr:uid="{00000000-0005-0000-0000-000009CB0000}"/>
    <cellStyle name="SHADEDSTORES 4 2 2 3 2 2" xfId="51785" xr:uid="{00000000-0005-0000-0000-00000ACB0000}"/>
    <cellStyle name="SHADEDSTORES 4 2 2 3 3" xfId="51786" xr:uid="{00000000-0005-0000-0000-00000BCB0000}"/>
    <cellStyle name="SHADEDSTORES 4 2 2 3 3 2" xfId="51787" xr:uid="{00000000-0005-0000-0000-00000CCB0000}"/>
    <cellStyle name="SHADEDSTORES 4 2 2 3 4" xfId="51788" xr:uid="{00000000-0005-0000-0000-00000DCB0000}"/>
    <cellStyle name="SHADEDSTORES 4 2 2 4" xfId="51789" xr:uid="{00000000-0005-0000-0000-00000ECB0000}"/>
    <cellStyle name="SHADEDSTORES 4 2 2 4 2" xfId="51790" xr:uid="{00000000-0005-0000-0000-00000FCB0000}"/>
    <cellStyle name="SHADEDSTORES 4 2 2 5" xfId="51791" xr:uid="{00000000-0005-0000-0000-000010CB0000}"/>
    <cellStyle name="SHADEDSTORES 4 2 2 5 2" xfId="51792" xr:uid="{00000000-0005-0000-0000-000011CB0000}"/>
    <cellStyle name="SHADEDSTORES 4 2 2 6" xfId="51793" xr:uid="{00000000-0005-0000-0000-000012CB0000}"/>
    <cellStyle name="SHADEDSTORES 4 2 3" xfId="51794" xr:uid="{00000000-0005-0000-0000-000013CB0000}"/>
    <cellStyle name="SHADEDSTORES 4 2 3 2" xfId="51795" xr:uid="{00000000-0005-0000-0000-000014CB0000}"/>
    <cellStyle name="SHADEDSTORES 4 2 3 2 2" xfId="51796" xr:uid="{00000000-0005-0000-0000-000015CB0000}"/>
    <cellStyle name="SHADEDSTORES 4 2 3 3" xfId="51797" xr:uid="{00000000-0005-0000-0000-000016CB0000}"/>
    <cellStyle name="SHADEDSTORES 4 2 4" xfId="51798" xr:uid="{00000000-0005-0000-0000-000017CB0000}"/>
    <cellStyle name="SHADEDSTORES 4 2 4 2" xfId="51799" xr:uid="{00000000-0005-0000-0000-000018CB0000}"/>
    <cellStyle name="SHADEDSTORES 4 2 4 2 2" xfId="51800" xr:uid="{00000000-0005-0000-0000-000019CB0000}"/>
    <cellStyle name="SHADEDSTORES 4 2 4 3" xfId="51801" xr:uid="{00000000-0005-0000-0000-00001ACB0000}"/>
    <cellStyle name="SHADEDSTORES 4 2 5" xfId="51802" xr:uid="{00000000-0005-0000-0000-00001BCB0000}"/>
    <cellStyle name="SHADEDSTORES 4 2 5 2" xfId="51803" xr:uid="{00000000-0005-0000-0000-00001CCB0000}"/>
    <cellStyle name="SHADEDSTORES 4 2 5 2 2" xfId="51804" xr:uid="{00000000-0005-0000-0000-00001DCB0000}"/>
    <cellStyle name="SHADEDSTORES 4 2 5 2 2 2" xfId="51805" xr:uid="{00000000-0005-0000-0000-00001ECB0000}"/>
    <cellStyle name="SHADEDSTORES 4 2 5 2 3" xfId="51806" xr:uid="{00000000-0005-0000-0000-00001FCB0000}"/>
    <cellStyle name="SHADEDSTORES 4 2 5 3" xfId="51807" xr:uid="{00000000-0005-0000-0000-000020CB0000}"/>
    <cellStyle name="SHADEDSTORES 4 2 5 3 2" xfId="51808" xr:uid="{00000000-0005-0000-0000-000021CB0000}"/>
    <cellStyle name="SHADEDSTORES 4 2 5 4" xfId="51809" xr:uid="{00000000-0005-0000-0000-000022CB0000}"/>
    <cellStyle name="SHADEDSTORES 4 2 6" xfId="51810" xr:uid="{00000000-0005-0000-0000-000023CB0000}"/>
    <cellStyle name="SHADEDSTORES 4 2 6 2" xfId="51811" xr:uid="{00000000-0005-0000-0000-000024CB0000}"/>
    <cellStyle name="SHADEDSTORES 4 2 6 2 2" xfId="51812" xr:uid="{00000000-0005-0000-0000-000025CB0000}"/>
    <cellStyle name="SHADEDSTORES 4 2 6 3" xfId="51813" xr:uid="{00000000-0005-0000-0000-000026CB0000}"/>
    <cellStyle name="SHADEDSTORES 4 2 6 3 2" xfId="51814" xr:uid="{00000000-0005-0000-0000-000027CB0000}"/>
    <cellStyle name="SHADEDSTORES 4 2 6 4" xfId="51815" xr:uid="{00000000-0005-0000-0000-000028CB0000}"/>
    <cellStyle name="SHADEDSTORES 4 2 7" xfId="51816" xr:uid="{00000000-0005-0000-0000-000029CB0000}"/>
    <cellStyle name="SHADEDSTORES 4 2 7 2" xfId="51817" xr:uid="{00000000-0005-0000-0000-00002ACB0000}"/>
    <cellStyle name="SHADEDSTORES 4 2 8" xfId="51818" xr:uid="{00000000-0005-0000-0000-00002BCB0000}"/>
    <cellStyle name="SHADEDSTORES 4 2 8 2" xfId="51819" xr:uid="{00000000-0005-0000-0000-00002CCB0000}"/>
    <cellStyle name="SHADEDSTORES 4 2 9" xfId="51820" xr:uid="{00000000-0005-0000-0000-00002DCB0000}"/>
    <cellStyle name="SHADEDSTORES 4 3" xfId="51821" xr:uid="{00000000-0005-0000-0000-00002ECB0000}"/>
    <cellStyle name="SHADEDSTORES 4 3 2" xfId="51822" xr:uid="{00000000-0005-0000-0000-00002FCB0000}"/>
    <cellStyle name="SHADEDSTORES 4 3 2 2" xfId="51823" xr:uid="{00000000-0005-0000-0000-000030CB0000}"/>
    <cellStyle name="SHADEDSTORES 4 3 2 2 2" xfId="51824" xr:uid="{00000000-0005-0000-0000-000031CB0000}"/>
    <cellStyle name="SHADEDSTORES 4 3 2 2 2 2" xfId="51825" xr:uid="{00000000-0005-0000-0000-000032CB0000}"/>
    <cellStyle name="SHADEDSTORES 4 3 2 2 2 2 2" xfId="51826" xr:uid="{00000000-0005-0000-0000-000033CB0000}"/>
    <cellStyle name="SHADEDSTORES 4 3 2 2 2 3" xfId="51827" xr:uid="{00000000-0005-0000-0000-000034CB0000}"/>
    <cellStyle name="SHADEDSTORES 4 3 2 2 3" xfId="51828" xr:uid="{00000000-0005-0000-0000-000035CB0000}"/>
    <cellStyle name="SHADEDSTORES 4 3 2 2 3 2" xfId="51829" xr:uid="{00000000-0005-0000-0000-000036CB0000}"/>
    <cellStyle name="SHADEDSTORES 4 3 2 2 4" xfId="51830" xr:uid="{00000000-0005-0000-0000-000037CB0000}"/>
    <cellStyle name="SHADEDSTORES 4 3 2 3" xfId="51831" xr:uid="{00000000-0005-0000-0000-000038CB0000}"/>
    <cellStyle name="SHADEDSTORES 4 3 2 3 2" xfId="51832" xr:uid="{00000000-0005-0000-0000-000039CB0000}"/>
    <cellStyle name="SHADEDSTORES 4 3 2 3 2 2" xfId="51833" xr:uid="{00000000-0005-0000-0000-00003ACB0000}"/>
    <cellStyle name="SHADEDSTORES 4 3 2 3 3" xfId="51834" xr:uid="{00000000-0005-0000-0000-00003BCB0000}"/>
    <cellStyle name="SHADEDSTORES 4 3 2 3 3 2" xfId="51835" xr:uid="{00000000-0005-0000-0000-00003CCB0000}"/>
    <cellStyle name="SHADEDSTORES 4 3 2 3 4" xfId="51836" xr:uid="{00000000-0005-0000-0000-00003DCB0000}"/>
    <cellStyle name="SHADEDSTORES 4 3 2 4" xfId="51837" xr:uid="{00000000-0005-0000-0000-00003ECB0000}"/>
    <cellStyle name="SHADEDSTORES 4 3 2 4 2" xfId="51838" xr:uid="{00000000-0005-0000-0000-00003FCB0000}"/>
    <cellStyle name="SHADEDSTORES 4 3 2 5" xfId="51839" xr:uid="{00000000-0005-0000-0000-000040CB0000}"/>
    <cellStyle name="SHADEDSTORES 4 3 2 5 2" xfId="51840" xr:uid="{00000000-0005-0000-0000-000041CB0000}"/>
    <cellStyle name="SHADEDSTORES 4 3 2 6" xfId="51841" xr:uid="{00000000-0005-0000-0000-000042CB0000}"/>
    <cellStyle name="SHADEDSTORES 4 3 3" xfId="51842" xr:uid="{00000000-0005-0000-0000-000043CB0000}"/>
    <cellStyle name="SHADEDSTORES 4 3 3 2" xfId="51843" xr:uid="{00000000-0005-0000-0000-000044CB0000}"/>
    <cellStyle name="SHADEDSTORES 4 3 3 2 2" xfId="51844" xr:uid="{00000000-0005-0000-0000-000045CB0000}"/>
    <cellStyle name="SHADEDSTORES 4 3 3 2 2 2" xfId="51845" xr:uid="{00000000-0005-0000-0000-000046CB0000}"/>
    <cellStyle name="SHADEDSTORES 4 3 3 2 3" xfId="51846" xr:uid="{00000000-0005-0000-0000-000047CB0000}"/>
    <cellStyle name="SHADEDSTORES 4 3 3 3" xfId="51847" xr:uid="{00000000-0005-0000-0000-000048CB0000}"/>
    <cellStyle name="SHADEDSTORES 4 3 3 3 2" xfId="51848" xr:uid="{00000000-0005-0000-0000-000049CB0000}"/>
    <cellStyle name="SHADEDSTORES 4 3 3 4" xfId="51849" xr:uid="{00000000-0005-0000-0000-00004ACB0000}"/>
    <cellStyle name="SHADEDSTORES 4 3 4" xfId="51850" xr:uid="{00000000-0005-0000-0000-00004BCB0000}"/>
    <cellStyle name="SHADEDSTORES 4 3 4 2" xfId="51851" xr:uid="{00000000-0005-0000-0000-00004CCB0000}"/>
    <cellStyle name="SHADEDSTORES 4 3 4 2 2" xfId="51852" xr:uid="{00000000-0005-0000-0000-00004DCB0000}"/>
    <cellStyle name="SHADEDSTORES 4 3 4 3" xfId="51853" xr:uid="{00000000-0005-0000-0000-00004ECB0000}"/>
    <cellStyle name="SHADEDSTORES 4 3 4 3 2" xfId="51854" xr:uid="{00000000-0005-0000-0000-00004FCB0000}"/>
    <cellStyle name="SHADEDSTORES 4 3 4 4" xfId="51855" xr:uid="{00000000-0005-0000-0000-000050CB0000}"/>
    <cellStyle name="SHADEDSTORES 4 3 5" xfId="51856" xr:uid="{00000000-0005-0000-0000-000051CB0000}"/>
    <cellStyle name="SHADEDSTORES 4 3 5 2" xfId="51857" xr:uid="{00000000-0005-0000-0000-000052CB0000}"/>
    <cellStyle name="SHADEDSTORES 4 3 6" xfId="51858" xr:uid="{00000000-0005-0000-0000-000053CB0000}"/>
    <cellStyle name="SHADEDSTORES 4 3 6 2" xfId="51859" xr:uid="{00000000-0005-0000-0000-000054CB0000}"/>
    <cellStyle name="SHADEDSTORES 4 3 7" xfId="51860" xr:uid="{00000000-0005-0000-0000-000055CB0000}"/>
    <cellStyle name="SHADEDSTORES 4 4" xfId="51861" xr:uid="{00000000-0005-0000-0000-000056CB0000}"/>
    <cellStyle name="SHADEDSTORES 4 4 2" xfId="51862" xr:uid="{00000000-0005-0000-0000-000057CB0000}"/>
    <cellStyle name="SHADEDSTORES 4 4 2 2" xfId="51863" xr:uid="{00000000-0005-0000-0000-000058CB0000}"/>
    <cellStyle name="SHADEDSTORES 4 4 3" xfId="51864" xr:uid="{00000000-0005-0000-0000-000059CB0000}"/>
    <cellStyle name="SHADEDSTORES 4 5" xfId="51865" xr:uid="{00000000-0005-0000-0000-00005ACB0000}"/>
    <cellStyle name="SHADEDSTORES 4 5 2" xfId="51866" xr:uid="{00000000-0005-0000-0000-00005BCB0000}"/>
    <cellStyle name="SHADEDSTORES 4 5 2 2" xfId="51867" xr:uid="{00000000-0005-0000-0000-00005CCB0000}"/>
    <cellStyle name="SHADEDSTORES 4 5 3" xfId="51868" xr:uid="{00000000-0005-0000-0000-00005DCB0000}"/>
    <cellStyle name="SHADEDSTORES 4 6" xfId="51869" xr:uid="{00000000-0005-0000-0000-00005ECB0000}"/>
    <cellStyle name="SHADEDSTORES 4 6 2" xfId="51870" xr:uid="{00000000-0005-0000-0000-00005FCB0000}"/>
    <cellStyle name="SHADEDSTORES 4 6 2 2" xfId="51871" xr:uid="{00000000-0005-0000-0000-000060CB0000}"/>
    <cellStyle name="SHADEDSTORES 4 6 2 2 2" xfId="51872" xr:uid="{00000000-0005-0000-0000-000061CB0000}"/>
    <cellStyle name="SHADEDSTORES 4 6 2 3" xfId="51873" xr:uid="{00000000-0005-0000-0000-000062CB0000}"/>
    <cellStyle name="SHADEDSTORES 4 6 3" xfId="51874" xr:uid="{00000000-0005-0000-0000-000063CB0000}"/>
    <cellStyle name="SHADEDSTORES 4 6 3 2" xfId="51875" xr:uid="{00000000-0005-0000-0000-000064CB0000}"/>
    <cellStyle name="SHADEDSTORES 4 6 4" xfId="51876" xr:uid="{00000000-0005-0000-0000-000065CB0000}"/>
    <cellStyle name="SHADEDSTORES 4 7" xfId="51877" xr:uid="{00000000-0005-0000-0000-000066CB0000}"/>
    <cellStyle name="SHADEDSTORES 4 7 2" xfId="51878" xr:uid="{00000000-0005-0000-0000-000067CB0000}"/>
    <cellStyle name="SHADEDSTORES 4 7 2 2" xfId="51879" xr:uid="{00000000-0005-0000-0000-000068CB0000}"/>
    <cellStyle name="SHADEDSTORES 4 7 3" xfId="51880" xr:uid="{00000000-0005-0000-0000-000069CB0000}"/>
    <cellStyle name="SHADEDSTORES 4 7 3 2" xfId="51881" xr:uid="{00000000-0005-0000-0000-00006ACB0000}"/>
    <cellStyle name="SHADEDSTORES 4 7 4" xfId="51882" xr:uid="{00000000-0005-0000-0000-00006BCB0000}"/>
    <cellStyle name="SHADEDSTORES 4 8" xfId="51883" xr:uid="{00000000-0005-0000-0000-00006CCB0000}"/>
    <cellStyle name="SHADEDSTORES 4 8 2" xfId="51884" xr:uid="{00000000-0005-0000-0000-00006DCB0000}"/>
    <cellStyle name="SHADEDSTORES 4 9" xfId="51885" xr:uid="{00000000-0005-0000-0000-00006ECB0000}"/>
    <cellStyle name="SHADEDSTORES 4 9 2" xfId="51886" xr:uid="{00000000-0005-0000-0000-00006FCB0000}"/>
    <cellStyle name="SHADEDSTORES 5" xfId="51887" xr:uid="{00000000-0005-0000-0000-000070CB0000}"/>
    <cellStyle name="SHADEDSTORES 5 2" xfId="51888" xr:uid="{00000000-0005-0000-0000-000071CB0000}"/>
    <cellStyle name="SHADEDSTORES 5 2 2" xfId="51889" xr:uid="{00000000-0005-0000-0000-000072CB0000}"/>
    <cellStyle name="SHADEDSTORES 5 2 2 2" xfId="51890" xr:uid="{00000000-0005-0000-0000-000073CB0000}"/>
    <cellStyle name="SHADEDSTORES 5 2 2 2 2" xfId="51891" xr:uid="{00000000-0005-0000-0000-000074CB0000}"/>
    <cellStyle name="SHADEDSTORES 5 2 2 2 2 2" xfId="51892" xr:uid="{00000000-0005-0000-0000-000075CB0000}"/>
    <cellStyle name="SHADEDSTORES 5 2 2 2 3" xfId="51893" xr:uid="{00000000-0005-0000-0000-000076CB0000}"/>
    <cellStyle name="SHADEDSTORES 5 2 2 3" xfId="51894" xr:uid="{00000000-0005-0000-0000-000077CB0000}"/>
    <cellStyle name="SHADEDSTORES 5 2 2 3 2" xfId="51895" xr:uid="{00000000-0005-0000-0000-000078CB0000}"/>
    <cellStyle name="SHADEDSTORES 5 2 2 4" xfId="51896" xr:uid="{00000000-0005-0000-0000-000079CB0000}"/>
    <cellStyle name="SHADEDSTORES 5 2 3" xfId="51897" xr:uid="{00000000-0005-0000-0000-00007ACB0000}"/>
    <cellStyle name="SHADEDSTORES 5 2 3 2" xfId="51898" xr:uid="{00000000-0005-0000-0000-00007BCB0000}"/>
    <cellStyle name="SHADEDSTORES 5 2 3 2 2" xfId="51899" xr:uid="{00000000-0005-0000-0000-00007CCB0000}"/>
    <cellStyle name="SHADEDSTORES 5 2 3 3" xfId="51900" xr:uid="{00000000-0005-0000-0000-00007DCB0000}"/>
    <cellStyle name="SHADEDSTORES 5 2 3 3 2" xfId="51901" xr:uid="{00000000-0005-0000-0000-00007ECB0000}"/>
    <cellStyle name="SHADEDSTORES 5 2 3 4" xfId="51902" xr:uid="{00000000-0005-0000-0000-00007FCB0000}"/>
    <cellStyle name="SHADEDSTORES 5 2 4" xfId="51903" xr:uid="{00000000-0005-0000-0000-000080CB0000}"/>
    <cellStyle name="SHADEDSTORES 5 2 4 2" xfId="51904" xr:uid="{00000000-0005-0000-0000-000081CB0000}"/>
    <cellStyle name="SHADEDSTORES 5 2 5" xfId="51905" xr:uid="{00000000-0005-0000-0000-000082CB0000}"/>
    <cellStyle name="SHADEDSTORES 5 2 5 2" xfId="51906" xr:uid="{00000000-0005-0000-0000-000083CB0000}"/>
    <cellStyle name="SHADEDSTORES 5 2 6" xfId="51907" xr:uid="{00000000-0005-0000-0000-000084CB0000}"/>
    <cellStyle name="SHADEDSTORES 5 3" xfId="51908" xr:uid="{00000000-0005-0000-0000-000085CB0000}"/>
    <cellStyle name="SHADEDSTORES 5 3 2" xfId="51909" xr:uid="{00000000-0005-0000-0000-000086CB0000}"/>
    <cellStyle name="SHADEDSTORES 5 3 2 2" xfId="51910" xr:uid="{00000000-0005-0000-0000-000087CB0000}"/>
    <cellStyle name="SHADEDSTORES 5 3 3" xfId="51911" xr:uid="{00000000-0005-0000-0000-000088CB0000}"/>
    <cellStyle name="SHADEDSTORES 5 4" xfId="51912" xr:uid="{00000000-0005-0000-0000-000089CB0000}"/>
    <cellStyle name="SHADEDSTORES 5 4 2" xfId="51913" xr:uid="{00000000-0005-0000-0000-00008ACB0000}"/>
    <cellStyle name="SHADEDSTORES 5 4 2 2" xfId="51914" xr:uid="{00000000-0005-0000-0000-00008BCB0000}"/>
    <cellStyle name="SHADEDSTORES 5 4 3" xfId="51915" xr:uid="{00000000-0005-0000-0000-00008CCB0000}"/>
    <cellStyle name="SHADEDSTORES 5 5" xfId="51916" xr:uid="{00000000-0005-0000-0000-00008DCB0000}"/>
    <cellStyle name="SHADEDSTORES 5 5 2" xfId="51917" xr:uid="{00000000-0005-0000-0000-00008ECB0000}"/>
    <cellStyle name="SHADEDSTORES 5 5 2 2" xfId="51918" xr:uid="{00000000-0005-0000-0000-00008FCB0000}"/>
    <cellStyle name="SHADEDSTORES 5 5 2 2 2" xfId="51919" xr:uid="{00000000-0005-0000-0000-000090CB0000}"/>
    <cellStyle name="SHADEDSTORES 5 5 2 3" xfId="51920" xr:uid="{00000000-0005-0000-0000-000091CB0000}"/>
    <cellStyle name="SHADEDSTORES 5 5 3" xfId="51921" xr:uid="{00000000-0005-0000-0000-000092CB0000}"/>
    <cellStyle name="SHADEDSTORES 5 5 3 2" xfId="51922" xr:uid="{00000000-0005-0000-0000-000093CB0000}"/>
    <cellStyle name="SHADEDSTORES 5 5 4" xfId="51923" xr:uid="{00000000-0005-0000-0000-000094CB0000}"/>
    <cellStyle name="SHADEDSTORES 5 6" xfId="51924" xr:uid="{00000000-0005-0000-0000-000095CB0000}"/>
    <cellStyle name="SHADEDSTORES 5 6 2" xfId="51925" xr:uid="{00000000-0005-0000-0000-000096CB0000}"/>
    <cellStyle name="SHADEDSTORES 5 6 2 2" xfId="51926" xr:uid="{00000000-0005-0000-0000-000097CB0000}"/>
    <cellStyle name="SHADEDSTORES 5 6 3" xfId="51927" xr:uid="{00000000-0005-0000-0000-000098CB0000}"/>
    <cellStyle name="SHADEDSTORES 5 6 3 2" xfId="51928" xr:uid="{00000000-0005-0000-0000-000099CB0000}"/>
    <cellStyle name="SHADEDSTORES 5 6 4" xfId="51929" xr:uid="{00000000-0005-0000-0000-00009ACB0000}"/>
    <cellStyle name="SHADEDSTORES 5 7" xfId="51930" xr:uid="{00000000-0005-0000-0000-00009BCB0000}"/>
    <cellStyle name="SHADEDSTORES 5 7 2" xfId="51931" xr:uid="{00000000-0005-0000-0000-00009CCB0000}"/>
    <cellStyle name="SHADEDSTORES 5 8" xfId="51932" xr:uid="{00000000-0005-0000-0000-00009DCB0000}"/>
    <cellStyle name="SHADEDSTORES 5 8 2" xfId="51933" xr:uid="{00000000-0005-0000-0000-00009ECB0000}"/>
    <cellStyle name="SHADEDSTORES 5 9" xfId="51934" xr:uid="{00000000-0005-0000-0000-00009FCB0000}"/>
    <cellStyle name="SHADEDSTORES 6" xfId="51935" xr:uid="{00000000-0005-0000-0000-0000A0CB0000}"/>
    <cellStyle name="SHADEDSTORES 6 2" xfId="51936" xr:uid="{00000000-0005-0000-0000-0000A1CB0000}"/>
    <cellStyle name="SHADEDSTORES 6 2 2" xfId="51937" xr:uid="{00000000-0005-0000-0000-0000A2CB0000}"/>
    <cellStyle name="SHADEDSTORES 6 2 2 2" xfId="51938" xr:uid="{00000000-0005-0000-0000-0000A3CB0000}"/>
    <cellStyle name="SHADEDSTORES 6 2 2 2 2" xfId="51939" xr:uid="{00000000-0005-0000-0000-0000A4CB0000}"/>
    <cellStyle name="SHADEDSTORES 6 2 2 2 2 2" xfId="51940" xr:uid="{00000000-0005-0000-0000-0000A5CB0000}"/>
    <cellStyle name="SHADEDSTORES 6 2 2 2 3" xfId="51941" xr:uid="{00000000-0005-0000-0000-0000A6CB0000}"/>
    <cellStyle name="SHADEDSTORES 6 2 2 3" xfId="51942" xr:uid="{00000000-0005-0000-0000-0000A7CB0000}"/>
    <cellStyle name="SHADEDSTORES 6 2 2 3 2" xfId="51943" xr:uid="{00000000-0005-0000-0000-0000A8CB0000}"/>
    <cellStyle name="SHADEDSTORES 6 2 2 4" xfId="51944" xr:uid="{00000000-0005-0000-0000-0000A9CB0000}"/>
    <cellStyle name="SHADEDSTORES 6 2 3" xfId="51945" xr:uid="{00000000-0005-0000-0000-0000AACB0000}"/>
    <cellStyle name="SHADEDSTORES 6 2 3 2" xfId="51946" xr:uid="{00000000-0005-0000-0000-0000ABCB0000}"/>
    <cellStyle name="SHADEDSTORES 6 2 3 2 2" xfId="51947" xr:uid="{00000000-0005-0000-0000-0000ACCB0000}"/>
    <cellStyle name="SHADEDSTORES 6 2 3 3" xfId="51948" xr:uid="{00000000-0005-0000-0000-0000ADCB0000}"/>
    <cellStyle name="SHADEDSTORES 6 2 3 3 2" xfId="51949" xr:uid="{00000000-0005-0000-0000-0000AECB0000}"/>
    <cellStyle name="SHADEDSTORES 6 2 3 4" xfId="51950" xr:uid="{00000000-0005-0000-0000-0000AFCB0000}"/>
    <cellStyle name="SHADEDSTORES 6 2 4" xfId="51951" xr:uid="{00000000-0005-0000-0000-0000B0CB0000}"/>
    <cellStyle name="SHADEDSTORES 6 2 4 2" xfId="51952" xr:uid="{00000000-0005-0000-0000-0000B1CB0000}"/>
    <cellStyle name="SHADEDSTORES 6 2 5" xfId="51953" xr:uid="{00000000-0005-0000-0000-0000B2CB0000}"/>
    <cellStyle name="SHADEDSTORES 6 2 5 2" xfId="51954" xr:uid="{00000000-0005-0000-0000-0000B3CB0000}"/>
    <cellStyle name="SHADEDSTORES 6 2 6" xfId="51955" xr:uid="{00000000-0005-0000-0000-0000B4CB0000}"/>
    <cellStyle name="SHADEDSTORES 6 3" xfId="51956" xr:uid="{00000000-0005-0000-0000-0000B5CB0000}"/>
    <cellStyle name="SHADEDSTORES 6 3 2" xfId="51957" xr:uid="{00000000-0005-0000-0000-0000B6CB0000}"/>
    <cellStyle name="SHADEDSTORES 6 3 2 2" xfId="51958" xr:uid="{00000000-0005-0000-0000-0000B7CB0000}"/>
    <cellStyle name="SHADEDSTORES 6 3 2 2 2" xfId="51959" xr:uid="{00000000-0005-0000-0000-0000B8CB0000}"/>
    <cellStyle name="SHADEDSTORES 6 3 2 3" xfId="51960" xr:uid="{00000000-0005-0000-0000-0000B9CB0000}"/>
    <cellStyle name="SHADEDSTORES 6 3 3" xfId="51961" xr:uid="{00000000-0005-0000-0000-0000BACB0000}"/>
    <cellStyle name="SHADEDSTORES 6 3 3 2" xfId="51962" xr:uid="{00000000-0005-0000-0000-0000BBCB0000}"/>
    <cellStyle name="SHADEDSTORES 6 3 4" xfId="51963" xr:uid="{00000000-0005-0000-0000-0000BCCB0000}"/>
    <cellStyle name="SHADEDSTORES 6 4" xfId="51964" xr:uid="{00000000-0005-0000-0000-0000BDCB0000}"/>
    <cellStyle name="SHADEDSTORES 6 4 2" xfId="51965" xr:uid="{00000000-0005-0000-0000-0000BECB0000}"/>
    <cellStyle name="SHADEDSTORES 6 4 2 2" xfId="51966" xr:uid="{00000000-0005-0000-0000-0000BFCB0000}"/>
    <cellStyle name="SHADEDSTORES 6 4 3" xfId="51967" xr:uid="{00000000-0005-0000-0000-0000C0CB0000}"/>
    <cellStyle name="SHADEDSTORES 6 4 3 2" xfId="51968" xr:uid="{00000000-0005-0000-0000-0000C1CB0000}"/>
    <cellStyle name="SHADEDSTORES 6 4 4" xfId="51969" xr:uid="{00000000-0005-0000-0000-0000C2CB0000}"/>
    <cellStyle name="SHADEDSTORES 6 5" xfId="51970" xr:uid="{00000000-0005-0000-0000-0000C3CB0000}"/>
    <cellStyle name="SHADEDSTORES 6 5 2" xfId="51971" xr:uid="{00000000-0005-0000-0000-0000C4CB0000}"/>
    <cellStyle name="SHADEDSTORES 6 6" xfId="51972" xr:uid="{00000000-0005-0000-0000-0000C5CB0000}"/>
    <cellStyle name="SHADEDSTORES 6 6 2" xfId="51973" xr:uid="{00000000-0005-0000-0000-0000C6CB0000}"/>
    <cellStyle name="SHADEDSTORES 6 7" xfId="51974" xr:uid="{00000000-0005-0000-0000-0000C7CB0000}"/>
    <cellStyle name="SHADEDSTORES 7" xfId="51975" xr:uid="{00000000-0005-0000-0000-0000C8CB0000}"/>
    <cellStyle name="SHADEDSTORES 7 2" xfId="51976" xr:uid="{00000000-0005-0000-0000-0000C9CB0000}"/>
    <cellStyle name="SHADEDSTORES 7 2 2" xfId="51977" xr:uid="{00000000-0005-0000-0000-0000CACB0000}"/>
    <cellStyle name="SHADEDSTORES 7 3" xfId="51978" xr:uid="{00000000-0005-0000-0000-0000CBCB0000}"/>
    <cellStyle name="SHADEDSTORES 8" xfId="51979" xr:uid="{00000000-0005-0000-0000-0000CCCB0000}"/>
    <cellStyle name="SHADEDSTORES 8 2" xfId="51980" xr:uid="{00000000-0005-0000-0000-0000CDCB0000}"/>
    <cellStyle name="SHADEDSTORES 8 2 2" xfId="51981" xr:uid="{00000000-0005-0000-0000-0000CECB0000}"/>
    <cellStyle name="SHADEDSTORES 8 3" xfId="51982" xr:uid="{00000000-0005-0000-0000-0000CFCB0000}"/>
    <cellStyle name="SHADEDSTORES 9" xfId="51983" xr:uid="{00000000-0005-0000-0000-0000D0CB0000}"/>
    <cellStyle name="SHADEDSTORES 9 2" xfId="51984" xr:uid="{00000000-0005-0000-0000-0000D1CB0000}"/>
    <cellStyle name="SHADEDSTORES 9 2 2" xfId="51985" xr:uid="{00000000-0005-0000-0000-0000D2CB0000}"/>
    <cellStyle name="SHADEDSTORES 9 2 2 2" xfId="51986" xr:uid="{00000000-0005-0000-0000-0000D3CB0000}"/>
    <cellStyle name="SHADEDSTORES 9 2 2 2 2" xfId="51987" xr:uid="{00000000-0005-0000-0000-0000D4CB0000}"/>
    <cellStyle name="SHADEDSTORES 9 2 2 3" xfId="51988" xr:uid="{00000000-0005-0000-0000-0000D5CB0000}"/>
    <cellStyle name="SHADEDSTORES 9 2 3" xfId="51989" xr:uid="{00000000-0005-0000-0000-0000D6CB0000}"/>
    <cellStyle name="SHADEDSTORES 9 2 3 2" xfId="51990" xr:uid="{00000000-0005-0000-0000-0000D7CB0000}"/>
    <cellStyle name="SHADEDSTORES 9 2 4" xfId="51991" xr:uid="{00000000-0005-0000-0000-0000D8CB0000}"/>
    <cellStyle name="SHADEDSTORES 9 3" xfId="51992" xr:uid="{00000000-0005-0000-0000-0000D9CB0000}"/>
    <cellStyle name="SHADEDSTORES 9 3 2" xfId="51993" xr:uid="{00000000-0005-0000-0000-0000DACB0000}"/>
    <cellStyle name="SHADEDSTORES 9 3 2 2" xfId="51994" xr:uid="{00000000-0005-0000-0000-0000DBCB0000}"/>
    <cellStyle name="SHADEDSTORES 9 3 3" xfId="51995" xr:uid="{00000000-0005-0000-0000-0000DCCB0000}"/>
    <cellStyle name="SHADEDSTORES 9 3 3 2" xfId="51996" xr:uid="{00000000-0005-0000-0000-0000DDCB0000}"/>
    <cellStyle name="SHADEDSTORES 9 3 4" xfId="51997" xr:uid="{00000000-0005-0000-0000-0000DECB0000}"/>
    <cellStyle name="SHADEDSTORES 9 4" xfId="51998" xr:uid="{00000000-0005-0000-0000-0000DFCB0000}"/>
    <cellStyle name="SHADEDSTORES 9 4 2" xfId="51999" xr:uid="{00000000-0005-0000-0000-0000E0CB0000}"/>
    <cellStyle name="SHADEDSTORES 9 5" xfId="52000" xr:uid="{00000000-0005-0000-0000-0000E1CB0000}"/>
    <cellStyle name="SHADEDSTORES 9 5 2" xfId="52001" xr:uid="{00000000-0005-0000-0000-0000E2CB0000}"/>
    <cellStyle name="SHADEDSTORES 9 6" xfId="52002" xr:uid="{00000000-0005-0000-0000-0000E3CB0000}"/>
    <cellStyle name="Sheet Title" xfId="79" xr:uid="{00000000-0005-0000-0000-0000E4CB0000}"/>
    <cellStyle name="Sheet Title 10" xfId="52003" xr:uid="{00000000-0005-0000-0000-0000E5CB0000}"/>
    <cellStyle name="Sheet Title 2" xfId="52004" xr:uid="{00000000-0005-0000-0000-0000E6CB0000}"/>
    <cellStyle name="Sheet Title 2 2" xfId="52005" xr:uid="{00000000-0005-0000-0000-0000E7CB0000}"/>
    <cellStyle name="Sheet Title 2 2 2" xfId="52006" xr:uid="{00000000-0005-0000-0000-0000E8CB0000}"/>
    <cellStyle name="Sheet Title 2 2 2 2" xfId="52007" xr:uid="{00000000-0005-0000-0000-0000E9CB0000}"/>
    <cellStyle name="Sheet Title 2 2 3" xfId="52008" xr:uid="{00000000-0005-0000-0000-0000EACB0000}"/>
    <cellStyle name="Sheet Title 2 2 3 2" xfId="52009" xr:uid="{00000000-0005-0000-0000-0000EBCB0000}"/>
    <cellStyle name="Sheet Title 2 2 3 2 2" xfId="52010" xr:uid="{00000000-0005-0000-0000-0000ECCB0000}"/>
    <cellStyle name="Sheet Title 2 2 3 3" xfId="52011" xr:uid="{00000000-0005-0000-0000-0000EDCB0000}"/>
    <cellStyle name="Sheet Title 2 2 4" xfId="52012" xr:uid="{00000000-0005-0000-0000-0000EECB0000}"/>
    <cellStyle name="Sheet Title 2 2 4 2" xfId="52013" xr:uid="{00000000-0005-0000-0000-0000EFCB0000}"/>
    <cellStyle name="Sheet Title 2 2 4 2 2" xfId="52014" xr:uid="{00000000-0005-0000-0000-0000F0CB0000}"/>
    <cellStyle name="Sheet Title 2 2 4 3" xfId="52015" xr:uid="{00000000-0005-0000-0000-0000F1CB0000}"/>
    <cellStyle name="Sheet Title 2 2 5" xfId="52016" xr:uid="{00000000-0005-0000-0000-0000F2CB0000}"/>
    <cellStyle name="Sheet Title 2 3" xfId="52017" xr:uid="{00000000-0005-0000-0000-0000F3CB0000}"/>
    <cellStyle name="Sheet Title 2 3 2" xfId="52018" xr:uid="{00000000-0005-0000-0000-0000F4CB0000}"/>
    <cellStyle name="Sheet Title 2 3 2 2" xfId="52019" xr:uid="{00000000-0005-0000-0000-0000F5CB0000}"/>
    <cellStyle name="Sheet Title 2 3 2 2 2" xfId="52020" xr:uid="{00000000-0005-0000-0000-0000F6CB0000}"/>
    <cellStyle name="Sheet Title 2 3 2 3" xfId="52021" xr:uid="{00000000-0005-0000-0000-0000F7CB0000}"/>
    <cellStyle name="Sheet Title 2 3 2 3 2" xfId="52022" xr:uid="{00000000-0005-0000-0000-0000F8CB0000}"/>
    <cellStyle name="Sheet Title 2 3 2 3 2 2" xfId="52023" xr:uid="{00000000-0005-0000-0000-0000F9CB0000}"/>
    <cellStyle name="Sheet Title 2 3 2 3 3" xfId="52024" xr:uid="{00000000-0005-0000-0000-0000FACB0000}"/>
    <cellStyle name="Sheet Title 2 3 2 4" xfId="52025" xr:uid="{00000000-0005-0000-0000-0000FBCB0000}"/>
    <cellStyle name="Sheet Title 2 3 3" xfId="52026" xr:uid="{00000000-0005-0000-0000-0000FCCB0000}"/>
    <cellStyle name="Sheet Title 2 3 3 2" xfId="52027" xr:uid="{00000000-0005-0000-0000-0000FDCB0000}"/>
    <cellStyle name="Sheet Title 2 3 3 2 2" xfId="52028" xr:uid="{00000000-0005-0000-0000-0000FECB0000}"/>
    <cellStyle name="Sheet Title 2 3 3 3" xfId="52029" xr:uid="{00000000-0005-0000-0000-0000FFCB0000}"/>
    <cellStyle name="Sheet Title 2 3 4" xfId="52030" xr:uid="{00000000-0005-0000-0000-000000CC0000}"/>
    <cellStyle name="Sheet Title 2 3 4 2" xfId="52031" xr:uid="{00000000-0005-0000-0000-000001CC0000}"/>
    <cellStyle name="Sheet Title 2 3 4 2 2" xfId="52032" xr:uid="{00000000-0005-0000-0000-000002CC0000}"/>
    <cellStyle name="Sheet Title 2 3 4 3" xfId="52033" xr:uid="{00000000-0005-0000-0000-000003CC0000}"/>
    <cellStyle name="Sheet Title 2 3 5" xfId="52034" xr:uid="{00000000-0005-0000-0000-000004CC0000}"/>
    <cellStyle name="Sheet Title 2 3 5 2" xfId="52035" xr:uid="{00000000-0005-0000-0000-000005CC0000}"/>
    <cellStyle name="Sheet Title 2 3 5 2 2" xfId="52036" xr:uid="{00000000-0005-0000-0000-000006CC0000}"/>
    <cellStyle name="Sheet Title 2 3 5 3" xfId="52037" xr:uid="{00000000-0005-0000-0000-000007CC0000}"/>
    <cellStyle name="Sheet Title 2 3 6" xfId="52038" xr:uid="{00000000-0005-0000-0000-000008CC0000}"/>
    <cellStyle name="Sheet Title 2 4" xfId="52039" xr:uid="{00000000-0005-0000-0000-000009CC0000}"/>
    <cellStyle name="Sheet Title 2 4 2" xfId="52040" xr:uid="{00000000-0005-0000-0000-00000ACC0000}"/>
    <cellStyle name="Sheet Title 2 4 2 2" xfId="52041" xr:uid="{00000000-0005-0000-0000-00000BCC0000}"/>
    <cellStyle name="Sheet Title 2 4 3" xfId="52042" xr:uid="{00000000-0005-0000-0000-00000CCC0000}"/>
    <cellStyle name="Sheet Title 2 5" xfId="52043" xr:uid="{00000000-0005-0000-0000-00000DCC0000}"/>
    <cellStyle name="Sheet Title 2 5 2" xfId="52044" xr:uid="{00000000-0005-0000-0000-00000ECC0000}"/>
    <cellStyle name="Sheet Title 2 5 2 2" xfId="52045" xr:uid="{00000000-0005-0000-0000-00000FCC0000}"/>
    <cellStyle name="Sheet Title 2 5 3" xfId="52046" xr:uid="{00000000-0005-0000-0000-000010CC0000}"/>
    <cellStyle name="Sheet Title 2 6" xfId="52047" xr:uid="{00000000-0005-0000-0000-000011CC0000}"/>
    <cellStyle name="Sheet Title 2 6 2" xfId="52048" xr:uid="{00000000-0005-0000-0000-000012CC0000}"/>
    <cellStyle name="Sheet Title 2 6 2 2" xfId="52049" xr:uid="{00000000-0005-0000-0000-000013CC0000}"/>
    <cellStyle name="Sheet Title 2 6 3" xfId="52050" xr:uid="{00000000-0005-0000-0000-000014CC0000}"/>
    <cellStyle name="Sheet Title 2 7" xfId="52051" xr:uid="{00000000-0005-0000-0000-000015CC0000}"/>
    <cellStyle name="Sheet Title 3" xfId="52052" xr:uid="{00000000-0005-0000-0000-000016CC0000}"/>
    <cellStyle name="Sheet Title 3 2" xfId="52053" xr:uid="{00000000-0005-0000-0000-000017CC0000}"/>
    <cellStyle name="Sheet Title 3 2 2" xfId="52054" xr:uid="{00000000-0005-0000-0000-000018CC0000}"/>
    <cellStyle name="Sheet Title 3 2 2 2" xfId="52055" xr:uid="{00000000-0005-0000-0000-000019CC0000}"/>
    <cellStyle name="Sheet Title 3 2 3" xfId="52056" xr:uid="{00000000-0005-0000-0000-00001ACC0000}"/>
    <cellStyle name="Sheet Title 3 2 3 2" xfId="52057" xr:uid="{00000000-0005-0000-0000-00001BCC0000}"/>
    <cellStyle name="Sheet Title 3 2 3 2 2" xfId="52058" xr:uid="{00000000-0005-0000-0000-00001CCC0000}"/>
    <cellStyle name="Sheet Title 3 2 3 3" xfId="52059" xr:uid="{00000000-0005-0000-0000-00001DCC0000}"/>
    <cellStyle name="Sheet Title 3 2 4" xfId="52060" xr:uid="{00000000-0005-0000-0000-00001ECC0000}"/>
    <cellStyle name="Sheet Title 3 2 4 2" xfId="52061" xr:uid="{00000000-0005-0000-0000-00001FCC0000}"/>
    <cellStyle name="Sheet Title 3 2 4 2 2" xfId="52062" xr:uid="{00000000-0005-0000-0000-000020CC0000}"/>
    <cellStyle name="Sheet Title 3 2 4 3" xfId="52063" xr:uid="{00000000-0005-0000-0000-000021CC0000}"/>
    <cellStyle name="Sheet Title 3 2 5" xfId="52064" xr:uid="{00000000-0005-0000-0000-000022CC0000}"/>
    <cellStyle name="Sheet Title 3 3" xfId="52065" xr:uid="{00000000-0005-0000-0000-000023CC0000}"/>
    <cellStyle name="Sheet Title 3 3 2" xfId="52066" xr:uid="{00000000-0005-0000-0000-000024CC0000}"/>
    <cellStyle name="Sheet Title 3 3 2 2" xfId="52067" xr:uid="{00000000-0005-0000-0000-000025CC0000}"/>
    <cellStyle name="Sheet Title 3 3 3" xfId="52068" xr:uid="{00000000-0005-0000-0000-000026CC0000}"/>
    <cellStyle name="Sheet Title 3 4" xfId="52069" xr:uid="{00000000-0005-0000-0000-000027CC0000}"/>
    <cellStyle name="Sheet Title 3 4 2" xfId="52070" xr:uid="{00000000-0005-0000-0000-000028CC0000}"/>
    <cellStyle name="Sheet Title 3 4 2 2" xfId="52071" xr:uid="{00000000-0005-0000-0000-000029CC0000}"/>
    <cellStyle name="Sheet Title 3 4 3" xfId="52072" xr:uid="{00000000-0005-0000-0000-00002ACC0000}"/>
    <cellStyle name="Sheet Title 3 5" xfId="52073" xr:uid="{00000000-0005-0000-0000-00002BCC0000}"/>
    <cellStyle name="Sheet Title 3 5 2" xfId="52074" xr:uid="{00000000-0005-0000-0000-00002CCC0000}"/>
    <cellStyle name="Sheet Title 3 5 2 2" xfId="52075" xr:uid="{00000000-0005-0000-0000-00002DCC0000}"/>
    <cellStyle name="Sheet Title 3 5 3" xfId="52076" xr:uid="{00000000-0005-0000-0000-00002ECC0000}"/>
    <cellStyle name="Sheet Title 3 6" xfId="52077" xr:uid="{00000000-0005-0000-0000-00002FCC0000}"/>
    <cellStyle name="Sheet Title 4" xfId="52078" xr:uid="{00000000-0005-0000-0000-000030CC0000}"/>
    <cellStyle name="Sheet Title 4 2" xfId="52079" xr:uid="{00000000-0005-0000-0000-000031CC0000}"/>
    <cellStyle name="Sheet Title 4 2 2" xfId="52080" xr:uid="{00000000-0005-0000-0000-000032CC0000}"/>
    <cellStyle name="Sheet Title 4 3" xfId="52081" xr:uid="{00000000-0005-0000-0000-000033CC0000}"/>
    <cellStyle name="Sheet Title 4 3 2" xfId="52082" xr:uid="{00000000-0005-0000-0000-000034CC0000}"/>
    <cellStyle name="Sheet Title 4 3 2 2" xfId="52083" xr:uid="{00000000-0005-0000-0000-000035CC0000}"/>
    <cellStyle name="Sheet Title 4 3 3" xfId="52084" xr:uid="{00000000-0005-0000-0000-000036CC0000}"/>
    <cellStyle name="Sheet Title 4 4" xfId="52085" xr:uid="{00000000-0005-0000-0000-000037CC0000}"/>
    <cellStyle name="Sheet Title 4 4 2" xfId="52086" xr:uid="{00000000-0005-0000-0000-000038CC0000}"/>
    <cellStyle name="Sheet Title 4 4 2 2" xfId="52087" xr:uid="{00000000-0005-0000-0000-000039CC0000}"/>
    <cellStyle name="Sheet Title 4 4 3" xfId="52088" xr:uid="{00000000-0005-0000-0000-00003ACC0000}"/>
    <cellStyle name="Sheet Title 4 5" xfId="52089" xr:uid="{00000000-0005-0000-0000-00003BCC0000}"/>
    <cellStyle name="Sheet Title 5" xfId="52090" xr:uid="{00000000-0005-0000-0000-00003CCC0000}"/>
    <cellStyle name="Sheet Title 5 2" xfId="52091" xr:uid="{00000000-0005-0000-0000-00003DCC0000}"/>
    <cellStyle name="Sheet Title 5 2 2" xfId="52092" xr:uid="{00000000-0005-0000-0000-00003ECC0000}"/>
    <cellStyle name="Sheet Title 5 3" xfId="52093" xr:uid="{00000000-0005-0000-0000-00003FCC0000}"/>
    <cellStyle name="Sheet Title 6" xfId="52094" xr:uid="{00000000-0005-0000-0000-000040CC0000}"/>
    <cellStyle name="Sheet Title 6 2" xfId="52095" xr:uid="{00000000-0005-0000-0000-000041CC0000}"/>
    <cellStyle name="Sheet Title 6 2 2" xfId="52096" xr:uid="{00000000-0005-0000-0000-000042CC0000}"/>
    <cellStyle name="Sheet Title 6 3" xfId="52097" xr:uid="{00000000-0005-0000-0000-000043CC0000}"/>
    <cellStyle name="Sheet Title 7" xfId="52098" xr:uid="{00000000-0005-0000-0000-000044CC0000}"/>
    <cellStyle name="Sheet Title 7 2" xfId="52099" xr:uid="{00000000-0005-0000-0000-000045CC0000}"/>
    <cellStyle name="Sheet Title 7 2 2" xfId="52100" xr:uid="{00000000-0005-0000-0000-000046CC0000}"/>
    <cellStyle name="Sheet Title 7 3" xfId="52101" xr:uid="{00000000-0005-0000-0000-000047CC0000}"/>
    <cellStyle name="Sheet Title 8" xfId="52102" xr:uid="{00000000-0005-0000-0000-000048CC0000}"/>
    <cellStyle name="Sheet Title 8 2" xfId="52103" xr:uid="{00000000-0005-0000-0000-000049CC0000}"/>
    <cellStyle name="Sheet Title 9" xfId="52104" xr:uid="{00000000-0005-0000-0000-00004ACC0000}"/>
    <cellStyle name="specstores" xfId="52105" xr:uid="{00000000-0005-0000-0000-00004BCC0000}"/>
    <cellStyle name="specstores 10" xfId="52106" xr:uid="{00000000-0005-0000-0000-00004CCC0000}"/>
    <cellStyle name="specstores 2" xfId="52107" xr:uid="{00000000-0005-0000-0000-00004DCC0000}"/>
    <cellStyle name="specstores 2 2" xfId="52108" xr:uid="{00000000-0005-0000-0000-00004ECC0000}"/>
    <cellStyle name="specstores 2 2 2" xfId="52109" xr:uid="{00000000-0005-0000-0000-00004FCC0000}"/>
    <cellStyle name="specstores 2 2 2 2" xfId="52110" xr:uid="{00000000-0005-0000-0000-000050CC0000}"/>
    <cellStyle name="specstores 2 2 3" xfId="52111" xr:uid="{00000000-0005-0000-0000-000051CC0000}"/>
    <cellStyle name="specstores 2 2 3 2" xfId="52112" xr:uid="{00000000-0005-0000-0000-000052CC0000}"/>
    <cellStyle name="specstores 2 2 3 2 2" xfId="52113" xr:uid="{00000000-0005-0000-0000-000053CC0000}"/>
    <cellStyle name="specstores 2 2 3 3" xfId="52114" xr:uid="{00000000-0005-0000-0000-000054CC0000}"/>
    <cellStyle name="specstores 2 2 4" xfId="52115" xr:uid="{00000000-0005-0000-0000-000055CC0000}"/>
    <cellStyle name="specstores 2 2 4 2" xfId="52116" xr:uid="{00000000-0005-0000-0000-000056CC0000}"/>
    <cellStyle name="specstores 2 2 4 2 2" xfId="52117" xr:uid="{00000000-0005-0000-0000-000057CC0000}"/>
    <cellStyle name="specstores 2 2 4 3" xfId="52118" xr:uid="{00000000-0005-0000-0000-000058CC0000}"/>
    <cellStyle name="specstores 2 2 5" xfId="52119" xr:uid="{00000000-0005-0000-0000-000059CC0000}"/>
    <cellStyle name="specstores 2 3" xfId="52120" xr:uid="{00000000-0005-0000-0000-00005ACC0000}"/>
    <cellStyle name="specstores 2 3 2" xfId="52121" xr:uid="{00000000-0005-0000-0000-00005BCC0000}"/>
    <cellStyle name="specstores 2 3 2 2" xfId="52122" xr:uid="{00000000-0005-0000-0000-00005CCC0000}"/>
    <cellStyle name="specstores 2 3 2 2 2" xfId="52123" xr:uid="{00000000-0005-0000-0000-00005DCC0000}"/>
    <cellStyle name="specstores 2 3 2 3" xfId="52124" xr:uid="{00000000-0005-0000-0000-00005ECC0000}"/>
    <cellStyle name="specstores 2 3 2 3 2" xfId="52125" xr:uid="{00000000-0005-0000-0000-00005FCC0000}"/>
    <cellStyle name="specstores 2 3 2 3 2 2" xfId="52126" xr:uid="{00000000-0005-0000-0000-000060CC0000}"/>
    <cellStyle name="specstores 2 3 2 3 3" xfId="52127" xr:uid="{00000000-0005-0000-0000-000061CC0000}"/>
    <cellStyle name="specstores 2 3 2 4" xfId="52128" xr:uid="{00000000-0005-0000-0000-000062CC0000}"/>
    <cellStyle name="specstores 2 3 3" xfId="52129" xr:uid="{00000000-0005-0000-0000-000063CC0000}"/>
    <cellStyle name="specstores 2 3 3 2" xfId="52130" xr:uid="{00000000-0005-0000-0000-000064CC0000}"/>
    <cellStyle name="specstores 2 3 3 2 2" xfId="52131" xr:uid="{00000000-0005-0000-0000-000065CC0000}"/>
    <cellStyle name="specstores 2 3 3 3" xfId="52132" xr:uid="{00000000-0005-0000-0000-000066CC0000}"/>
    <cellStyle name="specstores 2 3 4" xfId="52133" xr:uid="{00000000-0005-0000-0000-000067CC0000}"/>
    <cellStyle name="specstores 2 3 4 2" xfId="52134" xr:uid="{00000000-0005-0000-0000-000068CC0000}"/>
    <cellStyle name="specstores 2 3 4 2 2" xfId="52135" xr:uid="{00000000-0005-0000-0000-000069CC0000}"/>
    <cellStyle name="specstores 2 3 4 3" xfId="52136" xr:uid="{00000000-0005-0000-0000-00006ACC0000}"/>
    <cellStyle name="specstores 2 3 5" xfId="52137" xr:uid="{00000000-0005-0000-0000-00006BCC0000}"/>
    <cellStyle name="specstores 2 3 5 2" xfId="52138" xr:uid="{00000000-0005-0000-0000-00006CCC0000}"/>
    <cellStyle name="specstores 2 3 5 2 2" xfId="52139" xr:uid="{00000000-0005-0000-0000-00006DCC0000}"/>
    <cellStyle name="specstores 2 3 5 3" xfId="52140" xr:uid="{00000000-0005-0000-0000-00006ECC0000}"/>
    <cellStyle name="specstores 2 3 6" xfId="52141" xr:uid="{00000000-0005-0000-0000-00006FCC0000}"/>
    <cellStyle name="specstores 2 4" xfId="52142" xr:uid="{00000000-0005-0000-0000-000070CC0000}"/>
    <cellStyle name="specstores 2 4 2" xfId="52143" xr:uid="{00000000-0005-0000-0000-000071CC0000}"/>
    <cellStyle name="specstores 2 4 2 2" xfId="52144" xr:uid="{00000000-0005-0000-0000-000072CC0000}"/>
    <cellStyle name="specstores 2 4 3" xfId="52145" xr:uid="{00000000-0005-0000-0000-000073CC0000}"/>
    <cellStyle name="specstores 2 5" xfId="52146" xr:uid="{00000000-0005-0000-0000-000074CC0000}"/>
    <cellStyle name="specstores 2 5 2" xfId="52147" xr:uid="{00000000-0005-0000-0000-000075CC0000}"/>
    <cellStyle name="specstores 2 5 2 2" xfId="52148" xr:uid="{00000000-0005-0000-0000-000076CC0000}"/>
    <cellStyle name="specstores 2 5 3" xfId="52149" xr:uid="{00000000-0005-0000-0000-000077CC0000}"/>
    <cellStyle name="specstores 2 6" xfId="52150" xr:uid="{00000000-0005-0000-0000-000078CC0000}"/>
    <cellStyle name="specstores 2 6 2" xfId="52151" xr:uid="{00000000-0005-0000-0000-000079CC0000}"/>
    <cellStyle name="specstores 2 6 2 2" xfId="52152" xr:uid="{00000000-0005-0000-0000-00007ACC0000}"/>
    <cellStyle name="specstores 2 6 3" xfId="52153" xr:uid="{00000000-0005-0000-0000-00007BCC0000}"/>
    <cellStyle name="specstores 2 7" xfId="52154" xr:uid="{00000000-0005-0000-0000-00007CCC0000}"/>
    <cellStyle name="specstores 3" xfId="52155" xr:uid="{00000000-0005-0000-0000-00007DCC0000}"/>
    <cellStyle name="specstores 3 2" xfId="52156" xr:uid="{00000000-0005-0000-0000-00007ECC0000}"/>
    <cellStyle name="specstores 3 2 2" xfId="52157" xr:uid="{00000000-0005-0000-0000-00007FCC0000}"/>
    <cellStyle name="specstores 3 2 2 2" xfId="52158" xr:uid="{00000000-0005-0000-0000-000080CC0000}"/>
    <cellStyle name="specstores 3 2 3" xfId="52159" xr:uid="{00000000-0005-0000-0000-000081CC0000}"/>
    <cellStyle name="specstores 3 2 3 2" xfId="52160" xr:uid="{00000000-0005-0000-0000-000082CC0000}"/>
    <cellStyle name="specstores 3 2 3 2 2" xfId="52161" xr:uid="{00000000-0005-0000-0000-000083CC0000}"/>
    <cellStyle name="specstores 3 2 3 3" xfId="52162" xr:uid="{00000000-0005-0000-0000-000084CC0000}"/>
    <cellStyle name="specstores 3 2 4" xfId="52163" xr:uid="{00000000-0005-0000-0000-000085CC0000}"/>
    <cellStyle name="specstores 3 2 4 2" xfId="52164" xr:uid="{00000000-0005-0000-0000-000086CC0000}"/>
    <cellStyle name="specstores 3 2 4 2 2" xfId="52165" xr:uid="{00000000-0005-0000-0000-000087CC0000}"/>
    <cellStyle name="specstores 3 2 4 3" xfId="52166" xr:uid="{00000000-0005-0000-0000-000088CC0000}"/>
    <cellStyle name="specstores 3 2 5" xfId="52167" xr:uid="{00000000-0005-0000-0000-000089CC0000}"/>
    <cellStyle name="specstores 3 3" xfId="52168" xr:uid="{00000000-0005-0000-0000-00008ACC0000}"/>
    <cellStyle name="specstores 3 3 2" xfId="52169" xr:uid="{00000000-0005-0000-0000-00008BCC0000}"/>
    <cellStyle name="specstores 3 3 2 2" xfId="52170" xr:uid="{00000000-0005-0000-0000-00008CCC0000}"/>
    <cellStyle name="specstores 3 3 3" xfId="52171" xr:uid="{00000000-0005-0000-0000-00008DCC0000}"/>
    <cellStyle name="specstores 3 4" xfId="52172" xr:uid="{00000000-0005-0000-0000-00008ECC0000}"/>
    <cellStyle name="specstores 3 4 2" xfId="52173" xr:uid="{00000000-0005-0000-0000-00008FCC0000}"/>
    <cellStyle name="specstores 3 4 2 2" xfId="52174" xr:uid="{00000000-0005-0000-0000-000090CC0000}"/>
    <cellStyle name="specstores 3 4 3" xfId="52175" xr:uid="{00000000-0005-0000-0000-000091CC0000}"/>
    <cellStyle name="specstores 3 5" xfId="52176" xr:uid="{00000000-0005-0000-0000-000092CC0000}"/>
    <cellStyle name="specstores 3 5 2" xfId="52177" xr:uid="{00000000-0005-0000-0000-000093CC0000}"/>
    <cellStyle name="specstores 3 5 2 2" xfId="52178" xr:uid="{00000000-0005-0000-0000-000094CC0000}"/>
    <cellStyle name="specstores 3 5 3" xfId="52179" xr:uid="{00000000-0005-0000-0000-000095CC0000}"/>
    <cellStyle name="specstores 3 6" xfId="52180" xr:uid="{00000000-0005-0000-0000-000096CC0000}"/>
    <cellStyle name="specstores 4" xfId="52181" xr:uid="{00000000-0005-0000-0000-000097CC0000}"/>
    <cellStyle name="specstores 4 2" xfId="52182" xr:uid="{00000000-0005-0000-0000-000098CC0000}"/>
    <cellStyle name="specstores 4 2 2" xfId="52183" xr:uid="{00000000-0005-0000-0000-000099CC0000}"/>
    <cellStyle name="specstores 4 2 2 2" xfId="52184" xr:uid="{00000000-0005-0000-0000-00009ACC0000}"/>
    <cellStyle name="specstores 4 2 3" xfId="52185" xr:uid="{00000000-0005-0000-0000-00009BCC0000}"/>
    <cellStyle name="specstores 4 2 3 2" xfId="52186" xr:uid="{00000000-0005-0000-0000-00009CCC0000}"/>
    <cellStyle name="specstores 4 2 3 2 2" xfId="52187" xr:uid="{00000000-0005-0000-0000-00009DCC0000}"/>
    <cellStyle name="specstores 4 2 3 3" xfId="52188" xr:uid="{00000000-0005-0000-0000-00009ECC0000}"/>
    <cellStyle name="specstores 4 2 4" xfId="52189" xr:uid="{00000000-0005-0000-0000-00009FCC0000}"/>
    <cellStyle name="specstores 4 2 4 2" xfId="52190" xr:uid="{00000000-0005-0000-0000-0000A0CC0000}"/>
    <cellStyle name="specstores 4 2 4 2 2" xfId="52191" xr:uid="{00000000-0005-0000-0000-0000A1CC0000}"/>
    <cellStyle name="specstores 4 2 4 3" xfId="52192" xr:uid="{00000000-0005-0000-0000-0000A2CC0000}"/>
    <cellStyle name="specstores 4 2 5" xfId="52193" xr:uid="{00000000-0005-0000-0000-0000A3CC0000}"/>
    <cellStyle name="specstores 4 3" xfId="52194" xr:uid="{00000000-0005-0000-0000-0000A4CC0000}"/>
    <cellStyle name="specstores 4 3 2" xfId="52195" xr:uid="{00000000-0005-0000-0000-0000A5CC0000}"/>
    <cellStyle name="specstores 4 3 2 2" xfId="52196" xr:uid="{00000000-0005-0000-0000-0000A6CC0000}"/>
    <cellStyle name="specstores 4 3 3" xfId="52197" xr:uid="{00000000-0005-0000-0000-0000A7CC0000}"/>
    <cellStyle name="specstores 4 4" xfId="52198" xr:uid="{00000000-0005-0000-0000-0000A8CC0000}"/>
    <cellStyle name="specstores 4 4 2" xfId="52199" xr:uid="{00000000-0005-0000-0000-0000A9CC0000}"/>
    <cellStyle name="specstores 4 4 2 2" xfId="52200" xr:uid="{00000000-0005-0000-0000-0000AACC0000}"/>
    <cellStyle name="specstores 4 4 3" xfId="52201" xr:uid="{00000000-0005-0000-0000-0000ABCC0000}"/>
    <cellStyle name="specstores 4 5" xfId="52202" xr:uid="{00000000-0005-0000-0000-0000ACCC0000}"/>
    <cellStyle name="specstores 4 5 2" xfId="52203" xr:uid="{00000000-0005-0000-0000-0000ADCC0000}"/>
    <cellStyle name="specstores 4 5 2 2" xfId="52204" xr:uid="{00000000-0005-0000-0000-0000AECC0000}"/>
    <cellStyle name="specstores 4 5 3" xfId="52205" xr:uid="{00000000-0005-0000-0000-0000AFCC0000}"/>
    <cellStyle name="specstores 4 6" xfId="52206" xr:uid="{00000000-0005-0000-0000-0000B0CC0000}"/>
    <cellStyle name="specstores 5" xfId="52207" xr:uid="{00000000-0005-0000-0000-0000B1CC0000}"/>
    <cellStyle name="specstores 5 2" xfId="52208" xr:uid="{00000000-0005-0000-0000-0000B2CC0000}"/>
    <cellStyle name="specstores 5 2 2" xfId="52209" xr:uid="{00000000-0005-0000-0000-0000B3CC0000}"/>
    <cellStyle name="specstores 5 3" xfId="52210" xr:uid="{00000000-0005-0000-0000-0000B4CC0000}"/>
    <cellStyle name="specstores 5 3 2" xfId="52211" xr:uid="{00000000-0005-0000-0000-0000B5CC0000}"/>
    <cellStyle name="specstores 5 3 2 2" xfId="52212" xr:uid="{00000000-0005-0000-0000-0000B6CC0000}"/>
    <cellStyle name="specstores 5 3 3" xfId="52213" xr:uid="{00000000-0005-0000-0000-0000B7CC0000}"/>
    <cellStyle name="specstores 5 4" xfId="52214" xr:uid="{00000000-0005-0000-0000-0000B8CC0000}"/>
    <cellStyle name="specstores 5 4 2" xfId="52215" xr:uid="{00000000-0005-0000-0000-0000B9CC0000}"/>
    <cellStyle name="specstores 5 4 2 2" xfId="52216" xr:uid="{00000000-0005-0000-0000-0000BACC0000}"/>
    <cellStyle name="specstores 5 4 3" xfId="52217" xr:uid="{00000000-0005-0000-0000-0000BBCC0000}"/>
    <cellStyle name="specstores 5 5" xfId="52218" xr:uid="{00000000-0005-0000-0000-0000BCCC0000}"/>
    <cellStyle name="specstores 6" xfId="52219" xr:uid="{00000000-0005-0000-0000-0000BDCC0000}"/>
    <cellStyle name="specstores 6 2" xfId="52220" xr:uid="{00000000-0005-0000-0000-0000BECC0000}"/>
    <cellStyle name="specstores 6 2 2" xfId="52221" xr:uid="{00000000-0005-0000-0000-0000BFCC0000}"/>
    <cellStyle name="specstores 6 3" xfId="52222" xr:uid="{00000000-0005-0000-0000-0000C0CC0000}"/>
    <cellStyle name="specstores 7" xfId="52223" xr:uid="{00000000-0005-0000-0000-0000C1CC0000}"/>
    <cellStyle name="specstores 7 2" xfId="52224" xr:uid="{00000000-0005-0000-0000-0000C2CC0000}"/>
    <cellStyle name="specstores 7 2 2" xfId="52225" xr:uid="{00000000-0005-0000-0000-0000C3CC0000}"/>
    <cellStyle name="specstores 7 3" xfId="52226" xr:uid="{00000000-0005-0000-0000-0000C4CC0000}"/>
    <cellStyle name="specstores 8" xfId="52227" xr:uid="{00000000-0005-0000-0000-0000C5CC0000}"/>
    <cellStyle name="specstores 8 2" xfId="52228" xr:uid="{00000000-0005-0000-0000-0000C6CC0000}"/>
    <cellStyle name="specstores 8 2 2" xfId="52229" xr:uid="{00000000-0005-0000-0000-0000C7CC0000}"/>
    <cellStyle name="specstores 8 3" xfId="52230" xr:uid="{00000000-0005-0000-0000-0000C8CC0000}"/>
    <cellStyle name="specstores 9" xfId="52231" xr:uid="{00000000-0005-0000-0000-0000C9CC0000}"/>
    <cellStyle name="specstores 9 2" xfId="52232" xr:uid="{00000000-0005-0000-0000-0000CACC0000}"/>
    <cellStyle name="StrategyDependent" xfId="52233" xr:uid="{00000000-0005-0000-0000-0000CBCC0000}"/>
    <cellStyle name="StrategyDependent 2" xfId="52234" xr:uid="{00000000-0005-0000-0000-0000CCCC0000}"/>
    <cellStyle name="StrategyDependent 2 2" xfId="52235" xr:uid="{00000000-0005-0000-0000-0000CDCC0000}"/>
    <cellStyle name="StrategyDependent 3" xfId="52236" xr:uid="{00000000-0005-0000-0000-0000CECC0000}"/>
    <cellStyle name="StrategyDependent 3 2" xfId="52237" xr:uid="{00000000-0005-0000-0000-0000CFCC0000}"/>
    <cellStyle name="StrategyDependent 3 2 2" xfId="52238" xr:uid="{00000000-0005-0000-0000-0000D0CC0000}"/>
    <cellStyle name="StrategyDependent 3 3" xfId="52239" xr:uid="{00000000-0005-0000-0000-0000D1CC0000}"/>
    <cellStyle name="StrategyDependent 4" xfId="52240" xr:uid="{00000000-0005-0000-0000-0000D2CC0000}"/>
    <cellStyle name="StrategyDependent 4 2" xfId="52241" xr:uid="{00000000-0005-0000-0000-0000D3CC0000}"/>
    <cellStyle name="StrategyDependent 4 2 2" xfId="52242" xr:uid="{00000000-0005-0000-0000-0000D4CC0000}"/>
    <cellStyle name="StrategyDependent 4 3" xfId="52243" xr:uid="{00000000-0005-0000-0000-0000D5CC0000}"/>
    <cellStyle name="StrategyDependent 5" xfId="52244" xr:uid="{00000000-0005-0000-0000-0000D6CC0000}"/>
    <cellStyle name="Style 1" xfId="52245" xr:uid="{00000000-0005-0000-0000-0000D7CC0000}"/>
    <cellStyle name="Style 1 2" xfId="52246" xr:uid="{00000000-0005-0000-0000-0000D8CC0000}"/>
    <cellStyle name="Style 1 2 2" xfId="52247" xr:uid="{00000000-0005-0000-0000-0000D9CC0000}"/>
    <cellStyle name="Style 1 2 3" xfId="52248" xr:uid="{00000000-0005-0000-0000-0000DACC0000}"/>
    <cellStyle name="Style 1 2 3 2" xfId="52249" xr:uid="{00000000-0005-0000-0000-0000DBCC0000}"/>
    <cellStyle name="Style 1 2 3 2 2" xfId="52250" xr:uid="{00000000-0005-0000-0000-0000DCCC0000}"/>
    <cellStyle name="Style 1 2 3 3" xfId="52251" xr:uid="{00000000-0005-0000-0000-0000DDCC0000}"/>
    <cellStyle name="Style 1 2 4" xfId="52252" xr:uid="{00000000-0005-0000-0000-0000DECC0000}"/>
    <cellStyle name="Style 1 2 4 2" xfId="52253" xr:uid="{00000000-0005-0000-0000-0000DFCC0000}"/>
    <cellStyle name="Style 1 2 4 2 2" xfId="52254" xr:uid="{00000000-0005-0000-0000-0000E0CC0000}"/>
    <cellStyle name="Style 1 2 4 3" xfId="52255" xr:uid="{00000000-0005-0000-0000-0000E1CC0000}"/>
    <cellStyle name="Style 1 3" xfId="52256" xr:uid="{00000000-0005-0000-0000-0000E2CC0000}"/>
    <cellStyle name="Style 1 4" xfId="52257" xr:uid="{00000000-0005-0000-0000-0000E3CC0000}"/>
    <cellStyle name="Style 1 4 2" xfId="52258" xr:uid="{00000000-0005-0000-0000-0000E4CC0000}"/>
    <cellStyle name="Style 1 4 2 2" xfId="52259" xr:uid="{00000000-0005-0000-0000-0000E5CC0000}"/>
    <cellStyle name="Style 1 4 3" xfId="52260" xr:uid="{00000000-0005-0000-0000-0000E6CC0000}"/>
    <cellStyle name="Style 1 5" xfId="52261" xr:uid="{00000000-0005-0000-0000-0000E7CC0000}"/>
    <cellStyle name="Style 1 5 2" xfId="52262" xr:uid="{00000000-0005-0000-0000-0000E8CC0000}"/>
    <cellStyle name="Style 1 5 2 2" xfId="52263" xr:uid="{00000000-0005-0000-0000-0000E9CC0000}"/>
    <cellStyle name="Style 1 5 3" xfId="52264" xr:uid="{00000000-0005-0000-0000-0000EACC0000}"/>
    <cellStyle name="Subtotal" xfId="52265" xr:uid="{00000000-0005-0000-0000-0000EBCC0000}"/>
    <cellStyle name="Subtotal 2" xfId="52266" xr:uid="{00000000-0005-0000-0000-0000ECCC0000}"/>
    <cellStyle name="Subtotal 3" xfId="52267" xr:uid="{00000000-0005-0000-0000-0000EDCC0000}"/>
    <cellStyle name="Subtotal 3 2" xfId="52268" xr:uid="{00000000-0005-0000-0000-0000EECC0000}"/>
    <cellStyle name="Subtotal 3 2 2" xfId="52269" xr:uid="{00000000-0005-0000-0000-0000EFCC0000}"/>
    <cellStyle name="Subtotal 3 3" xfId="52270" xr:uid="{00000000-0005-0000-0000-0000F0CC0000}"/>
    <cellStyle name="Subtotal 4" xfId="52271" xr:uid="{00000000-0005-0000-0000-0000F1CC0000}"/>
    <cellStyle name="Subtotal 4 2" xfId="52272" xr:uid="{00000000-0005-0000-0000-0000F2CC0000}"/>
    <cellStyle name="Subtotal 4 2 2" xfId="52273" xr:uid="{00000000-0005-0000-0000-0000F3CC0000}"/>
    <cellStyle name="Subtotal 4 3" xfId="52274" xr:uid="{00000000-0005-0000-0000-0000F4CC0000}"/>
    <cellStyle name="Task" xfId="52275" xr:uid="{00000000-0005-0000-0000-0000F5CC0000}"/>
    <cellStyle name="Task 2" xfId="52276" xr:uid="{00000000-0005-0000-0000-0000F6CC0000}"/>
    <cellStyle name="Task 3" xfId="52277" xr:uid="{00000000-0005-0000-0000-0000F7CC0000}"/>
    <cellStyle name="Task 3 2" xfId="52278" xr:uid="{00000000-0005-0000-0000-0000F8CC0000}"/>
    <cellStyle name="Task 3 2 2" xfId="52279" xr:uid="{00000000-0005-0000-0000-0000F9CC0000}"/>
    <cellStyle name="Task 3 3" xfId="52280" xr:uid="{00000000-0005-0000-0000-0000FACC0000}"/>
    <cellStyle name="Task 4" xfId="52281" xr:uid="{00000000-0005-0000-0000-0000FBCC0000}"/>
    <cellStyle name="Task 4 2" xfId="52282" xr:uid="{00000000-0005-0000-0000-0000FCCC0000}"/>
    <cellStyle name="Task 4 2 2" xfId="52283" xr:uid="{00000000-0005-0000-0000-0000FDCC0000}"/>
    <cellStyle name="Task 4 3" xfId="52284" xr:uid="{00000000-0005-0000-0000-0000FECC0000}"/>
    <cellStyle name="Temp" xfId="52285" xr:uid="{00000000-0005-0000-0000-0000FFCC0000}"/>
    <cellStyle name="Temp 2" xfId="52286" xr:uid="{00000000-0005-0000-0000-000000CD0000}"/>
    <cellStyle name="Temp 2 2" xfId="52287" xr:uid="{00000000-0005-0000-0000-000001CD0000}"/>
    <cellStyle name="Temp 3" xfId="52288" xr:uid="{00000000-0005-0000-0000-000002CD0000}"/>
    <cellStyle name="Temp 3 2" xfId="52289" xr:uid="{00000000-0005-0000-0000-000003CD0000}"/>
    <cellStyle name="Temp 3 2 2" xfId="52290" xr:uid="{00000000-0005-0000-0000-000004CD0000}"/>
    <cellStyle name="Temp 3 3" xfId="52291" xr:uid="{00000000-0005-0000-0000-000005CD0000}"/>
    <cellStyle name="Temp 4" xfId="52292" xr:uid="{00000000-0005-0000-0000-000006CD0000}"/>
    <cellStyle name="Temp 4 2" xfId="52293" xr:uid="{00000000-0005-0000-0000-000007CD0000}"/>
    <cellStyle name="Temp 4 2 2" xfId="52294" xr:uid="{00000000-0005-0000-0000-000008CD0000}"/>
    <cellStyle name="Temp 4 3" xfId="52295" xr:uid="{00000000-0005-0000-0000-000009CD0000}"/>
    <cellStyle name="Temp 5" xfId="52296" xr:uid="{00000000-0005-0000-0000-00000ACD0000}"/>
    <cellStyle name="Title 2" xfId="52297" xr:uid="{00000000-0005-0000-0000-00000BCD0000}"/>
    <cellStyle name="Title 2 10" xfId="52298" xr:uid="{00000000-0005-0000-0000-00000CCD0000}"/>
    <cellStyle name="Title 2 10 2" xfId="52299" xr:uid="{00000000-0005-0000-0000-00000DCD0000}"/>
    <cellStyle name="Title 2 10 2 2" xfId="52300" xr:uid="{00000000-0005-0000-0000-00000ECD0000}"/>
    <cellStyle name="Title 2 10 3" xfId="52301" xr:uid="{00000000-0005-0000-0000-00000FCD0000}"/>
    <cellStyle name="Title 2 11" xfId="52302" xr:uid="{00000000-0005-0000-0000-000010CD0000}"/>
    <cellStyle name="Title 2 11 2" xfId="52303" xr:uid="{00000000-0005-0000-0000-000011CD0000}"/>
    <cellStyle name="Title 2 11 2 2" xfId="52304" xr:uid="{00000000-0005-0000-0000-000012CD0000}"/>
    <cellStyle name="Title 2 11 3" xfId="52305" xr:uid="{00000000-0005-0000-0000-000013CD0000}"/>
    <cellStyle name="Title 2 12" xfId="52306" xr:uid="{00000000-0005-0000-0000-000014CD0000}"/>
    <cellStyle name="Title 2 12 2" xfId="52307" xr:uid="{00000000-0005-0000-0000-000015CD0000}"/>
    <cellStyle name="Title 2 12 2 2" xfId="52308" xr:uid="{00000000-0005-0000-0000-000016CD0000}"/>
    <cellStyle name="Title 2 12 3" xfId="52309" xr:uid="{00000000-0005-0000-0000-000017CD0000}"/>
    <cellStyle name="Title 2 13" xfId="52310" xr:uid="{00000000-0005-0000-0000-000018CD0000}"/>
    <cellStyle name="Title 2 2" xfId="52311" xr:uid="{00000000-0005-0000-0000-000019CD0000}"/>
    <cellStyle name="Title 2 2 2" xfId="52312" xr:uid="{00000000-0005-0000-0000-00001ACD0000}"/>
    <cellStyle name="Title 2 2 2 2" xfId="52313" xr:uid="{00000000-0005-0000-0000-00001BCD0000}"/>
    <cellStyle name="Title 2 2 2 2 2" xfId="52314" xr:uid="{00000000-0005-0000-0000-00001CCD0000}"/>
    <cellStyle name="Title 2 2 2 3" xfId="52315" xr:uid="{00000000-0005-0000-0000-00001DCD0000}"/>
    <cellStyle name="Title 2 2 2 3 2" xfId="52316" xr:uid="{00000000-0005-0000-0000-00001ECD0000}"/>
    <cellStyle name="Title 2 2 2 3 2 2" xfId="52317" xr:uid="{00000000-0005-0000-0000-00001FCD0000}"/>
    <cellStyle name="Title 2 2 2 3 3" xfId="52318" xr:uid="{00000000-0005-0000-0000-000020CD0000}"/>
    <cellStyle name="Title 2 2 2 4" xfId="52319" xr:uid="{00000000-0005-0000-0000-000021CD0000}"/>
    <cellStyle name="Title 2 2 2 4 2" xfId="52320" xr:uid="{00000000-0005-0000-0000-000022CD0000}"/>
    <cellStyle name="Title 2 2 2 4 2 2" xfId="52321" xr:uid="{00000000-0005-0000-0000-000023CD0000}"/>
    <cellStyle name="Title 2 2 2 4 3" xfId="52322" xr:uid="{00000000-0005-0000-0000-000024CD0000}"/>
    <cellStyle name="Title 2 2 2 5" xfId="52323" xr:uid="{00000000-0005-0000-0000-000025CD0000}"/>
    <cellStyle name="Title 2 2 3" xfId="52324" xr:uid="{00000000-0005-0000-0000-000026CD0000}"/>
    <cellStyle name="Title 2 2 3 2" xfId="52325" xr:uid="{00000000-0005-0000-0000-000027CD0000}"/>
    <cellStyle name="Title 2 2 3 2 2" xfId="52326" xr:uid="{00000000-0005-0000-0000-000028CD0000}"/>
    <cellStyle name="Title 2 2 3 2 2 2" xfId="52327" xr:uid="{00000000-0005-0000-0000-000029CD0000}"/>
    <cellStyle name="Title 2 2 3 2 3" xfId="52328" xr:uid="{00000000-0005-0000-0000-00002ACD0000}"/>
    <cellStyle name="Title 2 2 3 2 3 2" xfId="52329" xr:uid="{00000000-0005-0000-0000-00002BCD0000}"/>
    <cellStyle name="Title 2 2 3 2 3 2 2" xfId="52330" xr:uid="{00000000-0005-0000-0000-00002CCD0000}"/>
    <cellStyle name="Title 2 2 3 2 3 3" xfId="52331" xr:uid="{00000000-0005-0000-0000-00002DCD0000}"/>
    <cellStyle name="Title 2 2 3 2 4" xfId="52332" xr:uid="{00000000-0005-0000-0000-00002ECD0000}"/>
    <cellStyle name="Title 2 2 3 3" xfId="52333" xr:uid="{00000000-0005-0000-0000-00002FCD0000}"/>
    <cellStyle name="Title 2 2 3 3 2" xfId="52334" xr:uid="{00000000-0005-0000-0000-000030CD0000}"/>
    <cellStyle name="Title 2 2 3 3 2 2" xfId="52335" xr:uid="{00000000-0005-0000-0000-000031CD0000}"/>
    <cellStyle name="Title 2 2 3 3 3" xfId="52336" xr:uid="{00000000-0005-0000-0000-000032CD0000}"/>
    <cellStyle name="Title 2 2 3 4" xfId="52337" xr:uid="{00000000-0005-0000-0000-000033CD0000}"/>
    <cellStyle name="Title 2 2 3 4 2" xfId="52338" xr:uid="{00000000-0005-0000-0000-000034CD0000}"/>
    <cellStyle name="Title 2 2 3 4 2 2" xfId="52339" xr:uid="{00000000-0005-0000-0000-000035CD0000}"/>
    <cellStyle name="Title 2 2 3 4 3" xfId="52340" xr:uid="{00000000-0005-0000-0000-000036CD0000}"/>
    <cellStyle name="Title 2 2 3 5" xfId="52341" xr:uid="{00000000-0005-0000-0000-000037CD0000}"/>
    <cellStyle name="Title 2 2 3 5 2" xfId="52342" xr:uid="{00000000-0005-0000-0000-000038CD0000}"/>
    <cellStyle name="Title 2 2 3 5 2 2" xfId="52343" xr:uid="{00000000-0005-0000-0000-000039CD0000}"/>
    <cellStyle name="Title 2 2 3 5 3" xfId="52344" xr:uid="{00000000-0005-0000-0000-00003ACD0000}"/>
    <cellStyle name="Title 2 2 3 6" xfId="52345" xr:uid="{00000000-0005-0000-0000-00003BCD0000}"/>
    <cellStyle name="Title 2 2 4" xfId="52346" xr:uid="{00000000-0005-0000-0000-00003CCD0000}"/>
    <cellStyle name="Title 2 2 4 2" xfId="52347" xr:uid="{00000000-0005-0000-0000-00003DCD0000}"/>
    <cellStyle name="Title 2 2 4 2 2" xfId="52348" xr:uid="{00000000-0005-0000-0000-00003ECD0000}"/>
    <cellStyle name="Title 2 2 4 3" xfId="52349" xr:uid="{00000000-0005-0000-0000-00003FCD0000}"/>
    <cellStyle name="Title 2 2 5" xfId="52350" xr:uid="{00000000-0005-0000-0000-000040CD0000}"/>
    <cellStyle name="Title 2 2 5 2" xfId="52351" xr:uid="{00000000-0005-0000-0000-000041CD0000}"/>
    <cellStyle name="Title 2 2 5 2 2" xfId="52352" xr:uid="{00000000-0005-0000-0000-000042CD0000}"/>
    <cellStyle name="Title 2 2 5 3" xfId="52353" xr:uid="{00000000-0005-0000-0000-000043CD0000}"/>
    <cellStyle name="Title 2 2 6" xfId="52354" xr:uid="{00000000-0005-0000-0000-000044CD0000}"/>
    <cellStyle name="Title 2 2 6 2" xfId="52355" xr:uid="{00000000-0005-0000-0000-000045CD0000}"/>
    <cellStyle name="Title 2 2 6 2 2" xfId="52356" xr:uid="{00000000-0005-0000-0000-000046CD0000}"/>
    <cellStyle name="Title 2 2 6 3" xfId="52357" xr:uid="{00000000-0005-0000-0000-000047CD0000}"/>
    <cellStyle name="Title 2 2 7" xfId="52358" xr:uid="{00000000-0005-0000-0000-000048CD0000}"/>
    <cellStyle name="Title 2 3" xfId="52359" xr:uid="{00000000-0005-0000-0000-000049CD0000}"/>
    <cellStyle name="Title 2 3 2" xfId="52360" xr:uid="{00000000-0005-0000-0000-00004ACD0000}"/>
    <cellStyle name="Title 2 3 2 2" xfId="52361" xr:uid="{00000000-0005-0000-0000-00004BCD0000}"/>
    <cellStyle name="Title 2 3 2 2 2" xfId="52362" xr:uid="{00000000-0005-0000-0000-00004CCD0000}"/>
    <cellStyle name="Title 2 3 2 3" xfId="52363" xr:uid="{00000000-0005-0000-0000-00004DCD0000}"/>
    <cellStyle name="Title 2 3 2 3 2" xfId="52364" xr:uid="{00000000-0005-0000-0000-00004ECD0000}"/>
    <cellStyle name="Title 2 3 2 3 2 2" xfId="52365" xr:uid="{00000000-0005-0000-0000-00004FCD0000}"/>
    <cellStyle name="Title 2 3 2 3 3" xfId="52366" xr:uid="{00000000-0005-0000-0000-000050CD0000}"/>
    <cellStyle name="Title 2 3 2 4" xfId="52367" xr:uid="{00000000-0005-0000-0000-000051CD0000}"/>
    <cellStyle name="Title 2 3 2 4 2" xfId="52368" xr:uid="{00000000-0005-0000-0000-000052CD0000}"/>
    <cellStyle name="Title 2 3 2 4 2 2" xfId="52369" xr:uid="{00000000-0005-0000-0000-000053CD0000}"/>
    <cellStyle name="Title 2 3 2 4 3" xfId="52370" xr:uid="{00000000-0005-0000-0000-000054CD0000}"/>
    <cellStyle name="Title 2 3 2 5" xfId="52371" xr:uid="{00000000-0005-0000-0000-000055CD0000}"/>
    <cellStyle name="Title 2 3 3" xfId="52372" xr:uid="{00000000-0005-0000-0000-000056CD0000}"/>
    <cellStyle name="Title 2 3 3 2" xfId="52373" xr:uid="{00000000-0005-0000-0000-000057CD0000}"/>
    <cellStyle name="Title 2 3 3 2 2" xfId="52374" xr:uid="{00000000-0005-0000-0000-000058CD0000}"/>
    <cellStyle name="Title 2 3 3 2 2 2" xfId="52375" xr:uid="{00000000-0005-0000-0000-000059CD0000}"/>
    <cellStyle name="Title 2 3 3 2 3" xfId="52376" xr:uid="{00000000-0005-0000-0000-00005ACD0000}"/>
    <cellStyle name="Title 2 3 3 2 3 2" xfId="52377" xr:uid="{00000000-0005-0000-0000-00005BCD0000}"/>
    <cellStyle name="Title 2 3 3 2 3 2 2" xfId="52378" xr:uid="{00000000-0005-0000-0000-00005CCD0000}"/>
    <cellStyle name="Title 2 3 3 2 3 3" xfId="52379" xr:uid="{00000000-0005-0000-0000-00005DCD0000}"/>
    <cellStyle name="Title 2 3 3 2 4" xfId="52380" xr:uid="{00000000-0005-0000-0000-00005ECD0000}"/>
    <cellStyle name="Title 2 3 3 3" xfId="52381" xr:uid="{00000000-0005-0000-0000-00005FCD0000}"/>
    <cellStyle name="Title 2 3 3 3 2" xfId="52382" xr:uid="{00000000-0005-0000-0000-000060CD0000}"/>
    <cellStyle name="Title 2 3 3 3 2 2" xfId="52383" xr:uid="{00000000-0005-0000-0000-000061CD0000}"/>
    <cellStyle name="Title 2 3 3 3 3" xfId="52384" xr:uid="{00000000-0005-0000-0000-000062CD0000}"/>
    <cellStyle name="Title 2 3 3 4" xfId="52385" xr:uid="{00000000-0005-0000-0000-000063CD0000}"/>
    <cellStyle name="Title 2 3 3 4 2" xfId="52386" xr:uid="{00000000-0005-0000-0000-000064CD0000}"/>
    <cellStyle name="Title 2 3 3 4 2 2" xfId="52387" xr:uid="{00000000-0005-0000-0000-000065CD0000}"/>
    <cellStyle name="Title 2 3 3 4 3" xfId="52388" xr:uid="{00000000-0005-0000-0000-000066CD0000}"/>
    <cellStyle name="Title 2 3 3 5" xfId="52389" xr:uid="{00000000-0005-0000-0000-000067CD0000}"/>
    <cellStyle name="Title 2 3 3 5 2" xfId="52390" xr:uid="{00000000-0005-0000-0000-000068CD0000}"/>
    <cellStyle name="Title 2 3 3 5 2 2" xfId="52391" xr:uid="{00000000-0005-0000-0000-000069CD0000}"/>
    <cellStyle name="Title 2 3 3 5 3" xfId="52392" xr:uid="{00000000-0005-0000-0000-00006ACD0000}"/>
    <cellStyle name="Title 2 3 3 6" xfId="52393" xr:uid="{00000000-0005-0000-0000-00006BCD0000}"/>
    <cellStyle name="Title 2 3 4" xfId="52394" xr:uid="{00000000-0005-0000-0000-00006CCD0000}"/>
    <cellStyle name="Title 2 3 4 2" xfId="52395" xr:uid="{00000000-0005-0000-0000-00006DCD0000}"/>
    <cellStyle name="Title 2 3 4 2 2" xfId="52396" xr:uid="{00000000-0005-0000-0000-00006ECD0000}"/>
    <cellStyle name="Title 2 3 4 3" xfId="52397" xr:uid="{00000000-0005-0000-0000-00006FCD0000}"/>
    <cellStyle name="Title 2 3 5" xfId="52398" xr:uid="{00000000-0005-0000-0000-000070CD0000}"/>
    <cellStyle name="Title 2 3 5 2" xfId="52399" xr:uid="{00000000-0005-0000-0000-000071CD0000}"/>
    <cellStyle name="Title 2 3 5 2 2" xfId="52400" xr:uid="{00000000-0005-0000-0000-000072CD0000}"/>
    <cellStyle name="Title 2 3 5 3" xfId="52401" xr:uid="{00000000-0005-0000-0000-000073CD0000}"/>
    <cellStyle name="Title 2 3 6" xfId="52402" xr:uid="{00000000-0005-0000-0000-000074CD0000}"/>
    <cellStyle name="Title 2 3 6 2" xfId="52403" xr:uid="{00000000-0005-0000-0000-000075CD0000}"/>
    <cellStyle name="Title 2 3 6 2 2" xfId="52404" xr:uid="{00000000-0005-0000-0000-000076CD0000}"/>
    <cellStyle name="Title 2 3 6 3" xfId="52405" xr:uid="{00000000-0005-0000-0000-000077CD0000}"/>
    <cellStyle name="Title 2 3 7" xfId="52406" xr:uid="{00000000-0005-0000-0000-000078CD0000}"/>
    <cellStyle name="Title 2 4" xfId="52407" xr:uid="{00000000-0005-0000-0000-000079CD0000}"/>
    <cellStyle name="Title 2 4 2" xfId="52408" xr:uid="{00000000-0005-0000-0000-00007ACD0000}"/>
    <cellStyle name="Title 2 4 2 2" xfId="52409" xr:uid="{00000000-0005-0000-0000-00007BCD0000}"/>
    <cellStyle name="Title 2 4 2 2 2" xfId="52410" xr:uid="{00000000-0005-0000-0000-00007CCD0000}"/>
    <cellStyle name="Title 2 4 2 3" xfId="52411" xr:uid="{00000000-0005-0000-0000-00007DCD0000}"/>
    <cellStyle name="Title 2 4 2 3 2" xfId="52412" xr:uid="{00000000-0005-0000-0000-00007ECD0000}"/>
    <cellStyle name="Title 2 4 2 3 2 2" xfId="52413" xr:uid="{00000000-0005-0000-0000-00007FCD0000}"/>
    <cellStyle name="Title 2 4 2 3 3" xfId="52414" xr:uid="{00000000-0005-0000-0000-000080CD0000}"/>
    <cellStyle name="Title 2 4 2 4" xfId="52415" xr:uid="{00000000-0005-0000-0000-000081CD0000}"/>
    <cellStyle name="Title 2 4 2 4 2" xfId="52416" xr:uid="{00000000-0005-0000-0000-000082CD0000}"/>
    <cellStyle name="Title 2 4 2 4 2 2" xfId="52417" xr:uid="{00000000-0005-0000-0000-000083CD0000}"/>
    <cellStyle name="Title 2 4 2 4 3" xfId="52418" xr:uid="{00000000-0005-0000-0000-000084CD0000}"/>
    <cellStyle name="Title 2 4 2 5" xfId="52419" xr:uid="{00000000-0005-0000-0000-000085CD0000}"/>
    <cellStyle name="Title 2 4 3" xfId="52420" xr:uid="{00000000-0005-0000-0000-000086CD0000}"/>
    <cellStyle name="Title 2 4 3 2" xfId="52421" xr:uid="{00000000-0005-0000-0000-000087CD0000}"/>
    <cellStyle name="Title 2 4 3 2 2" xfId="52422" xr:uid="{00000000-0005-0000-0000-000088CD0000}"/>
    <cellStyle name="Title 2 4 3 3" xfId="52423" xr:uid="{00000000-0005-0000-0000-000089CD0000}"/>
    <cellStyle name="Title 2 4 4" xfId="52424" xr:uid="{00000000-0005-0000-0000-00008ACD0000}"/>
    <cellStyle name="Title 2 4 4 2" xfId="52425" xr:uid="{00000000-0005-0000-0000-00008BCD0000}"/>
    <cellStyle name="Title 2 4 4 2 2" xfId="52426" xr:uid="{00000000-0005-0000-0000-00008CCD0000}"/>
    <cellStyle name="Title 2 4 4 3" xfId="52427" xr:uid="{00000000-0005-0000-0000-00008DCD0000}"/>
    <cellStyle name="Title 2 4 5" xfId="52428" xr:uid="{00000000-0005-0000-0000-00008ECD0000}"/>
    <cellStyle name="Title 2 4 5 2" xfId="52429" xr:uid="{00000000-0005-0000-0000-00008FCD0000}"/>
    <cellStyle name="Title 2 4 5 2 2" xfId="52430" xr:uid="{00000000-0005-0000-0000-000090CD0000}"/>
    <cellStyle name="Title 2 4 5 3" xfId="52431" xr:uid="{00000000-0005-0000-0000-000091CD0000}"/>
    <cellStyle name="Title 2 4 6" xfId="52432" xr:uid="{00000000-0005-0000-0000-000092CD0000}"/>
    <cellStyle name="Title 2 5" xfId="52433" xr:uid="{00000000-0005-0000-0000-000093CD0000}"/>
    <cellStyle name="Title 2 5 2" xfId="52434" xr:uid="{00000000-0005-0000-0000-000094CD0000}"/>
    <cellStyle name="Title 2 5 2 2" xfId="52435" xr:uid="{00000000-0005-0000-0000-000095CD0000}"/>
    <cellStyle name="Title 2 5 2 2 2" xfId="52436" xr:uid="{00000000-0005-0000-0000-000096CD0000}"/>
    <cellStyle name="Title 2 5 2 3" xfId="52437" xr:uid="{00000000-0005-0000-0000-000097CD0000}"/>
    <cellStyle name="Title 2 5 2 3 2" xfId="52438" xr:uid="{00000000-0005-0000-0000-000098CD0000}"/>
    <cellStyle name="Title 2 5 2 3 2 2" xfId="52439" xr:uid="{00000000-0005-0000-0000-000099CD0000}"/>
    <cellStyle name="Title 2 5 2 3 3" xfId="52440" xr:uid="{00000000-0005-0000-0000-00009ACD0000}"/>
    <cellStyle name="Title 2 5 2 4" xfId="52441" xr:uid="{00000000-0005-0000-0000-00009BCD0000}"/>
    <cellStyle name="Title 2 5 2 4 2" xfId="52442" xr:uid="{00000000-0005-0000-0000-00009CCD0000}"/>
    <cellStyle name="Title 2 5 2 4 2 2" xfId="52443" xr:uid="{00000000-0005-0000-0000-00009DCD0000}"/>
    <cellStyle name="Title 2 5 2 4 3" xfId="52444" xr:uid="{00000000-0005-0000-0000-00009ECD0000}"/>
    <cellStyle name="Title 2 5 2 5" xfId="52445" xr:uid="{00000000-0005-0000-0000-00009FCD0000}"/>
    <cellStyle name="Title 2 5 3" xfId="52446" xr:uid="{00000000-0005-0000-0000-0000A0CD0000}"/>
    <cellStyle name="Title 2 5 3 2" xfId="52447" xr:uid="{00000000-0005-0000-0000-0000A1CD0000}"/>
    <cellStyle name="Title 2 5 3 2 2" xfId="52448" xr:uid="{00000000-0005-0000-0000-0000A2CD0000}"/>
    <cellStyle name="Title 2 5 3 2 2 2" xfId="52449" xr:uid="{00000000-0005-0000-0000-0000A3CD0000}"/>
    <cellStyle name="Title 2 5 3 2 3" xfId="52450" xr:uid="{00000000-0005-0000-0000-0000A4CD0000}"/>
    <cellStyle name="Title 2 5 3 2 3 2" xfId="52451" xr:uid="{00000000-0005-0000-0000-0000A5CD0000}"/>
    <cellStyle name="Title 2 5 3 2 3 2 2" xfId="52452" xr:uid="{00000000-0005-0000-0000-0000A6CD0000}"/>
    <cellStyle name="Title 2 5 3 2 3 3" xfId="52453" xr:uid="{00000000-0005-0000-0000-0000A7CD0000}"/>
    <cellStyle name="Title 2 5 3 2 4" xfId="52454" xr:uid="{00000000-0005-0000-0000-0000A8CD0000}"/>
    <cellStyle name="Title 2 5 3 3" xfId="52455" xr:uid="{00000000-0005-0000-0000-0000A9CD0000}"/>
    <cellStyle name="Title 2 5 3 3 2" xfId="52456" xr:uid="{00000000-0005-0000-0000-0000AACD0000}"/>
    <cellStyle name="Title 2 5 3 3 2 2" xfId="52457" xr:uid="{00000000-0005-0000-0000-0000ABCD0000}"/>
    <cellStyle name="Title 2 5 3 3 3" xfId="52458" xr:uid="{00000000-0005-0000-0000-0000ACCD0000}"/>
    <cellStyle name="Title 2 5 3 4" xfId="52459" xr:uid="{00000000-0005-0000-0000-0000ADCD0000}"/>
    <cellStyle name="Title 2 5 3 4 2" xfId="52460" xr:uid="{00000000-0005-0000-0000-0000AECD0000}"/>
    <cellStyle name="Title 2 5 3 4 2 2" xfId="52461" xr:uid="{00000000-0005-0000-0000-0000AFCD0000}"/>
    <cellStyle name="Title 2 5 3 4 3" xfId="52462" xr:uid="{00000000-0005-0000-0000-0000B0CD0000}"/>
    <cellStyle name="Title 2 5 3 5" xfId="52463" xr:uid="{00000000-0005-0000-0000-0000B1CD0000}"/>
    <cellStyle name="Title 2 5 3 5 2" xfId="52464" xr:uid="{00000000-0005-0000-0000-0000B2CD0000}"/>
    <cellStyle name="Title 2 5 3 5 2 2" xfId="52465" xr:uid="{00000000-0005-0000-0000-0000B3CD0000}"/>
    <cellStyle name="Title 2 5 3 5 3" xfId="52466" xr:uid="{00000000-0005-0000-0000-0000B4CD0000}"/>
    <cellStyle name="Title 2 5 3 6" xfId="52467" xr:uid="{00000000-0005-0000-0000-0000B5CD0000}"/>
    <cellStyle name="Title 2 5 4" xfId="52468" xr:uid="{00000000-0005-0000-0000-0000B6CD0000}"/>
    <cellStyle name="Title 2 5 4 2" xfId="52469" xr:uid="{00000000-0005-0000-0000-0000B7CD0000}"/>
    <cellStyle name="Title 2 5 4 2 2" xfId="52470" xr:uid="{00000000-0005-0000-0000-0000B8CD0000}"/>
    <cellStyle name="Title 2 5 4 3" xfId="52471" xr:uid="{00000000-0005-0000-0000-0000B9CD0000}"/>
    <cellStyle name="Title 2 5 5" xfId="52472" xr:uid="{00000000-0005-0000-0000-0000BACD0000}"/>
    <cellStyle name="Title 2 5 5 2" xfId="52473" xr:uid="{00000000-0005-0000-0000-0000BBCD0000}"/>
    <cellStyle name="Title 2 5 5 2 2" xfId="52474" xr:uid="{00000000-0005-0000-0000-0000BCCD0000}"/>
    <cellStyle name="Title 2 5 5 3" xfId="52475" xr:uid="{00000000-0005-0000-0000-0000BDCD0000}"/>
    <cellStyle name="Title 2 5 6" xfId="52476" xr:uid="{00000000-0005-0000-0000-0000BECD0000}"/>
    <cellStyle name="Title 2 5 6 2" xfId="52477" xr:uid="{00000000-0005-0000-0000-0000BFCD0000}"/>
    <cellStyle name="Title 2 5 6 2 2" xfId="52478" xr:uid="{00000000-0005-0000-0000-0000C0CD0000}"/>
    <cellStyle name="Title 2 5 6 3" xfId="52479" xr:uid="{00000000-0005-0000-0000-0000C1CD0000}"/>
    <cellStyle name="Title 2 5 7" xfId="52480" xr:uid="{00000000-0005-0000-0000-0000C2CD0000}"/>
    <cellStyle name="Title 2 6" xfId="52481" xr:uid="{00000000-0005-0000-0000-0000C3CD0000}"/>
    <cellStyle name="Title 2 6 2" xfId="52482" xr:uid="{00000000-0005-0000-0000-0000C4CD0000}"/>
    <cellStyle name="Title 2 6 2 2" xfId="52483" xr:uid="{00000000-0005-0000-0000-0000C5CD0000}"/>
    <cellStyle name="Title 2 6 3" xfId="52484" xr:uid="{00000000-0005-0000-0000-0000C6CD0000}"/>
    <cellStyle name="Title 2 6 3 2" xfId="52485" xr:uid="{00000000-0005-0000-0000-0000C7CD0000}"/>
    <cellStyle name="Title 2 6 3 2 2" xfId="52486" xr:uid="{00000000-0005-0000-0000-0000C8CD0000}"/>
    <cellStyle name="Title 2 6 3 3" xfId="52487" xr:uid="{00000000-0005-0000-0000-0000C9CD0000}"/>
    <cellStyle name="Title 2 6 4" xfId="52488" xr:uid="{00000000-0005-0000-0000-0000CACD0000}"/>
    <cellStyle name="Title 2 6 4 2" xfId="52489" xr:uid="{00000000-0005-0000-0000-0000CBCD0000}"/>
    <cellStyle name="Title 2 6 4 2 2" xfId="52490" xr:uid="{00000000-0005-0000-0000-0000CCCD0000}"/>
    <cellStyle name="Title 2 6 4 3" xfId="52491" xr:uid="{00000000-0005-0000-0000-0000CDCD0000}"/>
    <cellStyle name="Title 2 6 5" xfId="52492" xr:uid="{00000000-0005-0000-0000-0000CECD0000}"/>
    <cellStyle name="Title 2 7" xfId="52493" xr:uid="{00000000-0005-0000-0000-0000CFCD0000}"/>
    <cellStyle name="Title 2 7 2" xfId="52494" xr:uid="{00000000-0005-0000-0000-0000D0CD0000}"/>
    <cellStyle name="Title 2 7 2 2" xfId="52495" xr:uid="{00000000-0005-0000-0000-0000D1CD0000}"/>
    <cellStyle name="Title 2 7 3" xfId="52496" xr:uid="{00000000-0005-0000-0000-0000D2CD0000}"/>
    <cellStyle name="Title 2 7 3 2" xfId="52497" xr:uid="{00000000-0005-0000-0000-0000D3CD0000}"/>
    <cellStyle name="Title 2 7 3 2 2" xfId="52498" xr:uid="{00000000-0005-0000-0000-0000D4CD0000}"/>
    <cellStyle name="Title 2 7 3 3" xfId="52499" xr:uid="{00000000-0005-0000-0000-0000D5CD0000}"/>
    <cellStyle name="Title 2 7 4" xfId="52500" xr:uid="{00000000-0005-0000-0000-0000D6CD0000}"/>
    <cellStyle name="Title 2 7 4 2" xfId="52501" xr:uid="{00000000-0005-0000-0000-0000D7CD0000}"/>
    <cellStyle name="Title 2 7 4 2 2" xfId="52502" xr:uid="{00000000-0005-0000-0000-0000D8CD0000}"/>
    <cellStyle name="Title 2 7 4 3" xfId="52503" xr:uid="{00000000-0005-0000-0000-0000D9CD0000}"/>
    <cellStyle name="Title 2 7 5" xfId="52504" xr:uid="{00000000-0005-0000-0000-0000DACD0000}"/>
    <cellStyle name="Title 2 8" xfId="52505" xr:uid="{00000000-0005-0000-0000-0000DBCD0000}"/>
    <cellStyle name="Title 2 8 2" xfId="52506" xr:uid="{00000000-0005-0000-0000-0000DCCD0000}"/>
    <cellStyle name="Title 2 8 2 2" xfId="52507" xr:uid="{00000000-0005-0000-0000-0000DDCD0000}"/>
    <cellStyle name="Title 2 8 2 2 2" xfId="52508" xr:uid="{00000000-0005-0000-0000-0000DECD0000}"/>
    <cellStyle name="Title 2 8 2 3" xfId="52509" xr:uid="{00000000-0005-0000-0000-0000DFCD0000}"/>
    <cellStyle name="Title 2 8 2 3 2" xfId="52510" xr:uid="{00000000-0005-0000-0000-0000E0CD0000}"/>
    <cellStyle name="Title 2 8 2 3 2 2" xfId="52511" xr:uid="{00000000-0005-0000-0000-0000E1CD0000}"/>
    <cellStyle name="Title 2 8 2 3 3" xfId="52512" xr:uid="{00000000-0005-0000-0000-0000E2CD0000}"/>
    <cellStyle name="Title 2 8 2 4" xfId="52513" xr:uid="{00000000-0005-0000-0000-0000E3CD0000}"/>
    <cellStyle name="Title 2 8 3" xfId="52514" xr:uid="{00000000-0005-0000-0000-0000E4CD0000}"/>
    <cellStyle name="Title 2 8 3 2" xfId="52515" xr:uid="{00000000-0005-0000-0000-0000E5CD0000}"/>
    <cellStyle name="Title 2 8 3 2 2" xfId="52516" xr:uid="{00000000-0005-0000-0000-0000E6CD0000}"/>
    <cellStyle name="Title 2 8 3 3" xfId="52517" xr:uid="{00000000-0005-0000-0000-0000E7CD0000}"/>
    <cellStyle name="Title 2 8 4" xfId="52518" xr:uid="{00000000-0005-0000-0000-0000E8CD0000}"/>
    <cellStyle name="Title 2 8 4 2" xfId="52519" xr:uid="{00000000-0005-0000-0000-0000E9CD0000}"/>
    <cellStyle name="Title 2 8 4 2 2" xfId="52520" xr:uid="{00000000-0005-0000-0000-0000EACD0000}"/>
    <cellStyle name="Title 2 8 4 3" xfId="52521" xr:uid="{00000000-0005-0000-0000-0000EBCD0000}"/>
    <cellStyle name="Title 2 8 5" xfId="52522" xr:uid="{00000000-0005-0000-0000-0000ECCD0000}"/>
    <cellStyle name="Title 2 8 5 2" xfId="52523" xr:uid="{00000000-0005-0000-0000-0000EDCD0000}"/>
    <cellStyle name="Title 2 8 5 2 2" xfId="52524" xr:uid="{00000000-0005-0000-0000-0000EECD0000}"/>
    <cellStyle name="Title 2 8 5 3" xfId="52525" xr:uid="{00000000-0005-0000-0000-0000EFCD0000}"/>
    <cellStyle name="Title 2 8 6" xfId="52526" xr:uid="{00000000-0005-0000-0000-0000F0CD0000}"/>
    <cellStyle name="Title 2 9" xfId="52527" xr:uid="{00000000-0005-0000-0000-0000F1CD0000}"/>
    <cellStyle name="Title 2 9 2" xfId="52528" xr:uid="{00000000-0005-0000-0000-0000F2CD0000}"/>
    <cellStyle name="Title 2 9 2 2" xfId="52529" xr:uid="{00000000-0005-0000-0000-0000F3CD0000}"/>
    <cellStyle name="Title 2 9 3" xfId="52530" xr:uid="{00000000-0005-0000-0000-0000F4CD0000}"/>
    <cellStyle name="Title 3" xfId="52531" xr:uid="{00000000-0005-0000-0000-0000F5CD0000}"/>
    <cellStyle name="Title 3 2" xfId="52532" xr:uid="{00000000-0005-0000-0000-0000F6CD0000}"/>
    <cellStyle name="Title 3 2 2" xfId="52533" xr:uid="{00000000-0005-0000-0000-0000F7CD0000}"/>
    <cellStyle name="Title 3 2 2 2" xfId="52534" xr:uid="{00000000-0005-0000-0000-0000F8CD0000}"/>
    <cellStyle name="Title 3 2 3" xfId="52535" xr:uid="{00000000-0005-0000-0000-0000F9CD0000}"/>
    <cellStyle name="Title 3 2 3 2" xfId="52536" xr:uid="{00000000-0005-0000-0000-0000FACD0000}"/>
    <cellStyle name="Title 3 2 3 2 2" xfId="52537" xr:uid="{00000000-0005-0000-0000-0000FBCD0000}"/>
    <cellStyle name="Title 3 2 3 3" xfId="52538" xr:uid="{00000000-0005-0000-0000-0000FCCD0000}"/>
    <cellStyle name="Title 3 2 4" xfId="52539" xr:uid="{00000000-0005-0000-0000-0000FDCD0000}"/>
    <cellStyle name="Title 3 2 4 2" xfId="52540" xr:uid="{00000000-0005-0000-0000-0000FECD0000}"/>
    <cellStyle name="Title 3 2 4 2 2" xfId="52541" xr:uid="{00000000-0005-0000-0000-0000FFCD0000}"/>
    <cellStyle name="Title 3 2 4 3" xfId="52542" xr:uid="{00000000-0005-0000-0000-000000CE0000}"/>
    <cellStyle name="Title 3 2 5" xfId="52543" xr:uid="{00000000-0005-0000-0000-000001CE0000}"/>
    <cellStyle name="Title 3 3" xfId="52544" xr:uid="{00000000-0005-0000-0000-000002CE0000}"/>
    <cellStyle name="Title 3 3 2" xfId="52545" xr:uid="{00000000-0005-0000-0000-000003CE0000}"/>
    <cellStyle name="Title 3 3 2 2" xfId="52546" xr:uid="{00000000-0005-0000-0000-000004CE0000}"/>
    <cellStyle name="Title 3 3 3" xfId="52547" xr:uid="{00000000-0005-0000-0000-000005CE0000}"/>
    <cellStyle name="Title 3 3 3 2" xfId="52548" xr:uid="{00000000-0005-0000-0000-000006CE0000}"/>
    <cellStyle name="Title 3 3 3 2 2" xfId="52549" xr:uid="{00000000-0005-0000-0000-000007CE0000}"/>
    <cellStyle name="Title 3 3 3 3" xfId="52550" xr:uid="{00000000-0005-0000-0000-000008CE0000}"/>
    <cellStyle name="Title 3 3 4" xfId="52551" xr:uid="{00000000-0005-0000-0000-000009CE0000}"/>
    <cellStyle name="Title 3 3 4 2" xfId="52552" xr:uid="{00000000-0005-0000-0000-00000ACE0000}"/>
    <cellStyle name="Title 3 3 4 2 2" xfId="52553" xr:uid="{00000000-0005-0000-0000-00000BCE0000}"/>
    <cellStyle name="Title 3 3 4 3" xfId="52554" xr:uid="{00000000-0005-0000-0000-00000CCE0000}"/>
    <cellStyle name="Title 3 3 5" xfId="52555" xr:uid="{00000000-0005-0000-0000-00000DCE0000}"/>
    <cellStyle name="Title 3 4" xfId="52556" xr:uid="{00000000-0005-0000-0000-00000ECE0000}"/>
    <cellStyle name="Title 3 4 2" xfId="52557" xr:uid="{00000000-0005-0000-0000-00000FCE0000}"/>
    <cellStyle name="Title 3 4 2 2" xfId="52558" xr:uid="{00000000-0005-0000-0000-000010CE0000}"/>
    <cellStyle name="Title 3 4 2 2 2" xfId="52559" xr:uid="{00000000-0005-0000-0000-000011CE0000}"/>
    <cellStyle name="Title 3 4 2 3" xfId="52560" xr:uid="{00000000-0005-0000-0000-000012CE0000}"/>
    <cellStyle name="Title 3 4 2 3 2" xfId="52561" xr:uid="{00000000-0005-0000-0000-000013CE0000}"/>
    <cellStyle name="Title 3 4 2 3 2 2" xfId="52562" xr:uid="{00000000-0005-0000-0000-000014CE0000}"/>
    <cellStyle name="Title 3 4 2 3 3" xfId="52563" xr:uid="{00000000-0005-0000-0000-000015CE0000}"/>
    <cellStyle name="Title 3 4 2 4" xfId="52564" xr:uid="{00000000-0005-0000-0000-000016CE0000}"/>
    <cellStyle name="Title 3 4 3" xfId="52565" xr:uid="{00000000-0005-0000-0000-000017CE0000}"/>
    <cellStyle name="Title 3 4 3 2" xfId="52566" xr:uid="{00000000-0005-0000-0000-000018CE0000}"/>
    <cellStyle name="Title 3 4 3 2 2" xfId="52567" xr:uid="{00000000-0005-0000-0000-000019CE0000}"/>
    <cellStyle name="Title 3 4 3 3" xfId="52568" xr:uid="{00000000-0005-0000-0000-00001ACE0000}"/>
    <cellStyle name="Title 3 4 4" xfId="52569" xr:uid="{00000000-0005-0000-0000-00001BCE0000}"/>
    <cellStyle name="Title 3 4 4 2" xfId="52570" xr:uid="{00000000-0005-0000-0000-00001CCE0000}"/>
    <cellStyle name="Title 3 4 4 2 2" xfId="52571" xr:uid="{00000000-0005-0000-0000-00001DCE0000}"/>
    <cellStyle name="Title 3 4 4 3" xfId="52572" xr:uid="{00000000-0005-0000-0000-00001ECE0000}"/>
    <cellStyle name="Title 3 4 5" xfId="52573" xr:uid="{00000000-0005-0000-0000-00001FCE0000}"/>
    <cellStyle name="Title 3 4 5 2" xfId="52574" xr:uid="{00000000-0005-0000-0000-000020CE0000}"/>
    <cellStyle name="Title 3 4 5 2 2" xfId="52575" xr:uid="{00000000-0005-0000-0000-000021CE0000}"/>
    <cellStyle name="Title 3 4 5 3" xfId="52576" xr:uid="{00000000-0005-0000-0000-000022CE0000}"/>
    <cellStyle name="Title 3 4 6" xfId="52577" xr:uid="{00000000-0005-0000-0000-000023CE0000}"/>
    <cellStyle name="Title 3 5" xfId="52578" xr:uid="{00000000-0005-0000-0000-000024CE0000}"/>
    <cellStyle name="Title 3 5 2" xfId="52579" xr:uid="{00000000-0005-0000-0000-000025CE0000}"/>
    <cellStyle name="Title 3 5 2 2" xfId="52580" xr:uid="{00000000-0005-0000-0000-000026CE0000}"/>
    <cellStyle name="Title 3 5 3" xfId="52581" xr:uid="{00000000-0005-0000-0000-000027CE0000}"/>
    <cellStyle name="Title 3 6" xfId="52582" xr:uid="{00000000-0005-0000-0000-000028CE0000}"/>
    <cellStyle name="Title 3 6 2" xfId="52583" xr:uid="{00000000-0005-0000-0000-000029CE0000}"/>
    <cellStyle name="Title 3 6 2 2" xfId="52584" xr:uid="{00000000-0005-0000-0000-00002ACE0000}"/>
    <cellStyle name="Title 3 6 3" xfId="52585" xr:uid="{00000000-0005-0000-0000-00002BCE0000}"/>
    <cellStyle name="Title 3 7" xfId="52586" xr:uid="{00000000-0005-0000-0000-00002CCE0000}"/>
    <cellStyle name="Title 3 7 2" xfId="52587" xr:uid="{00000000-0005-0000-0000-00002DCE0000}"/>
    <cellStyle name="Title 3 7 2 2" xfId="52588" xr:uid="{00000000-0005-0000-0000-00002ECE0000}"/>
    <cellStyle name="Title 3 7 3" xfId="52589" xr:uid="{00000000-0005-0000-0000-00002FCE0000}"/>
    <cellStyle name="Title 3 8" xfId="52590" xr:uid="{00000000-0005-0000-0000-000030CE0000}"/>
    <cellStyle name="Title 4" xfId="52591" xr:uid="{00000000-0005-0000-0000-000031CE0000}"/>
    <cellStyle name="Title 4 2" xfId="52592" xr:uid="{00000000-0005-0000-0000-000032CE0000}"/>
    <cellStyle name="Title 4 2 2" xfId="52593" xr:uid="{00000000-0005-0000-0000-000033CE0000}"/>
    <cellStyle name="Title 4 2 2 2" xfId="52594" xr:uid="{00000000-0005-0000-0000-000034CE0000}"/>
    <cellStyle name="Title 4 2 3" xfId="52595" xr:uid="{00000000-0005-0000-0000-000035CE0000}"/>
    <cellStyle name="Title 4 2 3 2" xfId="52596" xr:uid="{00000000-0005-0000-0000-000036CE0000}"/>
    <cellStyle name="Title 4 2 3 2 2" xfId="52597" xr:uid="{00000000-0005-0000-0000-000037CE0000}"/>
    <cellStyle name="Title 4 2 3 3" xfId="52598" xr:uid="{00000000-0005-0000-0000-000038CE0000}"/>
    <cellStyle name="Title 4 2 4" xfId="52599" xr:uid="{00000000-0005-0000-0000-000039CE0000}"/>
    <cellStyle name="Title 4 2 4 2" xfId="52600" xr:uid="{00000000-0005-0000-0000-00003ACE0000}"/>
    <cellStyle name="Title 4 2 4 2 2" xfId="52601" xr:uid="{00000000-0005-0000-0000-00003BCE0000}"/>
    <cellStyle name="Title 4 2 4 3" xfId="52602" xr:uid="{00000000-0005-0000-0000-00003CCE0000}"/>
    <cellStyle name="Title 4 2 5" xfId="52603" xr:uid="{00000000-0005-0000-0000-00003DCE0000}"/>
    <cellStyle name="Title 4 3" xfId="52604" xr:uid="{00000000-0005-0000-0000-00003ECE0000}"/>
    <cellStyle name="Title 4 3 2" xfId="52605" xr:uid="{00000000-0005-0000-0000-00003FCE0000}"/>
    <cellStyle name="Title 4 3 2 2" xfId="52606" xr:uid="{00000000-0005-0000-0000-000040CE0000}"/>
    <cellStyle name="Title 4 3 2 2 2" xfId="52607" xr:uid="{00000000-0005-0000-0000-000041CE0000}"/>
    <cellStyle name="Title 4 3 2 3" xfId="52608" xr:uid="{00000000-0005-0000-0000-000042CE0000}"/>
    <cellStyle name="Title 4 3 2 3 2" xfId="52609" xr:uid="{00000000-0005-0000-0000-000043CE0000}"/>
    <cellStyle name="Title 4 3 2 3 2 2" xfId="52610" xr:uid="{00000000-0005-0000-0000-000044CE0000}"/>
    <cellStyle name="Title 4 3 2 3 3" xfId="52611" xr:uid="{00000000-0005-0000-0000-000045CE0000}"/>
    <cellStyle name="Title 4 3 2 4" xfId="52612" xr:uid="{00000000-0005-0000-0000-000046CE0000}"/>
    <cellStyle name="Title 4 3 3" xfId="52613" xr:uid="{00000000-0005-0000-0000-000047CE0000}"/>
    <cellStyle name="Title 4 3 3 2" xfId="52614" xr:uid="{00000000-0005-0000-0000-000048CE0000}"/>
    <cellStyle name="Title 4 3 3 2 2" xfId="52615" xr:uid="{00000000-0005-0000-0000-000049CE0000}"/>
    <cellStyle name="Title 4 3 3 3" xfId="52616" xr:uid="{00000000-0005-0000-0000-00004ACE0000}"/>
    <cellStyle name="Title 4 3 4" xfId="52617" xr:uid="{00000000-0005-0000-0000-00004BCE0000}"/>
    <cellStyle name="Title 4 3 4 2" xfId="52618" xr:uid="{00000000-0005-0000-0000-00004CCE0000}"/>
    <cellStyle name="Title 4 3 4 2 2" xfId="52619" xr:uid="{00000000-0005-0000-0000-00004DCE0000}"/>
    <cellStyle name="Title 4 3 4 3" xfId="52620" xr:uid="{00000000-0005-0000-0000-00004ECE0000}"/>
    <cellStyle name="Title 4 3 5" xfId="52621" xr:uid="{00000000-0005-0000-0000-00004FCE0000}"/>
    <cellStyle name="Title 4 3 5 2" xfId="52622" xr:uid="{00000000-0005-0000-0000-000050CE0000}"/>
    <cellStyle name="Title 4 3 5 2 2" xfId="52623" xr:uid="{00000000-0005-0000-0000-000051CE0000}"/>
    <cellStyle name="Title 4 3 5 3" xfId="52624" xr:uid="{00000000-0005-0000-0000-000052CE0000}"/>
    <cellStyle name="Title 4 3 6" xfId="52625" xr:uid="{00000000-0005-0000-0000-000053CE0000}"/>
    <cellStyle name="Title 4 4" xfId="52626" xr:uid="{00000000-0005-0000-0000-000054CE0000}"/>
    <cellStyle name="Title 4 4 2" xfId="52627" xr:uid="{00000000-0005-0000-0000-000055CE0000}"/>
    <cellStyle name="Title 4 4 2 2" xfId="52628" xr:uid="{00000000-0005-0000-0000-000056CE0000}"/>
    <cellStyle name="Title 4 4 3" xfId="52629" xr:uid="{00000000-0005-0000-0000-000057CE0000}"/>
    <cellStyle name="Title 4 5" xfId="52630" xr:uid="{00000000-0005-0000-0000-000058CE0000}"/>
    <cellStyle name="Title 4 5 2" xfId="52631" xr:uid="{00000000-0005-0000-0000-000059CE0000}"/>
    <cellStyle name="Title 4 5 2 2" xfId="52632" xr:uid="{00000000-0005-0000-0000-00005ACE0000}"/>
    <cellStyle name="Title 4 5 3" xfId="52633" xr:uid="{00000000-0005-0000-0000-00005BCE0000}"/>
    <cellStyle name="Title 4 6" xfId="52634" xr:uid="{00000000-0005-0000-0000-00005CCE0000}"/>
    <cellStyle name="Title 4 6 2" xfId="52635" xr:uid="{00000000-0005-0000-0000-00005DCE0000}"/>
    <cellStyle name="Title 4 6 2 2" xfId="52636" xr:uid="{00000000-0005-0000-0000-00005ECE0000}"/>
    <cellStyle name="Title 4 6 3" xfId="52637" xr:uid="{00000000-0005-0000-0000-00005FCE0000}"/>
    <cellStyle name="Title 4 7" xfId="52638" xr:uid="{00000000-0005-0000-0000-000060CE0000}"/>
    <cellStyle name="Title 5" xfId="52639" xr:uid="{00000000-0005-0000-0000-000061CE0000}"/>
    <cellStyle name="Title 5 2" xfId="52640" xr:uid="{00000000-0005-0000-0000-000062CE0000}"/>
    <cellStyle name="Title 5 2 2" xfId="52641" xr:uid="{00000000-0005-0000-0000-000063CE0000}"/>
    <cellStyle name="Title 5 2 2 2" xfId="52642" xr:uid="{00000000-0005-0000-0000-000064CE0000}"/>
    <cellStyle name="Title 5 2 3" xfId="52643" xr:uid="{00000000-0005-0000-0000-000065CE0000}"/>
    <cellStyle name="Title 5 2 3 2" xfId="52644" xr:uid="{00000000-0005-0000-0000-000066CE0000}"/>
    <cellStyle name="Title 5 2 3 2 2" xfId="52645" xr:uid="{00000000-0005-0000-0000-000067CE0000}"/>
    <cellStyle name="Title 5 2 3 3" xfId="52646" xr:uid="{00000000-0005-0000-0000-000068CE0000}"/>
    <cellStyle name="Title 5 2 4" xfId="52647" xr:uid="{00000000-0005-0000-0000-000069CE0000}"/>
    <cellStyle name="Title 5 2 4 2" xfId="52648" xr:uid="{00000000-0005-0000-0000-00006ACE0000}"/>
    <cellStyle name="Title 5 2 4 2 2" xfId="52649" xr:uid="{00000000-0005-0000-0000-00006BCE0000}"/>
    <cellStyle name="Title 5 2 4 3" xfId="52650" xr:uid="{00000000-0005-0000-0000-00006CCE0000}"/>
    <cellStyle name="Title 5 2 5" xfId="52651" xr:uid="{00000000-0005-0000-0000-00006DCE0000}"/>
    <cellStyle name="Title 5 3" xfId="52652" xr:uid="{00000000-0005-0000-0000-00006ECE0000}"/>
    <cellStyle name="Title 5 3 2" xfId="52653" xr:uid="{00000000-0005-0000-0000-00006FCE0000}"/>
    <cellStyle name="Title 5 3 2 2" xfId="52654" xr:uid="{00000000-0005-0000-0000-000070CE0000}"/>
    <cellStyle name="Title 5 3 2 2 2" xfId="52655" xr:uid="{00000000-0005-0000-0000-000071CE0000}"/>
    <cellStyle name="Title 5 3 2 3" xfId="52656" xr:uid="{00000000-0005-0000-0000-000072CE0000}"/>
    <cellStyle name="Title 5 3 2 3 2" xfId="52657" xr:uid="{00000000-0005-0000-0000-000073CE0000}"/>
    <cellStyle name="Title 5 3 2 3 2 2" xfId="52658" xr:uid="{00000000-0005-0000-0000-000074CE0000}"/>
    <cellStyle name="Title 5 3 2 3 3" xfId="52659" xr:uid="{00000000-0005-0000-0000-000075CE0000}"/>
    <cellStyle name="Title 5 3 2 4" xfId="52660" xr:uid="{00000000-0005-0000-0000-000076CE0000}"/>
    <cellStyle name="Title 5 3 3" xfId="52661" xr:uid="{00000000-0005-0000-0000-000077CE0000}"/>
    <cellStyle name="Title 5 3 3 2" xfId="52662" xr:uid="{00000000-0005-0000-0000-000078CE0000}"/>
    <cellStyle name="Title 5 3 3 2 2" xfId="52663" xr:uid="{00000000-0005-0000-0000-000079CE0000}"/>
    <cellStyle name="Title 5 3 3 3" xfId="52664" xr:uid="{00000000-0005-0000-0000-00007ACE0000}"/>
    <cellStyle name="Title 5 3 4" xfId="52665" xr:uid="{00000000-0005-0000-0000-00007BCE0000}"/>
    <cellStyle name="Title 5 3 4 2" xfId="52666" xr:uid="{00000000-0005-0000-0000-00007CCE0000}"/>
    <cellStyle name="Title 5 3 4 2 2" xfId="52667" xr:uid="{00000000-0005-0000-0000-00007DCE0000}"/>
    <cellStyle name="Title 5 3 4 3" xfId="52668" xr:uid="{00000000-0005-0000-0000-00007ECE0000}"/>
    <cellStyle name="Title 5 3 5" xfId="52669" xr:uid="{00000000-0005-0000-0000-00007FCE0000}"/>
    <cellStyle name="Title 5 3 5 2" xfId="52670" xr:uid="{00000000-0005-0000-0000-000080CE0000}"/>
    <cellStyle name="Title 5 3 5 2 2" xfId="52671" xr:uid="{00000000-0005-0000-0000-000081CE0000}"/>
    <cellStyle name="Title 5 3 5 3" xfId="52672" xr:uid="{00000000-0005-0000-0000-000082CE0000}"/>
    <cellStyle name="Title 5 3 6" xfId="52673" xr:uid="{00000000-0005-0000-0000-000083CE0000}"/>
    <cellStyle name="Title 5 4" xfId="52674" xr:uid="{00000000-0005-0000-0000-000084CE0000}"/>
    <cellStyle name="Title 5 4 2" xfId="52675" xr:uid="{00000000-0005-0000-0000-000085CE0000}"/>
    <cellStyle name="Title 5 4 2 2" xfId="52676" xr:uid="{00000000-0005-0000-0000-000086CE0000}"/>
    <cellStyle name="Title 5 4 3" xfId="52677" xr:uid="{00000000-0005-0000-0000-000087CE0000}"/>
    <cellStyle name="Title 5 5" xfId="52678" xr:uid="{00000000-0005-0000-0000-000088CE0000}"/>
    <cellStyle name="Title 5 5 2" xfId="52679" xr:uid="{00000000-0005-0000-0000-000089CE0000}"/>
    <cellStyle name="Title 5 5 2 2" xfId="52680" xr:uid="{00000000-0005-0000-0000-00008ACE0000}"/>
    <cellStyle name="Title 5 5 3" xfId="52681" xr:uid="{00000000-0005-0000-0000-00008BCE0000}"/>
    <cellStyle name="Title 5 6" xfId="52682" xr:uid="{00000000-0005-0000-0000-00008CCE0000}"/>
    <cellStyle name="Title 5 6 2" xfId="52683" xr:uid="{00000000-0005-0000-0000-00008DCE0000}"/>
    <cellStyle name="Title 5 6 2 2" xfId="52684" xr:uid="{00000000-0005-0000-0000-00008ECE0000}"/>
    <cellStyle name="Title 5 6 3" xfId="52685" xr:uid="{00000000-0005-0000-0000-00008FCE0000}"/>
    <cellStyle name="Title 5 7" xfId="52686" xr:uid="{00000000-0005-0000-0000-000090CE0000}"/>
    <cellStyle name="Title 6" xfId="52687" xr:uid="{00000000-0005-0000-0000-000091CE0000}"/>
    <cellStyle name="Title 6 2" xfId="52688" xr:uid="{00000000-0005-0000-0000-000092CE0000}"/>
    <cellStyle name="Title 6 2 2" xfId="52689" xr:uid="{00000000-0005-0000-0000-000093CE0000}"/>
    <cellStyle name="Title 6 2 2 2" xfId="52690" xr:uid="{00000000-0005-0000-0000-000094CE0000}"/>
    <cellStyle name="Title 6 2 3" xfId="52691" xr:uid="{00000000-0005-0000-0000-000095CE0000}"/>
    <cellStyle name="Title 6 2 3 2" xfId="52692" xr:uid="{00000000-0005-0000-0000-000096CE0000}"/>
    <cellStyle name="Title 6 2 3 2 2" xfId="52693" xr:uid="{00000000-0005-0000-0000-000097CE0000}"/>
    <cellStyle name="Title 6 2 3 3" xfId="52694" xr:uid="{00000000-0005-0000-0000-000098CE0000}"/>
    <cellStyle name="Title 6 2 4" xfId="52695" xr:uid="{00000000-0005-0000-0000-000099CE0000}"/>
    <cellStyle name="Title 6 2 4 2" xfId="52696" xr:uid="{00000000-0005-0000-0000-00009ACE0000}"/>
    <cellStyle name="Title 6 2 4 2 2" xfId="52697" xr:uid="{00000000-0005-0000-0000-00009BCE0000}"/>
    <cellStyle name="Title 6 2 4 3" xfId="52698" xr:uid="{00000000-0005-0000-0000-00009CCE0000}"/>
    <cellStyle name="Title 6 2 5" xfId="52699" xr:uid="{00000000-0005-0000-0000-00009DCE0000}"/>
    <cellStyle name="Title 6 3" xfId="52700" xr:uid="{00000000-0005-0000-0000-00009ECE0000}"/>
    <cellStyle name="Title 6 3 2" xfId="52701" xr:uid="{00000000-0005-0000-0000-00009FCE0000}"/>
    <cellStyle name="Title 6 3 2 2" xfId="52702" xr:uid="{00000000-0005-0000-0000-0000A0CE0000}"/>
    <cellStyle name="Title 6 3 3" xfId="52703" xr:uid="{00000000-0005-0000-0000-0000A1CE0000}"/>
    <cellStyle name="Title 6 4" xfId="52704" xr:uid="{00000000-0005-0000-0000-0000A2CE0000}"/>
    <cellStyle name="Title 6 4 2" xfId="52705" xr:uid="{00000000-0005-0000-0000-0000A3CE0000}"/>
    <cellStyle name="Title 6 4 2 2" xfId="52706" xr:uid="{00000000-0005-0000-0000-0000A4CE0000}"/>
    <cellStyle name="Title 6 4 3" xfId="52707" xr:uid="{00000000-0005-0000-0000-0000A5CE0000}"/>
    <cellStyle name="Title 6 5" xfId="52708" xr:uid="{00000000-0005-0000-0000-0000A6CE0000}"/>
    <cellStyle name="Title 6 5 2" xfId="52709" xr:uid="{00000000-0005-0000-0000-0000A7CE0000}"/>
    <cellStyle name="Title 6 5 2 2" xfId="52710" xr:uid="{00000000-0005-0000-0000-0000A8CE0000}"/>
    <cellStyle name="Title 6 5 3" xfId="52711" xr:uid="{00000000-0005-0000-0000-0000A9CE0000}"/>
    <cellStyle name="Title 6 6" xfId="52712" xr:uid="{00000000-0005-0000-0000-0000AACE0000}"/>
    <cellStyle name="Title 7" xfId="52713" xr:uid="{00000000-0005-0000-0000-0000ABCE0000}"/>
    <cellStyle name="Title 8" xfId="52714" xr:uid="{00000000-0005-0000-0000-0000ACCE0000}"/>
    <cellStyle name="Total 10" xfId="52715" xr:uid="{00000000-0005-0000-0000-0000ADCE0000}"/>
    <cellStyle name="Total 2" xfId="52716" xr:uid="{00000000-0005-0000-0000-0000AECE0000}"/>
    <cellStyle name="Total 2 10" xfId="52717" xr:uid="{00000000-0005-0000-0000-0000AFCE0000}"/>
    <cellStyle name="Total 2 10 2" xfId="52718" xr:uid="{00000000-0005-0000-0000-0000B0CE0000}"/>
    <cellStyle name="Total 2 10 2 2" xfId="52719" xr:uid="{00000000-0005-0000-0000-0000B1CE0000}"/>
    <cellStyle name="Total 2 10 3" xfId="52720" xr:uid="{00000000-0005-0000-0000-0000B2CE0000}"/>
    <cellStyle name="Total 2 11" xfId="52721" xr:uid="{00000000-0005-0000-0000-0000B3CE0000}"/>
    <cellStyle name="Total 2 11 2" xfId="52722" xr:uid="{00000000-0005-0000-0000-0000B4CE0000}"/>
    <cellStyle name="Total 2 11 2 2" xfId="52723" xr:uid="{00000000-0005-0000-0000-0000B5CE0000}"/>
    <cellStyle name="Total 2 11 3" xfId="52724" xr:uid="{00000000-0005-0000-0000-0000B6CE0000}"/>
    <cellStyle name="Total 2 12" xfId="52725" xr:uid="{00000000-0005-0000-0000-0000B7CE0000}"/>
    <cellStyle name="Total 2 12 2" xfId="52726" xr:uid="{00000000-0005-0000-0000-0000B8CE0000}"/>
    <cellStyle name="Total 2 12 2 2" xfId="52727" xr:uid="{00000000-0005-0000-0000-0000B9CE0000}"/>
    <cellStyle name="Total 2 12 2 2 2" xfId="52728" xr:uid="{00000000-0005-0000-0000-0000BACE0000}"/>
    <cellStyle name="Total 2 12 2 3" xfId="52729" xr:uid="{00000000-0005-0000-0000-0000BBCE0000}"/>
    <cellStyle name="Total 2 12 3" xfId="52730" xr:uid="{00000000-0005-0000-0000-0000BCCE0000}"/>
    <cellStyle name="Total 2 12 3 2" xfId="52731" xr:uid="{00000000-0005-0000-0000-0000BDCE0000}"/>
    <cellStyle name="Total 2 12 4" xfId="52732" xr:uid="{00000000-0005-0000-0000-0000BECE0000}"/>
    <cellStyle name="Total 2 12 4 2" xfId="52733" xr:uid="{00000000-0005-0000-0000-0000BFCE0000}"/>
    <cellStyle name="Total 2 12 5" xfId="52734" xr:uid="{00000000-0005-0000-0000-0000C0CE0000}"/>
    <cellStyle name="Total 2 13" xfId="52735" xr:uid="{00000000-0005-0000-0000-0000C1CE0000}"/>
    <cellStyle name="Total 2 13 2" xfId="52736" xr:uid="{00000000-0005-0000-0000-0000C2CE0000}"/>
    <cellStyle name="Total 2 13 3" xfId="52737" xr:uid="{00000000-0005-0000-0000-0000C3CE0000}"/>
    <cellStyle name="Total 2 14" xfId="52738" xr:uid="{00000000-0005-0000-0000-0000C4CE0000}"/>
    <cellStyle name="Total 2 14 2" xfId="52739" xr:uid="{00000000-0005-0000-0000-0000C5CE0000}"/>
    <cellStyle name="Total 2 15" xfId="52740" xr:uid="{00000000-0005-0000-0000-0000C6CE0000}"/>
    <cellStyle name="Total 2 16" xfId="52741" xr:uid="{00000000-0005-0000-0000-0000C7CE0000}"/>
    <cellStyle name="Total 2 2" xfId="52742" xr:uid="{00000000-0005-0000-0000-0000C8CE0000}"/>
    <cellStyle name="Total 2 2 2" xfId="52743" xr:uid="{00000000-0005-0000-0000-0000C9CE0000}"/>
    <cellStyle name="Total 2 2 2 2" xfId="52744" xr:uid="{00000000-0005-0000-0000-0000CACE0000}"/>
    <cellStyle name="Total 2 2 2 2 2" xfId="52745" xr:uid="{00000000-0005-0000-0000-0000CBCE0000}"/>
    <cellStyle name="Total 2 2 2 3" xfId="52746" xr:uid="{00000000-0005-0000-0000-0000CCCE0000}"/>
    <cellStyle name="Total 2 2 2 3 2" xfId="52747" xr:uid="{00000000-0005-0000-0000-0000CDCE0000}"/>
    <cellStyle name="Total 2 2 2 3 2 2" xfId="52748" xr:uid="{00000000-0005-0000-0000-0000CECE0000}"/>
    <cellStyle name="Total 2 2 2 3 3" xfId="52749" xr:uid="{00000000-0005-0000-0000-0000CFCE0000}"/>
    <cellStyle name="Total 2 2 2 4" xfId="52750" xr:uid="{00000000-0005-0000-0000-0000D0CE0000}"/>
    <cellStyle name="Total 2 2 2 4 2" xfId="52751" xr:uid="{00000000-0005-0000-0000-0000D1CE0000}"/>
    <cellStyle name="Total 2 2 2 4 2 2" xfId="52752" xr:uid="{00000000-0005-0000-0000-0000D2CE0000}"/>
    <cellStyle name="Total 2 2 2 4 3" xfId="52753" xr:uid="{00000000-0005-0000-0000-0000D3CE0000}"/>
    <cellStyle name="Total 2 2 2 5" xfId="52754" xr:uid="{00000000-0005-0000-0000-0000D4CE0000}"/>
    <cellStyle name="Total 2 2 3" xfId="52755" xr:uid="{00000000-0005-0000-0000-0000D5CE0000}"/>
    <cellStyle name="Total 2 2 3 2" xfId="52756" xr:uid="{00000000-0005-0000-0000-0000D6CE0000}"/>
    <cellStyle name="Total 2 2 3 2 2" xfId="52757" xr:uid="{00000000-0005-0000-0000-0000D7CE0000}"/>
    <cellStyle name="Total 2 2 3 2 2 2" xfId="52758" xr:uid="{00000000-0005-0000-0000-0000D8CE0000}"/>
    <cellStyle name="Total 2 2 3 2 3" xfId="52759" xr:uid="{00000000-0005-0000-0000-0000D9CE0000}"/>
    <cellStyle name="Total 2 2 3 2 3 2" xfId="52760" xr:uid="{00000000-0005-0000-0000-0000DACE0000}"/>
    <cellStyle name="Total 2 2 3 2 3 2 2" xfId="52761" xr:uid="{00000000-0005-0000-0000-0000DBCE0000}"/>
    <cellStyle name="Total 2 2 3 2 3 3" xfId="52762" xr:uid="{00000000-0005-0000-0000-0000DCCE0000}"/>
    <cellStyle name="Total 2 2 3 2 4" xfId="52763" xr:uid="{00000000-0005-0000-0000-0000DDCE0000}"/>
    <cellStyle name="Total 2 2 3 3" xfId="52764" xr:uid="{00000000-0005-0000-0000-0000DECE0000}"/>
    <cellStyle name="Total 2 2 3 3 2" xfId="52765" xr:uid="{00000000-0005-0000-0000-0000DFCE0000}"/>
    <cellStyle name="Total 2 2 3 3 2 2" xfId="52766" xr:uid="{00000000-0005-0000-0000-0000E0CE0000}"/>
    <cellStyle name="Total 2 2 3 3 3" xfId="52767" xr:uid="{00000000-0005-0000-0000-0000E1CE0000}"/>
    <cellStyle name="Total 2 2 3 4" xfId="52768" xr:uid="{00000000-0005-0000-0000-0000E2CE0000}"/>
    <cellStyle name="Total 2 2 3 4 2" xfId="52769" xr:uid="{00000000-0005-0000-0000-0000E3CE0000}"/>
    <cellStyle name="Total 2 2 3 4 2 2" xfId="52770" xr:uid="{00000000-0005-0000-0000-0000E4CE0000}"/>
    <cellStyle name="Total 2 2 3 4 3" xfId="52771" xr:uid="{00000000-0005-0000-0000-0000E5CE0000}"/>
    <cellStyle name="Total 2 2 3 5" xfId="52772" xr:uid="{00000000-0005-0000-0000-0000E6CE0000}"/>
    <cellStyle name="Total 2 2 3 5 2" xfId="52773" xr:uid="{00000000-0005-0000-0000-0000E7CE0000}"/>
    <cellStyle name="Total 2 2 3 5 2 2" xfId="52774" xr:uid="{00000000-0005-0000-0000-0000E8CE0000}"/>
    <cellStyle name="Total 2 2 3 5 3" xfId="52775" xr:uid="{00000000-0005-0000-0000-0000E9CE0000}"/>
    <cellStyle name="Total 2 2 3 6" xfId="52776" xr:uid="{00000000-0005-0000-0000-0000EACE0000}"/>
    <cellStyle name="Total 2 2 4" xfId="52777" xr:uid="{00000000-0005-0000-0000-0000EBCE0000}"/>
    <cellStyle name="Total 2 2 4 2" xfId="52778" xr:uid="{00000000-0005-0000-0000-0000ECCE0000}"/>
    <cellStyle name="Total 2 2 4 2 2" xfId="52779" xr:uid="{00000000-0005-0000-0000-0000EDCE0000}"/>
    <cellStyle name="Total 2 2 4 3" xfId="52780" xr:uid="{00000000-0005-0000-0000-0000EECE0000}"/>
    <cellStyle name="Total 2 2 5" xfId="52781" xr:uid="{00000000-0005-0000-0000-0000EFCE0000}"/>
    <cellStyle name="Total 2 2 5 2" xfId="52782" xr:uid="{00000000-0005-0000-0000-0000F0CE0000}"/>
    <cellStyle name="Total 2 2 5 2 2" xfId="52783" xr:uid="{00000000-0005-0000-0000-0000F1CE0000}"/>
    <cellStyle name="Total 2 2 5 3" xfId="52784" xr:uid="{00000000-0005-0000-0000-0000F2CE0000}"/>
    <cellStyle name="Total 2 2 6" xfId="52785" xr:uid="{00000000-0005-0000-0000-0000F3CE0000}"/>
    <cellStyle name="Total 2 2 6 2" xfId="52786" xr:uid="{00000000-0005-0000-0000-0000F4CE0000}"/>
    <cellStyle name="Total 2 2 6 2 2" xfId="52787" xr:uid="{00000000-0005-0000-0000-0000F5CE0000}"/>
    <cellStyle name="Total 2 2 6 3" xfId="52788" xr:uid="{00000000-0005-0000-0000-0000F6CE0000}"/>
    <cellStyle name="Total 2 2 7" xfId="52789" xr:uid="{00000000-0005-0000-0000-0000F7CE0000}"/>
    <cellStyle name="Total 2 3" xfId="52790" xr:uid="{00000000-0005-0000-0000-0000F8CE0000}"/>
    <cellStyle name="Total 2 3 2" xfId="52791" xr:uid="{00000000-0005-0000-0000-0000F9CE0000}"/>
    <cellStyle name="Total 2 3 2 2" xfId="52792" xr:uid="{00000000-0005-0000-0000-0000FACE0000}"/>
    <cellStyle name="Total 2 3 2 2 2" xfId="52793" xr:uid="{00000000-0005-0000-0000-0000FBCE0000}"/>
    <cellStyle name="Total 2 3 2 2 2 2" xfId="52794" xr:uid="{00000000-0005-0000-0000-0000FCCE0000}"/>
    <cellStyle name="Total 2 3 2 2 3" xfId="52795" xr:uid="{00000000-0005-0000-0000-0000FDCE0000}"/>
    <cellStyle name="Total 2 3 2 3" xfId="52796" xr:uid="{00000000-0005-0000-0000-0000FECE0000}"/>
    <cellStyle name="Total 2 3 2 3 2" xfId="52797" xr:uid="{00000000-0005-0000-0000-0000FFCE0000}"/>
    <cellStyle name="Total 2 3 2 3 2 2" xfId="52798" xr:uid="{00000000-0005-0000-0000-000000CF0000}"/>
    <cellStyle name="Total 2 3 2 3 3" xfId="52799" xr:uid="{00000000-0005-0000-0000-000001CF0000}"/>
    <cellStyle name="Total 2 3 2 4" xfId="52800" xr:uid="{00000000-0005-0000-0000-000002CF0000}"/>
    <cellStyle name="Total 2 3 2 4 2" xfId="52801" xr:uid="{00000000-0005-0000-0000-000003CF0000}"/>
    <cellStyle name="Total 2 3 2 4 2 2" xfId="52802" xr:uid="{00000000-0005-0000-0000-000004CF0000}"/>
    <cellStyle name="Total 2 3 2 4 3" xfId="52803" xr:uid="{00000000-0005-0000-0000-000005CF0000}"/>
    <cellStyle name="Total 2 3 2 5" xfId="52804" xr:uid="{00000000-0005-0000-0000-000006CF0000}"/>
    <cellStyle name="Total 2 3 2 5 2" xfId="52805" xr:uid="{00000000-0005-0000-0000-000007CF0000}"/>
    <cellStyle name="Total 2 3 2 6" xfId="52806" xr:uid="{00000000-0005-0000-0000-000008CF0000}"/>
    <cellStyle name="Total 2 3 3" xfId="52807" xr:uid="{00000000-0005-0000-0000-000009CF0000}"/>
    <cellStyle name="Total 2 3 3 2" xfId="52808" xr:uid="{00000000-0005-0000-0000-00000ACF0000}"/>
    <cellStyle name="Total 2 3 3 2 2" xfId="52809" xr:uid="{00000000-0005-0000-0000-00000BCF0000}"/>
    <cellStyle name="Total 2 3 3 2 2 2" xfId="52810" xr:uid="{00000000-0005-0000-0000-00000CCF0000}"/>
    <cellStyle name="Total 2 3 3 2 2 2 2" xfId="52811" xr:uid="{00000000-0005-0000-0000-00000DCF0000}"/>
    <cellStyle name="Total 2 3 3 2 2 3" xfId="52812" xr:uid="{00000000-0005-0000-0000-00000ECF0000}"/>
    <cellStyle name="Total 2 3 3 2 3" xfId="52813" xr:uid="{00000000-0005-0000-0000-00000FCF0000}"/>
    <cellStyle name="Total 2 3 3 2 3 2" xfId="52814" xr:uid="{00000000-0005-0000-0000-000010CF0000}"/>
    <cellStyle name="Total 2 3 3 2 3 2 2" xfId="52815" xr:uid="{00000000-0005-0000-0000-000011CF0000}"/>
    <cellStyle name="Total 2 3 3 2 3 3" xfId="52816" xr:uid="{00000000-0005-0000-0000-000012CF0000}"/>
    <cellStyle name="Total 2 3 3 2 4" xfId="52817" xr:uid="{00000000-0005-0000-0000-000013CF0000}"/>
    <cellStyle name="Total 2 3 3 2 4 2" xfId="52818" xr:uid="{00000000-0005-0000-0000-000014CF0000}"/>
    <cellStyle name="Total 2 3 3 2 5" xfId="52819" xr:uid="{00000000-0005-0000-0000-000015CF0000}"/>
    <cellStyle name="Total 2 3 3 3" xfId="52820" xr:uid="{00000000-0005-0000-0000-000016CF0000}"/>
    <cellStyle name="Total 2 3 3 3 2" xfId="52821" xr:uid="{00000000-0005-0000-0000-000017CF0000}"/>
    <cellStyle name="Total 2 3 3 3 2 2" xfId="52822" xr:uid="{00000000-0005-0000-0000-000018CF0000}"/>
    <cellStyle name="Total 2 3 3 3 2 2 2" xfId="52823" xr:uid="{00000000-0005-0000-0000-000019CF0000}"/>
    <cellStyle name="Total 2 3 3 3 2 3" xfId="52824" xr:uid="{00000000-0005-0000-0000-00001ACF0000}"/>
    <cellStyle name="Total 2 3 3 3 3" xfId="52825" xr:uid="{00000000-0005-0000-0000-00001BCF0000}"/>
    <cellStyle name="Total 2 3 3 3 3 2" xfId="52826" xr:uid="{00000000-0005-0000-0000-00001CCF0000}"/>
    <cellStyle name="Total 2 3 3 3 4" xfId="52827" xr:uid="{00000000-0005-0000-0000-00001DCF0000}"/>
    <cellStyle name="Total 2 3 3 4" xfId="52828" xr:uid="{00000000-0005-0000-0000-00001ECF0000}"/>
    <cellStyle name="Total 2 3 3 4 2" xfId="52829" xr:uid="{00000000-0005-0000-0000-00001FCF0000}"/>
    <cellStyle name="Total 2 3 3 4 2 2" xfId="52830" xr:uid="{00000000-0005-0000-0000-000020CF0000}"/>
    <cellStyle name="Total 2 3 3 4 3" xfId="52831" xr:uid="{00000000-0005-0000-0000-000021CF0000}"/>
    <cellStyle name="Total 2 3 3 5" xfId="52832" xr:uid="{00000000-0005-0000-0000-000022CF0000}"/>
    <cellStyle name="Total 2 3 3 5 2" xfId="52833" xr:uid="{00000000-0005-0000-0000-000023CF0000}"/>
    <cellStyle name="Total 2 3 3 5 2 2" xfId="52834" xr:uid="{00000000-0005-0000-0000-000024CF0000}"/>
    <cellStyle name="Total 2 3 3 5 3" xfId="52835" xr:uid="{00000000-0005-0000-0000-000025CF0000}"/>
    <cellStyle name="Total 2 3 3 6" xfId="52836" xr:uid="{00000000-0005-0000-0000-000026CF0000}"/>
    <cellStyle name="Total 2 3 3 6 2" xfId="52837" xr:uid="{00000000-0005-0000-0000-000027CF0000}"/>
    <cellStyle name="Total 2 3 3 7" xfId="52838" xr:uid="{00000000-0005-0000-0000-000028CF0000}"/>
    <cellStyle name="Total 2 3 4" xfId="52839" xr:uid="{00000000-0005-0000-0000-000029CF0000}"/>
    <cellStyle name="Total 2 3 4 2" xfId="52840" xr:uid="{00000000-0005-0000-0000-00002ACF0000}"/>
    <cellStyle name="Total 2 3 4 2 2" xfId="52841" xr:uid="{00000000-0005-0000-0000-00002BCF0000}"/>
    <cellStyle name="Total 2 3 4 2 2 2" xfId="52842" xr:uid="{00000000-0005-0000-0000-00002CCF0000}"/>
    <cellStyle name="Total 2 3 4 2 3" xfId="52843" xr:uid="{00000000-0005-0000-0000-00002DCF0000}"/>
    <cellStyle name="Total 2 3 4 3" xfId="52844" xr:uid="{00000000-0005-0000-0000-00002ECF0000}"/>
    <cellStyle name="Total 2 3 4 3 2" xfId="52845" xr:uid="{00000000-0005-0000-0000-00002FCF0000}"/>
    <cellStyle name="Total 2 3 4 4" xfId="52846" xr:uid="{00000000-0005-0000-0000-000030CF0000}"/>
    <cellStyle name="Total 2 3 5" xfId="52847" xr:uid="{00000000-0005-0000-0000-000031CF0000}"/>
    <cellStyle name="Total 2 3 5 2" xfId="52848" xr:uid="{00000000-0005-0000-0000-000032CF0000}"/>
    <cellStyle name="Total 2 3 5 2 2" xfId="52849" xr:uid="{00000000-0005-0000-0000-000033CF0000}"/>
    <cellStyle name="Total 2 3 5 3" xfId="52850" xr:uid="{00000000-0005-0000-0000-000034CF0000}"/>
    <cellStyle name="Total 2 3 6" xfId="52851" xr:uid="{00000000-0005-0000-0000-000035CF0000}"/>
    <cellStyle name="Total 2 3 6 2" xfId="52852" xr:uid="{00000000-0005-0000-0000-000036CF0000}"/>
    <cellStyle name="Total 2 3 6 2 2" xfId="52853" xr:uid="{00000000-0005-0000-0000-000037CF0000}"/>
    <cellStyle name="Total 2 3 6 3" xfId="52854" xr:uid="{00000000-0005-0000-0000-000038CF0000}"/>
    <cellStyle name="Total 2 3 7" xfId="52855" xr:uid="{00000000-0005-0000-0000-000039CF0000}"/>
    <cellStyle name="Total 2 3 7 2" xfId="52856" xr:uid="{00000000-0005-0000-0000-00003ACF0000}"/>
    <cellStyle name="Total 2 3 8" xfId="52857" xr:uid="{00000000-0005-0000-0000-00003BCF0000}"/>
    <cellStyle name="Total 2 4" xfId="52858" xr:uid="{00000000-0005-0000-0000-00003CCF0000}"/>
    <cellStyle name="Total 2 4 2" xfId="52859" xr:uid="{00000000-0005-0000-0000-00003DCF0000}"/>
    <cellStyle name="Total 2 4 2 2" xfId="52860" xr:uid="{00000000-0005-0000-0000-00003ECF0000}"/>
    <cellStyle name="Total 2 4 2 2 2" xfId="52861" xr:uid="{00000000-0005-0000-0000-00003FCF0000}"/>
    <cellStyle name="Total 2 4 2 2 2 2" xfId="52862" xr:uid="{00000000-0005-0000-0000-000040CF0000}"/>
    <cellStyle name="Total 2 4 2 2 3" xfId="52863" xr:uid="{00000000-0005-0000-0000-000041CF0000}"/>
    <cellStyle name="Total 2 4 2 3" xfId="52864" xr:uid="{00000000-0005-0000-0000-000042CF0000}"/>
    <cellStyle name="Total 2 4 2 3 2" xfId="52865" xr:uid="{00000000-0005-0000-0000-000043CF0000}"/>
    <cellStyle name="Total 2 4 2 3 2 2" xfId="52866" xr:uid="{00000000-0005-0000-0000-000044CF0000}"/>
    <cellStyle name="Total 2 4 2 3 3" xfId="52867" xr:uid="{00000000-0005-0000-0000-000045CF0000}"/>
    <cellStyle name="Total 2 4 2 4" xfId="52868" xr:uid="{00000000-0005-0000-0000-000046CF0000}"/>
    <cellStyle name="Total 2 4 2 4 2" xfId="52869" xr:uid="{00000000-0005-0000-0000-000047CF0000}"/>
    <cellStyle name="Total 2 4 2 4 2 2" xfId="52870" xr:uid="{00000000-0005-0000-0000-000048CF0000}"/>
    <cellStyle name="Total 2 4 2 4 3" xfId="52871" xr:uid="{00000000-0005-0000-0000-000049CF0000}"/>
    <cellStyle name="Total 2 4 2 5" xfId="52872" xr:uid="{00000000-0005-0000-0000-00004ACF0000}"/>
    <cellStyle name="Total 2 4 2 5 2" xfId="52873" xr:uid="{00000000-0005-0000-0000-00004BCF0000}"/>
    <cellStyle name="Total 2 4 2 6" xfId="52874" xr:uid="{00000000-0005-0000-0000-00004CCF0000}"/>
    <cellStyle name="Total 2 4 3" xfId="52875" xr:uid="{00000000-0005-0000-0000-00004DCF0000}"/>
    <cellStyle name="Total 2 4 3 2" xfId="52876" xr:uid="{00000000-0005-0000-0000-00004ECF0000}"/>
    <cellStyle name="Total 2 4 3 2 2" xfId="52877" xr:uid="{00000000-0005-0000-0000-00004FCF0000}"/>
    <cellStyle name="Total 2 4 3 2 2 2" xfId="52878" xr:uid="{00000000-0005-0000-0000-000050CF0000}"/>
    <cellStyle name="Total 2 4 3 2 3" xfId="52879" xr:uid="{00000000-0005-0000-0000-000051CF0000}"/>
    <cellStyle name="Total 2 4 3 3" xfId="52880" xr:uid="{00000000-0005-0000-0000-000052CF0000}"/>
    <cellStyle name="Total 2 4 3 3 2" xfId="52881" xr:uid="{00000000-0005-0000-0000-000053CF0000}"/>
    <cellStyle name="Total 2 4 3 4" xfId="52882" xr:uid="{00000000-0005-0000-0000-000054CF0000}"/>
    <cellStyle name="Total 2 4 4" xfId="52883" xr:uid="{00000000-0005-0000-0000-000055CF0000}"/>
    <cellStyle name="Total 2 4 4 2" xfId="52884" xr:uid="{00000000-0005-0000-0000-000056CF0000}"/>
    <cellStyle name="Total 2 4 4 2 2" xfId="52885" xr:uid="{00000000-0005-0000-0000-000057CF0000}"/>
    <cellStyle name="Total 2 4 4 3" xfId="52886" xr:uid="{00000000-0005-0000-0000-000058CF0000}"/>
    <cellStyle name="Total 2 4 5" xfId="52887" xr:uid="{00000000-0005-0000-0000-000059CF0000}"/>
    <cellStyle name="Total 2 4 5 2" xfId="52888" xr:uid="{00000000-0005-0000-0000-00005ACF0000}"/>
    <cellStyle name="Total 2 4 5 2 2" xfId="52889" xr:uid="{00000000-0005-0000-0000-00005BCF0000}"/>
    <cellStyle name="Total 2 4 5 3" xfId="52890" xr:uid="{00000000-0005-0000-0000-00005CCF0000}"/>
    <cellStyle name="Total 2 4 6" xfId="52891" xr:uid="{00000000-0005-0000-0000-00005DCF0000}"/>
    <cellStyle name="Total 2 4 6 2" xfId="52892" xr:uid="{00000000-0005-0000-0000-00005ECF0000}"/>
    <cellStyle name="Total 2 4 7" xfId="52893" xr:uid="{00000000-0005-0000-0000-00005FCF0000}"/>
    <cellStyle name="Total 2 5" xfId="52894" xr:uid="{00000000-0005-0000-0000-000060CF0000}"/>
    <cellStyle name="Total 2 5 2" xfId="52895" xr:uid="{00000000-0005-0000-0000-000061CF0000}"/>
    <cellStyle name="Total 2 5 2 2" xfId="52896" xr:uid="{00000000-0005-0000-0000-000062CF0000}"/>
    <cellStyle name="Total 2 5 2 2 2" xfId="52897" xr:uid="{00000000-0005-0000-0000-000063CF0000}"/>
    <cellStyle name="Total 2 5 2 2 2 2" xfId="52898" xr:uid="{00000000-0005-0000-0000-000064CF0000}"/>
    <cellStyle name="Total 2 5 2 2 3" xfId="52899" xr:uid="{00000000-0005-0000-0000-000065CF0000}"/>
    <cellStyle name="Total 2 5 2 3" xfId="52900" xr:uid="{00000000-0005-0000-0000-000066CF0000}"/>
    <cellStyle name="Total 2 5 2 3 2" xfId="52901" xr:uid="{00000000-0005-0000-0000-000067CF0000}"/>
    <cellStyle name="Total 2 5 2 3 2 2" xfId="52902" xr:uid="{00000000-0005-0000-0000-000068CF0000}"/>
    <cellStyle name="Total 2 5 2 3 3" xfId="52903" xr:uid="{00000000-0005-0000-0000-000069CF0000}"/>
    <cellStyle name="Total 2 5 2 4" xfId="52904" xr:uid="{00000000-0005-0000-0000-00006ACF0000}"/>
    <cellStyle name="Total 2 5 2 4 2" xfId="52905" xr:uid="{00000000-0005-0000-0000-00006BCF0000}"/>
    <cellStyle name="Total 2 5 2 4 2 2" xfId="52906" xr:uid="{00000000-0005-0000-0000-00006CCF0000}"/>
    <cellStyle name="Total 2 5 2 4 3" xfId="52907" xr:uid="{00000000-0005-0000-0000-00006DCF0000}"/>
    <cellStyle name="Total 2 5 2 5" xfId="52908" xr:uid="{00000000-0005-0000-0000-00006ECF0000}"/>
    <cellStyle name="Total 2 5 2 5 2" xfId="52909" xr:uid="{00000000-0005-0000-0000-00006FCF0000}"/>
    <cellStyle name="Total 2 5 2 6" xfId="52910" xr:uid="{00000000-0005-0000-0000-000070CF0000}"/>
    <cellStyle name="Total 2 5 3" xfId="52911" xr:uid="{00000000-0005-0000-0000-000071CF0000}"/>
    <cellStyle name="Total 2 5 3 2" xfId="52912" xr:uid="{00000000-0005-0000-0000-000072CF0000}"/>
    <cellStyle name="Total 2 5 3 2 2" xfId="52913" xr:uid="{00000000-0005-0000-0000-000073CF0000}"/>
    <cellStyle name="Total 2 5 3 2 2 2" xfId="52914" xr:uid="{00000000-0005-0000-0000-000074CF0000}"/>
    <cellStyle name="Total 2 5 3 2 2 2 2" xfId="52915" xr:uid="{00000000-0005-0000-0000-000075CF0000}"/>
    <cellStyle name="Total 2 5 3 2 2 3" xfId="52916" xr:uid="{00000000-0005-0000-0000-000076CF0000}"/>
    <cellStyle name="Total 2 5 3 2 3" xfId="52917" xr:uid="{00000000-0005-0000-0000-000077CF0000}"/>
    <cellStyle name="Total 2 5 3 2 3 2" xfId="52918" xr:uid="{00000000-0005-0000-0000-000078CF0000}"/>
    <cellStyle name="Total 2 5 3 2 3 2 2" xfId="52919" xr:uid="{00000000-0005-0000-0000-000079CF0000}"/>
    <cellStyle name="Total 2 5 3 2 3 3" xfId="52920" xr:uid="{00000000-0005-0000-0000-00007ACF0000}"/>
    <cellStyle name="Total 2 5 3 2 4" xfId="52921" xr:uid="{00000000-0005-0000-0000-00007BCF0000}"/>
    <cellStyle name="Total 2 5 3 2 4 2" xfId="52922" xr:uid="{00000000-0005-0000-0000-00007CCF0000}"/>
    <cellStyle name="Total 2 5 3 2 5" xfId="52923" xr:uid="{00000000-0005-0000-0000-00007DCF0000}"/>
    <cellStyle name="Total 2 5 3 3" xfId="52924" xr:uid="{00000000-0005-0000-0000-00007ECF0000}"/>
    <cellStyle name="Total 2 5 3 3 2" xfId="52925" xr:uid="{00000000-0005-0000-0000-00007FCF0000}"/>
    <cellStyle name="Total 2 5 3 3 2 2" xfId="52926" xr:uid="{00000000-0005-0000-0000-000080CF0000}"/>
    <cellStyle name="Total 2 5 3 3 2 2 2" xfId="52927" xr:uid="{00000000-0005-0000-0000-000081CF0000}"/>
    <cellStyle name="Total 2 5 3 3 2 3" xfId="52928" xr:uid="{00000000-0005-0000-0000-000082CF0000}"/>
    <cellStyle name="Total 2 5 3 3 3" xfId="52929" xr:uid="{00000000-0005-0000-0000-000083CF0000}"/>
    <cellStyle name="Total 2 5 3 3 3 2" xfId="52930" xr:uid="{00000000-0005-0000-0000-000084CF0000}"/>
    <cellStyle name="Total 2 5 3 3 4" xfId="52931" xr:uid="{00000000-0005-0000-0000-000085CF0000}"/>
    <cellStyle name="Total 2 5 3 4" xfId="52932" xr:uid="{00000000-0005-0000-0000-000086CF0000}"/>
    <cellStyle name="Total 2 5 3 4 2" xfId="52933" xr:uid="{00000000-0005-0000-0000-000087CF0000}"/>
    <cellStyle name="Total 2 5 3 4 2 2" xfId="52934" xr:uid="{00000000-0005-0000-0000-000088CF0000}"/>
    <cellStyle name="Total 2 5 3 4 3" xfId="52935" xr:uid="{00000000-0005-0000-0000-000089CF0000}"/>
    <cellStyle name="Total 2 5 3 5" xfId="52936" xr:uid="{00000000-0005-0000-0000-00008ACF0000}"/>
    <cellStyle name="Total 2 5 3 5 2" xfId="52937" xr:uid="{00000000-0005-0000-0000-00008BCF0000}"/>
    <cellStyle name="Total 2 5 3 5 2 2" xfId="52938" xr:uid="{00000000-0005-0000-0000-00008CCF0000}"/>
    <cellStyle name="Total 2 5 3 5 3" xfId="52939" xr:uid="{00000000-0005-0000-0000-00008DCF0000}"/>
    <cellStyle name="Total 2 5 3 6" xfId="52940" xr:uid="{00000000-0005-0000-0000-00008ECF0000}"/>
    <cellStyle name="Total 2 5 3 6 2" xfId="52941" xr:uid="{00000000-0005-0000-0000-00008FCF0000}"/>
    <cellStyle name="Total 2 5 3 7" xfId="52942" xr:uid="{00000000-0005-0000-0000-000090CF0000}"/>
    <cellStyle name="Total 2 5 4" xfId="52943" xr:uid="{00000000-0005-0000-0000-000091CF0000}"/>
    <cellStyle name="Total 2 5 4 2" xfId="52944" xr:uid="{00000000-0005-0000-0000-000092CF0000}"/>
    <cellStyle name="Total 2 5 4 2 2" xfId="52945" xr:uid="{00000000-0005-0000-0000-000093CF0000}"/>
    <cellStyle name="Total 2 5 4 2 2 2" xfId="52946" xr:uid="{00000000-0005-0000-0000-000094CF0000}"/>
    <cellStyle name="Total 2 5 4 2 3" xfId="52947" xr:uid="{00000000-0005-0000-0000-000095CF0000}"/>
    <cellStyle name="Total 2 5 4 3" xfId="52948" xr:uid="{00000000-0005-0000-0000-000096CF0000}"/>
    <cellStyle name="Total 2 5 4 3 2" xfId="52949" xr:uid="{00000000-0005-0000-0000-000097CF0000}"/>
    <cellStyle name="Total 2 5 4 4" xfId="52950" xr:uid="{00000000-0005-0000-0000-000098CF0000}"/>
    <cellStyle name="Total 2 5 5" xfId="52951" xr:uid="{00000000-0005-0000-0000-000099CF0000}"/>
    <cellStyle name="Total 2 5 5 2" xfId="52952" xr:uid="{00000000-0005-0000-0000-00009ACF0000}"/>
    <cellStyle name="Total 2 5 5 2 2" xfId="52953" xr:uid="{00000000-0005-0000-0000-00009BCF0000}"/>
    <cellStyle name="Total 2 5 5 3" xfId="52954" xr:uid="{00000000-0005-0000-0000-00009CCF0000}"/>
    <cellStyle name="Total 2 5 6" xfId="52955" xr:uid="{00000000-0005-0000-0000-00009DCF0000}"/>
    <cellStyle name="Total 2 5 6 2" xfId="52956" xr:uid="{00000000-0005-0000-0000-00009ECF0000}"/>
    <cellStyle name="Total 2 5 6 2 2" xfId="52957" xr:uid="{00000000-0005-0000-0000-00009FCF0000}"/>
    <cellStyle name="Total 2 5 6 3" xfId="52958" xr:uid="{00000000-0005-0000-0000-0000A0CF0000}"/>
    <cellStyle name="Total 2 5 7" xfId="52959" xr:uid="{00000000-0005-0000-0000-0000A1CF0000}"/>
    <cellStyle name="Total 2 5 7 2" xfId="52960" xr:uid="{00000000-0005-0000-0000-0000A2CF0000}"/>
    <cellStyle name="Total 2 5 8" xfId="52961" xr:uid="{00000000-0005-0000-0000-0000A3CF0000}"/>
    <cellStyle name="Total 2 6" xfId="52962" xr:uid="{00000000-0005-0000-0000-0000A4CF0000}"/>
    <cellStyle name="Total 2 6 2" xfId="52963" xr:uid="{00000000-0005-0000-0000-0000A5CF0000}"/>
    <cellStyle name="Total 2 6 2 2" xfId="52964" xr:uid="{00000000-0005-0000-0000-0000A6CF0000}"/>
    <cellStyle name="Total 2 6 2 2 2" xfId="52965" xr:uid="{00000000-0005-0000-0000-0000A7CF0000}"/>
    <cellStyle name="Total 2 6 2 3" xfId="52966" xr:uid="{00000000-0005-0000-0000-0000A8CF0000}"/>
    <cellStyle name="Total 2 6 3" xfId="52967" xr:uid="{00000000-0005-0000-0000-0000A9CF0000}"/>
    <cellStyle name="Total 2 6 3 2" xfId="52968" xr:uid="{00000000-0005-0000-0000-0000AACF0000}"/>
    <cellStyle name="Total 2 6 3 2 2" xfId="52969" xr:uid="{00000000-0005-0000-0000-0000ABCF0000}"/>
    <cellStyle name="Total 2 6 3 3" xfId="52970" xr:uid="{00000000-0005-0000-0000-0000ACCF0000}"/>
    <cellStyle name="Total 2 6 4" xfId="52971" xr:uid="{00000000-0005-0000-0000-0000ADCF0000}"/>
    <cellStyle name="Total 2 6 4 2" xfId="52972" xr:uid="{00000000-0005-0000-0000-0000AECF0000}"/>
    <cellStyle name="Total 2 6 4 2 2" xfId="52973" xr:uid="{00000000-0005-0000-0000-0000AFCF0000}"/>
    <cellStyle name="Total 2 6 4 3" xfId="52974" xr:uid="{00000000-0005-0000-0000-0000B0CF0000}"/>
    <cellStyle name="Total 2 6 5" xfId="52975" xr:uid="{00000000-0005-0000-0000-0000B1CF0000}"/>
    <cellStyle name="Total 2 6 5 2" xfId="52976" xr:uid="{00000000-0005-0000-0000-0000B2CF0000}"/>
    <cellStyle name="Total 2 6 6" xfId="52977" xr:uid="{00000000-0005-0000-0000-0000B3CF0000}"/>
    <cellStyle name="Total 2 7" xfId="52978" xr:uid="{00000000-0005-0000-0000-0000B4CF0000}"/>
    <cellStyle name="Total 2 7 2" xfId="52979" xr:uid="{00000000-0005-0000-0000-0000B5CF0000}"/>
    <cellStyle name="Total 2 7 2 2" xfId="52980" xr:uid="{00000000-0005-0000-0000-0000B6CF0000}"/>
    <cellStyle name="Total 2 7 2 2 2" xfId="52981" xr:uid="{00000000-0005-0000-0000-0000B7CF0000}"/>
    <cellStyle name="Total 2 7 2 3" xfId="52982" xr:uid="{00000000-0005-0000-0000-0000B8CF0000}"/>
    <cellStyle name="Total 2 7 3" xfId="52983" xr:uid="{00000000-0005-0000-0000-0000B9CF0000}"/>
    <cellStyle name="Total 2 7 3 2" xfId="52984" xr:uid="{00000000-0005-0000-0000-0000BACF0000}"/>
    <cellStyle name="Total 2 7 3 2 2" xfId="52985" xr:uid="{00000000-0005-0000-0000-0000BBCF0000}"/>
    <cellStyle name="Total 2 7 3 3" xfId="52986" xr:uid="{00000000-0005-0000-0000-0000BCCF0000}"/>
    <cellStyle name="Total 2 7 4" xfId="52987" xr:uid="{00000000-0005-0000-0000-0000BDCF0000}"/>
    <cellStyle name="Total 2 7 4 2" xfId="52988" xr:uid="{00000000-0005-0000-0000-0000BECF0000}"/>
    <cellStyle name="Total 2 7 4 2 2" xfId="52989" xr:uid="{00000000-0005-0000-0000-0000BFCF0000}"/>
    <cellStyle name="Total 2 7 4 3" xfId="52990" xr:uid="{00000000-0005-0000-0000-0000C0CF0000}"/>
    <cellStyle name="Total 2 7 5" xfId="52991" xr:uid="{00000000-0005-0000-0000-0000C1CF0000}"/>
    <cellStyle name="Total 2 7 5 2" xfId="52992" xr:uid="{00000000-0005-0000-0000-0000C2CF0000}"/>
    <cellStyle name="Total 2 7 6" xfId="52993" xr:uid="{00000000-0005-0000-0000-0000C3CF0000}"/>
    <cellStyle name="Total 2 8" xfId="52994" xr:uid="{00000000-0005-0000-0000-0000C4CF0000}"/>
    <cellStyle name="Total 2 8 2" xfId="52995" xr:uid="{00000000-0005-0000-0000-0000C5CF0000}"/>
    <cellStyle name="Total 2 8 2 2" xfId="52996" xr:uid="{00000000-0005-0000-0000-0000C6CF0000}"/>
    <cellStyle name="Total 2 8 2 2 2" xfId="52997" xr:uid="{00000000-0005-0000-0000-0000C7CF0000}"/>
    <cellStyle name="Total 2 8 2 2 2 2" xfId="52998" xr:uid="{00000000-0005-0000-0000-0000C8CF0000}"/>
    <cellStyle name="Total 2 8 2 2 3" xfId="52999" xr:uid="{00000000-0005-0000-0000-0000C9CF0000}"/>
    <cellStyle name="Total 2 8 2 3" xfId="53000" xr:uid="{00000000-0005-0000-0000-0000CACF0000}"/>
    <cellStyle name="Total 2 8 2 3 2" xfId="53001" xr:uid="{00000000-0005-0000-0000-0000CBCF0000}"/>
    <cellStyle name="Total 2 8 2 3 2 2" xfId="53002" xr:uid="{00000000-0005-0000-0000-0000CCCF0000}"/>
    <cellStyle name="Total 2 8 2 3 3" xfId="53003" xr:uid="{00000000-0005-0000-0000-0000CDCF0000}"/>
    <cellStyle name="Total 2 8 2 4" xfId="53004" xr:uid="{00000000-0005-0000-0000-0000CECF0000}"/>
    <cellStyle name="Total 2 8 2 4 2" xfId="53005" xr:uid="{00000000-0005-0000-0000-0000CFCF0000}"/>
    <cellStyle name="Total 2 8 2 5" xfId="53006" xr:uid="{00000000-0005-0000-0000-0000D0CF0000}"/>
    <cellStyle name="Total 2 8 3" xfId="53007" xr:uid="{00000000-0005-0000-0000-0000D1CF0000}"/>
    <cellStyle name="Total 2 8 3 2" xfId="53008" xr:uid="{00000000-0005-0000-0000-0000D2CF0000}"/>
    <cellStyle name="Total 2 8 3 2 2" xfId="53009" xr:uid="{00000000-0005-0000-0000-0000D3CF0000}"/>
    <cellStyle name="Total 2 8 3 2 2 2" xfId="53010" xr:uid="{00000000-0005-0000-0000-0000D4CF0000}"/>
    <cellStyle name="Total 2 8 3 2 3" xfId="53011" xr:uid="{00000000-0005-0000-0000-0000D5CF0000}"/>
    <cellStyle name="Total 2 8 3 3" xfId="53012" xr:uid="{00000000-0005-0000-0000-0000D6CF0000}"/>
    <cellStyle name="Total 2 8 3 3 2" xfId="53013" xr:uid="{00000000-0005-0000-0000-0000D7CF0000}"/>
    <cellStyle name="Total 2 8 3 4" xfId="53014" xr:uid="{00000000-0005-0000-0000-0000D8CF0000}"/>
    <cellStyle name="Total 2 8 4" xfId="53015" xr:uid="{00000000-0005-0000-0000-0000D9CF0000}"/>
    <cellStyle name="Total 2 8 4 2" xfId="53016" xr:uid="{00000000-0005-0000-0000-0000DACF0000}"/>
    <cellStyle name="Total 2 8 4 2 2" xfId="53017" xr:uid="{00000000-0005-0000-0000-0000DBCF0000}"/>
    <cellStyle name="Total 2 8 4 3" xfId="53018" xr:uid="{00000000-0005-0000-0000-0000DCCF0000}"/>
    <cellStyle name="Total 2 8 5" xfId="53019" xr:uid="{00000000-0005-0000-0000-0000DDCF0000}"/>
    <cellStyle name="Total 2 8 5 2" xfId="53020" xr:uid="{00000000-0005-0000-0000-0000DECF0000}"/>
    <cellStyle name="Total 2 8 5 2 2" xfId="53021" xr:uid="{00000000-0005-0000-0000-0000DFCF0000}"/>
    <cellStyle name="Total 2 8 5 3" xfId="53022" xr:uid="{00000000-0005-0000-0000-0000E0CF0000}"/>
    <cellStyle name="Total 2 8 6" xfId="53023" xr:uid="{00000000-0005-0000-0000-0000E1CF0000}"/>
    <cellStyle name="Total 2 8 6 2" xfId="53024" xr:uid="{00000000-0005-0000-0000-0000E2CF0000}"/>
    <cellStyle name="Total 2 8 7" xfId="53025" xr:uid="{00000000-0005-0000-0000-0000E3CF0000}"/>
    <cellStyle name="Total 2 9" xfId="53026" xr:uid="{00000000-0005-0000-0000-0000E4CF0000}"/>
    <cellStyle name="Total 2 9 2" xfId="53027" xr:uid="{00000000-0005-0000-0000-0000E5CF0000}"/>
    <cellStyle name="Total 2 9 2 2" xfId="53028" xr:uid="{00000000-0005-0000-0000-0000E6CF0000}"/>
    <cellStyle name="Total 2 9 2 2 2" xfId="53029" xr:uid="{00000000-0005-0000-0000-0000E7CF0000}"/>
    <cellStyle name="Total 2 9 2 3" xfId="53030" xr:uid="{00000000-0005-0000-0000-0000E8CF0000}"/>
    <cellStyle name="Total 2 9 3" xfId="53031" xr:uid="{00000000-0005-0000-0000-0000E9CF0000}"/>
    <cellStyle name="Total 2 9 3 2" xfId="53032" xr:uid="{00000000-0005-0000-0000-0000EACF0000}"/>
    <cellStyle name="Total 2 9 4" xfId="53033" xr:uid="{00000000-0005-0000-0000-0000EBCF0000}"/>
    <cellStyle name="Total 3" xfId="53034" xr:uid="{00000000-0005-0000-0000-0000ECCF0000}"/>
    <cellStyle name="Total 3 2" xfId="53035" xr:uid="{00000000-0005-0000-0000-0000EDCF0000}"/>
    <cellStyle name="Total 3 2 2" xfId="53036" xr:uid="{00000000-0005-0000-0000-0000EECF0000}"/>
    <cellStyle name="Total 3 2 2 2" xfId="53037" xr:uid="{00000000-0005-0000-0000-0000EFCF0000}"/>
    <cellStyle name="Total 3 2 2 2 2" xfId="53038" xr:uid="{00000000-0005-0000-0000-0000F0CF0000}"/>
    <cellStyle name="Total 3 2 2 3" xfId="53039" xr:uid="{00000000-0005-0000-0000-0000F1CF0000}"/>
    <cellStyle name="Total 3 2 3" xfId="53040" xr:uid="{00000000-0005-0000-0000-0000F2CF0000}"/>
    <cellStyle name="Total 3 2 3 2" xfId="53041" xr:uid="{00000000-0005-0000-0000-0000F3CF0000}"/>
    <cellStyle name="Total 3 2 3 2 2" xfId="53042" xr:uid="{00000000-0005-0000-0000-0000F4CF0000}"/>
    <cellStyle name="Total 3 2 3 3" xfId="53043" xr:uid="{00000000-0005-0000-0000-0000F5CF0000}"/>
    <cellStyle name="Total 3 2 4" xfId="53044" xr:uid="{00000000-0005-0000-0000-0000F6CF0000}"/>
    <cellStyle name="Total 3 2 4 2" xfId="53045" xr:uid="{00000000-0005-0000-0000-0000F7CF0000}"/>
    <cellStyle name="Total 3 2 4 2 2" xfId="53046" xr:uid="{00000000-0005-0000-0000-0000F8CF0000}"/>
    <cellStyle name="Total 3 2 4 3" xfId="53047" xr:uid="{00000000-0005-0000-0000-0000F9CF0000}"/>
    <cellStyle name="Total 3 2 5" xfId="53048" xr:uid="{00000000-0005-0000-0000-0000FACF0000}"/>
    <cellStyle name="Total 3 2 5 2" xfId="53049" xr:uid="{00000000-0005-0000-0000-0000FBCF0000}"/>
    <cellStyle name="Total 3 2 6" xfId="53050" xr:uid="{00000000-0005-0000-0000-0000FCCF0000}"/>
    <cellStyle name="Total 3 3" xfId="53051" xr:uid="{00000000-0005-0000-0000-0000FDCF0000}"/>
    <cellStyle name="Total 3 3 2" xfId="53052" xr:uid="{00000000-0005-0000-0000-0000FECF0000}"/>
    <cellStyle name="Total 3 3 2 2" xfId="53053" xr:uid="{00000000-0005-0000-0000-0000FFCF0000}"/>
    <cellStyle name="Total 3 3 3" xfId="53054" xr:uid="{00000000-0005-0000-0000-000000D00000}"/>
    <cellStyle name="Total 3 3 3 2" xfId="53055" xr:uid="{00000000-0005-0000-0000-000001D00000}"/>
    <cellStyle name="Total 3 3 3 2 2" xfId="53056" xr:uid="{00000000-0005-0000-0000-000002D00000}"/>
    <cellStyle name="Total 3 3 3 3" xfId="53057" xr:uid="{00000000-0005-0000-0000-000003D00000}"/>
    <cellStyle name="Total 3 3 4" xfId="53058" xr:uid="{00000000-0005-0000-0000-000004D00000}"/>
    <cellStyle name="Total 3 3 4 2" xfId="53059" xr:uid="{00000000-0005-0000-0000-000005D00000}"/>
    <cellStyle name="Total 3 3 4 2 2" xfId="53060" xr:uid="{00000000-0005-0000-0000-000006D00000}"/>
    <cellStyle name="Total 3 3 4 3" xfId="53061" xr:uid="{00000000-0005-0000-0000-000007D00000}"/>
    <cellStyle name="Total 3 3 5" xfId="53062" xr:uid="{00000000-0005-0000-0000-000008D00000}"/>
    <cellStyle name="Total 3 4" xfId="53063" xr:uid="{00000000-0005-0000-0000-000009D00000}"/>
    <cellStyle name="Total 3 4 2" xfId="53064" xr:uid="{00000000-0005-0000-0000-00000AD00000}"/>
    <cellStyle name="Total 3 4 2 2" xfId="53065" xr:uid="{00000000-0005-0000-0000-00000BD00000}"/>
    <cellStyle name="Total 3 4 2 2 2" xfId="53066" xr:uid="{00000000-0005-0000-0000-00000CD00000}"/>
    <cellStyle name="Total 3 4 2 3" xfId="53067" xr:uid="{00000000-0005-0000-0000-00000DD00000}"/>
    <cellStyle name="Total 3 4 2 3 2" xfId="53068" xr:uid="{00000000-0005-0000-0000-00000ED00000}"/>
    <cellStyle name="Total 3 4 2 3 2 2" xfId="53069" xr:uid="{00000000-0005-0000-0000-00000FD00000}"/>
    <cellStyle name="Total 3 4 2 3 3" xfId="53070" xr:uid="{00000000-0005-0000-0000-000010D00000}"/>
    <cellStyle name="Total 3 4 2 4" xfId="53071" xr:uid="{00000000-0005-0000-0000-000011D00000}"/>
    <cellStyle name="Total 3 4 3" xfId="53072" xr:uid="{00000000-0005-0000-0000-000012D00000}"/>
    <cellStyle name="Total 3 4 3 2" xfId="53073" xr:uid="{00000000-0005-0000-0000-000013D00000}"/>
    <cellStyle name="Total 3 4 3 2 2" xfId="53074" xr:uid="{00000000-0005-0000-0000-000014D00000}"/>
    <cellStyle name="Total 3 4 3 3" xfId="53075" xr:uid="{00000000-0005-0000-0000-000015D00000}"/>
    <cellStyle name="Total 3 4 4" xfId="53076" xr:uid="{00000000-0005-0000-0000-000016D00000}"/>
    <cellStyle name="Total 3 4 4 2" xfId="53077" xr:uid="{00000000-0005-0000-0000-000017D00000}"/>
    <cellStyle name="Total 3 4 4 2 2" xfId="53078" xr:uid="{00000000-0005-0000-0000-000018D00000}"/>
    <cellStyle name="Total 3 4 4 3" xfId="53079" xr:uid="{00000000-0005-0000-0000-000019D00000}"/>
    <cellStyle name="Total 3 4 5" xfId="53080" xr:uid="{00000000-0005-0000-0000-00001AD00000}"/>
    <cellStyle name="Total 3 4 5 2" xfId="53081" xr:uid="{00000000-0005-0000-0000-00001BD00000}"/>
    <cellStyle name="Total 3 4 5 2 2" xfId="53082" xr:uid="{00000000-0005-0000-0000-00001CD00000}"/>
    <cellStyle name="Total 3 4 5 3" xfId="53083" xr:uid="{00000000-0005-0000-0000-00001DD00000}"/>
    <cellStyle name="Total 3 4 6" xfId="53084" xr:uid="{00000000-0005-0000-0000-00001ED00000}"/>
    <cellStyle name="Total 3 5" xfId="53085" xr:uid="{00000000-0005-0000-0000-00001FD00000}"/>
    <cellStyle name="Total 3 5 2" xfId="53086" xr:uid="{00000000-0005-0000-0000-000020D00000}"/>
    <cellStyle name="Total 3 5 2 2" xfId="53087" xr:uid="{00000000-0005-0000-0000-000021D00000}"/>
    <cellStyle name="Total 3 5 3" xfId="53088" xr:uid="{00000000-0005-0000-0000-000022D00000}"/>
    <cellStyle name="Total 3 6" xfId="53089" xr:uid="{00000000-0005-0000-0000-000023D00000}"/>
    <cellStyle name="Total 3 6 2" xfId="53090" xr:uid="{00000000-0005-0000-0000-000024D00000}"/>
    <cellStyle name="Total 3 6 2 2" xfId="53091" xr:uid="{00000000-0005-0000-0000-000025D00000}"/>
    <cellStyle name="Total 3 6 3" xfId="53092" xr:uid="{00000000-0005-0000-0000-000026D00000}"/>
    <cellStyle name="Total 3 7" xfId="53093" xr:uid="{00000000-0005-0000-0000-000027D00000}"/>
    <cellStyle name="Total 3 7 2" xfId="53094" xr:uid="{00000000-0005-0000-0000-000028D00000}"/>
    <cellStyle name="Total 3 7 2 2" xfId="53095" xr:uid="{00000000-0005-0000-0000-000029D00000}"/>
    <cellStyle name="Total 3 7 3" xfId="53096" xr:uid="{00000000-0005-0000-0000-00002AD00000}"/>
    <cellStyle name="Total 3 8" xfId="53097" xr:uid="{00000000-0005-0000-0000-00002BD00000}"/>
    <cellStyle name="Total 4" xfId="53098" xr:uid="{00000000-0005-0000-0000-00002CD00000}"/>
    <cellStyle name="Total 4 2" xfId="53099" xr:uid="{00000000-0005-0000-0000-00002DD00000}"/>
    <cellStyle name="Total 4 2 2" xfId="53100" xr:uid="{00000000-0005-0000-0000-00002ED00000}"/>
    <cellStyle name="Total 4 2 2 2" xfId="53101" xr:uid="{00000000-0005-0000-0000-00002FD00000}"/>
    <cellStyle name="Total 4 2 3" xfId="53102" xr:uid="{00000000-0005-0000-0000-000030D00000}"/>
    <cellStyle name="Total 4 2 3 2" xfId="53103" xr:uid="{00000000-0005-0000-0000-000031D00000}"/>
    <cellStyle name="Total 4 2 3 2 2" xfId="53104" xr:uid="{00000000-0005-0000-0000-000032D00000}"/>
    <cellStyle name="Total 4 2 3 3" xfId="53105" xr:uid="{00000000-0005-0000-0000-000033D00000}"/>
    <cellStyle name="Total 4 2 4" xfId="53106" xr:uid="{00000000-0005-0000-0000-000034D00000}"/>
    <cellStyle name="Total 4 2 4 2" xfId="53107" xr:uid="{00000000-0005-0000-0000-000035D00000}"/>
    <cellStyle name="Total 4 2 4 2 2" xfId="53108" xr:uid="{00000000-0005-0000-0000-000036D00000}"/>
    <cellStyle name="Total 4 2 4 3" xfId="53109" xr:uid="{00000000-0005-0000-0000-000037D00000}"/>
    <cellStyle name="Total 4 2 5" xfId="53110" xr:uid="{00000000-0005-0000-0000-000038D00000}"/>
    <cellStyle name="Total 4 3" xfId="53111" xr:uid="{00000000-0005-0000-0000-000039D00000}"/>
    <cellStyle name="Total 4 3 2" xfId="53112" xr:uid="{00000000-0005-0000-0000-00003AD00000}"/>
    <cellStyle name="Total 4 3 2 2" xfId="53113" xr:uid="{00000000-0005-0000-0000-00003BD00000}"/>
    <cellStyle name="Total 4 3 2 2 2" xfId="53114" xr:uid="{00000000-0005-0000-0000-00003CD00000}"/>
    <cellStyle name="Total 4 3 2 3" xfId="53115" xr:uid="{00000000-0005-0000-0000-00003DD00000}"/>
    <cellStyle name="Total 4 3 2 3 2" xfId="53116" xr:uid="{00000000-0005-0000-0000-00003ED00000}"/>
    <cellStyle name="Total 4 3 2 3 2 2" xfId="53117" xr:uid="{00000000-0005-0000-0000-00003FD00000}"/>
    <cellStyle name="Total 4 3 2 3 3" xfId="53118" xr:uid="{00000000-0005-0000-0000-000040D00000}"/>
    <cellStyle name="Total 4 3 2 4" xfId="53119" xr:uid="{00000000-0005-0000-0000-000041D00000}"/>
    <cellStyle name="Total 4 3 3" xfId="53120" xr:uid="{00000000-0005-0000-0000-000042D00000}"/>
    <cellStyle name="Total 4 3 3 2" xfId="53121" xr:uid="{00000000-0005-0000-0000-000043D00000}"/>
    <cellStyle name="Total 4 3 3 2 2" xfId="53122" xr:uid="{00000000-0005-0000-0000-000044D00000}"/>
    <cellStyle name="Total 4 3 3 3" xfId="53123" xr:uid="{00000000-0005-0000-0000-000045D00000}"/>
    <cellStyle name="Total 4 3 4" xfId="53124" xr:uid="{00000000-0005-0000-0000-000046D00000}"/>
    <cellStyle name="Total 4 3 4 2" xfId="53125" xr:uid="{00000000-0005-0000-0000-000047D00000}"/>
    <cellStyle name="Total 4 3 4 2 2" xfId="53126" xr:uid="{00000000-0005-0000-0000-000048D00000}"/>
    <cellStyle name="Total 4 3 4 3" xfId="53127" xr:uid="{00000000-0005-0000-0000-000049D00000}"/>
    <cellStyle name="Total 4 3 5" xfId="53128" xr:uid="{00000000-0005-0000-0000-00004AD00000}"/>
    <cellStyle name="Total 4 3 5 2" xfId="53129" xr:uid="{00000000-0005-0000-0000-00004BD00000}"/>
    <cellStyle name="Total 4 3 5 2 2" xfId="53130" xr:uid="{00000000-0005-0000-0000-00004CD00000}"/>
    <cellStyle name="Total 4 3 5 3" xfId="53131" xr:uid="{00000000-0005-0000-0000-00004DD00000}"/>
    <cellStyle name="Total 4 3 6" xfId="53132" xr:uid="{00000000-0005-0000-0000-00004ED00000}"/>
    <cellStyle name="Total 4 4" xfId="53133" xr:uid="{00000000-0005-0000-0000-00004FD00000}"/>
    <cellStyle name="Total 4 4 2" xfId="53134" xr:uid="{00000000-0005-0000-0000-000050D00000}"/>
    <cellStyle name="Total 4 4 2 2" xfId="53135" xr:uid="{00000000-0005-0000-0000-000051D00000}"/>
    <cellStyle name="Total 4 4 3" xfId="53136" xr:uid="{00000000-0005-0000-0000-000052D00000}"/>
    <cellStyle name="Total 4 5" xfId="53137" xr:uid="{00000000-0005-0000-0000-000053D00000}"/>
    <cellStyle name="Total 4 5 2" xfId="53138" xr:uid="{00000000-0005-0000-0000-000054D00000}"/>
    <cellStyle name="Total 4 5 2 2" xfId="53139" xr:uid="{00000000-0005-0000-0000-000055D00000}"/>
    <cellStyle name="Total 4 5 3" xfId="53140" xr:uid="{00000000-0005-0000-0000-000056D00000}"/>
    <cellStyle name="Total 4 6" xfId="53141" xr:uid="{00000000-0005-0000-0000-000057D00000}"/>
    <cellStyle name="Total 4 6 2" xfId="53142" xr:uid="{00000000-0005-0000-0000-000058D00000}"/>
    <cellStyle name="Total 4 6 2 2" xfId="53143" xr:uid="{00000000-0005-0000-0000-000059D00000}"/>
    <cellStyle name="Total 4 6 3" xfId="53144" xr:uid="{00000000-0005-0000-0000-00005AD00000}"/>
    <cellStyle name="Total 4 7" xfId="53145" xr:uid="{00000000-0005-0000-0000-00005BD00000}"/>
    <cellStyle name="Total 5" xfId="53146" xr:uid="{00000000-0005-0000-0000-00005CD00000}"/>
    <cellStyle name="Total 5 2" xfId="53147" xr:uid="{00000000-0005-0000-0000-00005DD00000}"/>
    <cellStyle name="Total 5 2 2" xfId="53148" xr:uid="{00000000-0005-0000-0000-00005ED00000}"/>
    <cellStyle name="Total 5 2 2 2" xfId="53149" xr:uid="{00000000-0005-0000-0000-00005FD00000}"/>
    <cellStyle name="Total 5 2 2 2 2" xfId="53150" xr:uid="{00000000-0005-0000-0000-000060D00000}"/>
    <cellStyle name="Total 5 2 2 3" xfId="53151" xr:uid="{00000000-0005-0000-0000-000061D00000}"/>
    <cellStyle name="Total 5 2 3" xfId="53152" xr:uid="{00000000-0005-0000-0000-000062D00000}"/>
    <cellStyle name="Total 5 2 3 2" xfId="53153" xr:uid="{00000000-0005-0000-0000-000063D00000}"/>
    <cellStyle name="Total 5 2 3 2 2" xfId="53154" xr:uid="{00000000-0005-0000-0000-000064D00000}"/>
    <cellStyle name="Total 5 2 3 3" xfId="53155" xr:uid="{00000000-0005-0000-0000-000065D00000}"/>
    <cellStyle name="Total 5 2 4" xfId="53156" xr:uid="{00000000-0005-0000-0000-000066D00000}"/>
    <cellStyle name="Total 5 2 4 2" xfId="53157" xr:uid="{00000000-0005-0000-0000-000067D00000}"/>
    <cellStyle name="Total 5 2 4 2 2" xfId="53158" xr:uid="{00000000-0005-0000-0000-000068D00000}"/>
    <cellStyle name="Total 5 2 4 3" xfId="53159" xr:uid="{00000000-0005-0000-0000-000069D00000}"/>
    <cellStyle name="Total 5 2 5" xfId="53160" xr:uid="{00000000-0005-0000-0000-00006AD00000}"/>
    <cellStyle name="Total 5 2 5 2" xfId="53161" xr:uid="{00000000-0005-0000-0000-00006BD00000}"/>
    <cellStyle name="Total 5 2 6" xfId="53162" xr:uid="{00000000-0005-0000-0000-00006CD00000}"/>
    <cellStyle name="Total 5 3" xfId="53163" xr:uid="{00000000-0005-0000-0000-00006DD00000}"/>
    <cellStyle name="Total 5 3 2" xfId="53164" xr:uid="{00000000-0005-0000-0000-00006ED00000}"/>
    <cellStyle name="Total 5 3 2 2" xfId="53165" xr:uid="{00000000-0005-0000-0000-00006FD00000}"/>
    <cellStyle name="Total 5 3 2 2 2" xfId="53166" xr:uid="{00000000-0005-0000-0000-000070D00000}"/>
    <cellStyle name="Total 5 3 2 2 2 2" xfId="53167" xr:uid="{00000000-0005-0000-0000-000071D00000}"/>
    <cellStyle name="Total 5 3 2 2 3" xfId="53168" xr:uid="{00000000-0005-0000-0000-000072D00000}"/>
    <cellStyle name="Total 5 3 2 3" xfId="53169" xr:uid="{00000000-0005-0000-0000-000073D00000}"/>
    <cellStyle name="Total 5 3 2 3 2" xfId="53170" xr:uid="{00000000-0005-0000-0000-000074D00000}"/>
    <cellStyle name="Total 5 3 2 3 2 2" xfId="53171" xr:uid="{00000000-0005-0000-0000-000075D00000}"/>
    <cellStyle name="Total 5 3 2 3 3" xfId="53172" xr:uid="{00000000-0005-0000-0000-000076D00000}"/>
    <cellStyle name="Total 5 3 2 4" xfId="53173" xr:uid="{00000000-0005-0000-0000-000077D00000}"/>
    <cellStyle name="Total 5 3 2 4 2" xfId="53174" xr:uid="{00000000-0005-0000-0000-000078D00000}"/>
    <cellStyle name="Total 5 3 2 5" xfId="53175" xr:uid="{00000000-0005-0000-0000-000079D00000}"/>
    <cellStyle name="Total 5 3 3" xfId="53176" xr:uid="{00000000-0005-0000-0000-00007AD00000}"/>
    <cellStyle name="Total 5 3 3 2" xfId="53177" xr:uid="{00000000-0005-0000-0000-00007BD00000}"/>
    <cellStyle name="Total 5 3 3 2 2" xfId="53178" xr:uid="{00000000-0005-0000-0000-00007CD00000}"/>
    <cellStyle name="Total 5 3 3 2 2 2" xfId="53179" xr:uid="{00000000-0005-0000-0000-00007DD00000}"/>
    <cellStyle name="Total 5 3 3 2 3" xfId="53180" xr:uid="{00000000-0005-0000-0000-00007ED00000}"/>
    <cellStyle name="Total 5 3 3 3" xfId="53181" xr:uid="{00000000-0005-0000-0000-00007FD00000}"/>
    <cellStyle name="Total 5 3 3 3 2" xfId="53182" xr:uid="{00000000-0005-0000-0000-000080D00000}"/>
    <cellStyle name="Total 5 3 3 4" xfId="53183" xr:uid="{00000000-0005-0000-0000-000081D00000}"/>
    <cellStyle name="Total 5 3 4" xfId="53184" xr:uid="{00000000-0005-0000-0000-000082D00000}"/>
    <cellStyle name="Total 5 3 4 2" xfId="53185" xr:uid="{00000000-0005-0000-0000-000083D00000}"/>
    <cellStyle name="Total 5 3 4 2 2" xfId="53186" xr:uid="{00000000-0005-0000-0000-000084D00000}"/>
    <cellStyle name="Total 5 3 4 3" xfId="53187" xr:uid="{00000000-0005-0000-0000-000085D00000}"/>
    <cellStyle name="Total 5 3 5" xfId="53188" xr:uid="{00000000-0005-0000-0000-000086D00000}"/>
    <cellStyle name="Total 5 3 5 2" xfId="53189" xr:uid="{00000000-0005-0000-0000-000087D00000}"/>
    <cellStyle name="Total 5 3 5 2 2" xfId="53190" xr:uid="{00000000-0005-0000-0000-000088D00000}"/>
    <cellStyle name="Total 5 3 5 3" xfId="53191" xr:uid="{00000000-0005-0000-0000-000089D00000}"/>
    <cellStyle name="Total 5 3 6" xfId="53192" xr:uid="{00000000-0005-0000-0000-00008AD00000}"/>
    <cellStyle name="Total 5 3 6 2" xfId="53193" xr:uid="{00000000-0005-0000-0000-00008BD00000}"/>
    <cellStyle name="Total 5 3 7" xfId="53194" xr:uid="{00000000-0005-0000-0000-00008CD00000}"/>
    <cellStyle name="Total 5 4" xfId="53195" xr:uid="{00000000-0005-0000-0000-00008DD00000}"/>
    <cellStyle name="Total 5 4 2" xfId="53196" xr:uid="{00000000-0005-0000-0000-00008ED00000}"/>
    <cellStyle name="Total 5 4 2 2" xfId="53197" xr:uid="{00000000-0005-0000-0000-00008FD00000}"/>
    <cellStyle name="Total 5 4 2 2 2" xfId="53198" xr:uid="{00000000-0005-0000-0000-000090D00000}"/>
    <cellStyle name="Total 5 4 2 3" xfId="53199" xr:uid="{00000000-0005-0000-0000-000091D00000}"/>
    <cellStyle name="Total 5 4 3" xfId="53200" xr:uid="{00000000-0005-0000-0000-000092D00000}"/>
    <cellStyle name="Total 5 4 3 2" xfId="53201" xr:uid="{00000000-0005-0000-0000-000093D00000}"/>
    <cellStyle name="Total 5 4 4" xfId="53202" xr:uid="{00000000-0005-0000-0000-000094D00000}"/>
    <cellStyle name="Total 5 5" xfId="53203" xr:uid="{00000000-0005-0000-0000-000095D00000}"/>
    <cellStyle name="Total 5 5 2" xfId="53204" xr:uid="{00000000-0005-0000-0000-000096D00000}"/>
    <cellStyle name="Total 5 5 2 2" xfId="53205" xr:uid="{00000000-0005-0000-0000-000097D00000}"/>
    <cellStyle name="Total 5 5 3" xfId="53206" xr:uid="{00000000-0005-0000-0000-000098D00000}"/>
    <cellStyle name="Total 5 6" xfId="53207" xr:uid="{00000000-0005-0000-0000-000099D00000}"/>
    <cellStyle name="Total 5 6 2" xfId="53208" xr:uid="{00000000-0005-0000-0000-00009AD00000}"/>
    <cellStyle name="Total 5 6 2 2" xfId="53209" xr:uid="{00000000-0005-0000-0000-00009BD00000}"/>
    <cellStyle name="Total 5 6 3" xfId="53210" xr:uid="{00000000-0005-0000-0000-00009CD00000}"/>
    <cellStyle name="Total 5 7" xfId="53211" xr:uid="{00000000-0005-0000-0000-00009DD00000}"/>
    <cellStyle name="Total 5 7 2" xfId="53212" xr:uid="{00000000-0005-0000-0000-00009ED00000}"/>
    <cellStyle name="Total 5 8" xfId="53213" xr:uid="{00000000-0005-0000-0000-00009FD00000}"/>
    <cellStyle name="Total 6" xfId="53214" xr:uid="{00000000-0005-0000-0000-0000A0D00000}"/>
    <cellStyle name="Total 6 2" xfId="53215" xr:uid="{00000000-0005-0000-0000-0000A1D00000}"/>
    <cellStyle name="Total 6 2 2" xfId="53216" xr:uid="{00000000-0005-0000-0000-0000A2D00000}"/>
    <cellStyle name="Total 6 2 2 2" xfId="53217" xr:uid="{00000000-0005-0000-0000-0000A3D00000}"/>
    <cellStyle name="Total 6 2 2 2 2" xfId="53218" xr:uid="{00000000-0005-0000-0000-0000A4D00000}"/>
    <cellStyle name="Total 6 2 2 2 2 2" xfId="53219" xr:uid="{00000000-0005-0000-0000-0000A5D00000}"/>
    <cellStyle name="Total 6 2 2 2 3" xfId="53220" xr:uid="{00000000-0005-0000-0000-0000A6D00000}"/>
    <cellStyle name="Total 6 2 2 3" xfId="53221" xr:uid="{00000000-0005-0000-0000-0000A7D00000}"/>
    <cellStyle name="Total 6 2 2 3 2" xfId="53222" xr:uid="{00000000-0005-0000-0000-0000A8D00000}"/>
    <cellStyle name="Total 6 2 2 3 2 2" xfId="53223" xr:uid="{00000000-0005-0000-0000-0000A9D00000}"/>
    <cellStyle name="Total 6 2 2 3 3" xfId="53224" xr:uid="{00000000-0005-0000-0000-0000AAD00000}"/>
    <cellStyle name="Total 6 2 2 4" xfId="53225" xr:uid="{00000000-0005-0000-0000-0000ABD00000}"/>
    <cellStyle name="Total 6 2 2 4 2" xfId="53226" xr:uid="{00000000-0005-0000-0000-0000ACD00000}"/>
    <cellStyle name="Total 6 2 2 4 2 2" xfId="53227" xr:uid="{00000000-0005-0000-0000-0000ADD00000}"/>
    <cellStyle name="Total 6 2 2 4 3" xfId="53228" xr:uid="{00000000-0005-0000-0000-0000AED00000}"/>
    <cellStyle name="Total 6 2 2 5" xfId="53229" xr:uid="{00000000-0005-0000-0000-0000AFD00000}"/>
    <cellStyle name="Total 6 2 2 5 2" xfId="53230" xr:uid="{00000000-0005-0000-0000-0000B0D00000}"/>
    <cellStyle name="Total 6 2 2 6" xfId="53231" xr:uid="{00000000-0005-0000-0000-0000B1D00000}"/>
    <cellStyle name="Total 6 2 3" xfId="53232" xr:uid="{00000000-0005-0000-0000-0000B2D00000}"/>
    <cellStyle name="Total 6 2 3 2" xfId="53233" xr:uid="{00000000-0005-0000-0000-0000B3D00000}"/>
    <cellStyle name="Total 6 2 3 2 2" xfId="53234" xr:uid="{00000000-0005-0000-0000-0000B4D00000}"/>
    <cellStyle name="Total 6 2 3 2 2 2" xfId="53235" xr:uid="{00000000-0005-0000-0000-0000B5D00000}"/>
    <cellStyle name="Total 6 2 3 2 3" xfId="53236" xr:uid="{00000000-0005-0000-0000-0000B6D00000}"/>
    <cellStyle name="Total 6 2 3 3" xfId="53237" xr:uid="{00000000-0005-0000-0000-0000B7D00000}"/>
    <cellStyle name="Total 6 2 3 3 2" xfId="53238" xr:uid="{00000000-0005-0000-0000-0000B8D00000}"/>
    <cellStyle name="Total 6 2 3 4" xfId="53239" xr:uid="{00000000-0005-0000-0000-0000B9D00000}"/>
    <cellStyle name="Total 6 2 4" xfId="53240" xr:uid="{00000000-0005-0000-0000-0000BAD00000}"/>
    <cellStyle name="Total 6 2 4 2" xfId="53241" xr:uid="{00000000-0005-0000-0000-0000BBD00000}"/>
    <cellStyle name="Total 6 2 4 2 2" xfId="53242" xr:uid="{00000000-0005-0000-0000-0000BCD00000}"/>
    <cellStyle name="Total 6 2 4 3" xfId="53243" xr:uid="{00000000-0005-0000-0000-0000BDD00000}"/>
    <cellStyle name="Total 6 2 5" xfId="53244" xr:uid="{00000000-0005-0000-0000-0000BED00000}"/>
    <cellStyle name="Total 6 2 5 2" xfId="53245" xr:uid="{00000000-0005-0000-0000-0000BFD00000}"/>
    <cellStyle name="Total 6 2 5 2 2" xfId="53246" xr:uid="{00000000-0005-0000-0000-0000C0D00000}"/>
    <cellStyle name="Total 6 2 5 3" xfId="53247" xr:uid="{00000000-0005-0000-0000-0000C1D00000}"/>
    <cellStyle name="Total 6 2 6" xfId="53248" xr:uid="{00000000-0005-0000-0000-0000C2D00000}"/>
    <cellStyle name="Total 6 2 6 2" xfId="53249" xr:uid="{00000000-0005-0000-0000-0000C3D00000}"/>
    <cellStyle name="Total 6 2 7" xfId="53250" xr:uid="{00000000-0005-0000-0000-0000C4D00000}"/>
    <cellStyle name="Total 6 3" xfId="53251" xr:uid="{00000000-0005-0000-0000-0000C5D00000}"/>
    <cellStyle name="Total 6 4" xfId="53252" xr:uid="{00000000-0005-0000-0000-0000C6D00000}"/>
    <cellStyle name="Total 6 4 2" xfId="53253" xr:uid="{00000000-0005-0000-0000-0000C7D00000}"/>
    <cellStyle name="Total 6 4 2 2" xfId="53254" xr:uid="{00000000-0005-0000-0000-0000C8D00000}"/>
    <cellStyle name="Total 6 4 3" xfId="53255" xr:uid="{00000000-0005-0000-0000-0000C9D00000}"/>
    <cellStyle name="Total 6 5" xfId="53256" xr:uid="{00000000-0005-0000-0000-0000CAD00000}"/>
    <cellStyle name="Total 6 5 2" xfId="53257" xr:uid="{00000000-0005-0000-0000-0000CBD00000}"/>
    <cellStyle name="Total 6 5 2 2" xfId="53258" xr:uid="{00000000-0005-0000-0000-0000CCD00000}"/>
    <cellStyle name="Total 6 5 3" xfId="53259" xr:uid="{00000000-0005-0000-0000-0000CDD00000}"/>
    <cellStyle name="Total 7" xfId="53260" xr:uid="{00000000-0005-0000-0000-0000CED00000}"/>
    <cellStyle name="Total 7 2" xfId="53261" xr:uid="{00000000-0005-0000-0000-0000CFD00000}"/>
    <cellStyle name="Total 8" xfId="53262" xr:uid="{00000000-0005-0000-0000-0000D0D00000}"/>
    <cellStyle name="Total 8 2" xfId="53263" xr:uid="{00000000-0005-0000-0000-0000D1D00000}"/>
    <cellStyle name="Total 9" xfId="53264" xr:uid="{00000000-0005-0000-0000-0000D2D00000}"/>
    <cellStyle name="Unprot" xfId="53265" xr:uid="{00000000-0005-0000-0000-0000D3D00000}"/>
    <cellStyle name="Unprot 2" xfId="53266" xr:uid="{00000000-0005-0000-0000-0000D4D00000}"/>
    <cellStyle name="Unprot 2 2" xfId="53267" xr:uid="{00000000-0005-0000-0000-0000D5D00000}"/>
    <cellStyle name="Unprot 2 3" xfId="53268" xr:uid="{00000000-0005-0000-0000-0000D6D00000}"/>
    <cellStyle name="Unprot 2 3 2" xfId="53269" xr:uid="{00000000-0005-0000-0000-0000D7D00000}"/>
    <cellStyle name="Unprot 2 3 2 2" xfId="53270" xr:uid="{00000000-0005-0000-0000-0000D8D00000}"/>
    <cellStyle name="Unprot 2 3 3" xfId="53271" xr:uid="{00000000-0005-0000-0000-0000D9D00000}"/>
    <cellStyle name="Unprot 2 4" xfId="53272" xr:uid="{00000000-0005-0000-0000-0000DAD00000}"/>
    <cellStyle name="Unprot 2 4 2" xfId="53273" xr:uid="{00000000-0005-0000-0000-0000DBD00000}"/>
    <cellStyle name="Unprot 2 4 2 2" xfId="53274" xr:uid="{00000000-0005-0000-0000-0000DCD00000}"/>
    <cellStyle name="Unprot 2 4 3" xfId="53275" xr:uid="{00000000-0005-0000-0000-0000DDD00000}"/>
    <cellStyle name="Unprot 3" xfId="53276" xr:uid="{00000000-0005-0000-0000-0000DED00000}"/>
    <cellStyle name="Unprot 4" xfId="53277" xr:uid="{00000000-0005-0000-0000-0000DFD00000}"/>
    <cellStyle name="Unprot 4 2" xfId="53278" xr:uid="{00000000-0005-0000-0000-0000E0D00000}"/>
    <cellStyle name="Unprot 4 2 2" xfId="53279" xr:uid="{00000000-0005-0000-0000-0000E1D00000}"/>
    <cellStyle name="Unprot 4 3" xfId="53280" xr:uid="{00000000-0005-0000-0000-0000E2D00000}"/>
    <cellStyle name="Unprot 5" xfId="53281" xr:uid="{00000000-0005-0000-0000-0000E3D00000}"/>
    <cellStyle name="Unprot 5 2" xfId="53282" xr:uid="{00000000-0005-0000-0000-0000E4D00000}"/>
    <cellStyle name="Unprot 5 2 2" xfId="53283" xr:uid="{00000000-0005-0000-0000-0000E5D00000}"/>
    <cellStyle name="Unprot 5 3" xfId="53284" xr:uid="{00000000-0005-0000-0000-0000E6D00000}"/>
    <cellStyle name="Unprot$" xfId="53285" xr:uid="{00000000-0005-0000-0000-0000E7D00000}"/>
    <cellStyle name="Unprot$ 2" xfId="53286" xr:uid="{00000000-0005-0000-0000-0000E8D00000}"/>
    <cellStyle name="Unprot$ 2 2" xfId="53287" xr:uid="{00000000-0005-0000-0000-0000E9D00000}"/>
    <cellStyle name="Unprot$ 2 3" xfId="53288" xr:uid="{00000000-0005-0000-0000-0000EAD00000}"/>
    <cellStyle name="Unprot$ 2 3 2" xfId="53289" xr:uid="{00000000-0005-0000-0000-0000EBD00000}"/>
    <cellStyle name="Unprot$ 2 3 2 2" xfId="53290" xr:uid="{00000000-0005-0000-0000-0000ECD00000}"/>
    <cellStyle name="Unprot$ 2 3 3" xfId="53291" xr:uid="{00000000-0005-0000-0000-0000EDD00000}"/>
    <cellStyle name="Unprot$ 2 4" xfId="53292" xr:uid="{00000000-0005-0000-0000-0000EED00000}"/>
    <cellStyle name="Unprot$ 2 4 2" xfId="53293" xr:uid="{00000000-0005-0000-0000-0000EFD00000}"/>
    <cellStyle name="Unprot$ 2 4 2 2" xfId="53294" xr:uid="{00000000-0005-0000-0000-0000F0D00000}"/>
    <cellStyle name="Unprot$ 2 4 3" xfId="53295" xr:uid="{00000000-0005-0000-0000-0000F1D00000}"/>
    <cellStyle name="Unprot$ 3" xfId="53296" xr:uid="{00000000-0005-0000-0000-0000F2D00000}"/>
    <cellStyle name="Unprot$ 4" xfId="53297" xr:uid="{00000000-0005-0000-0000-0000F3D00000}"/>
    <cellStyle name="Unprot$ 4 2" xfId="53298" xr:uid="{00000000-0005-0000-0000-0000F4D00000}"/>
    <cellStyle name="Unprot$ 4 2 2" xfId="53299" xr:uid="{00000000-0005-0000-0000-0000F5D00000}"/>
    <cellStyle name="Unprot$ 4 3" xfId="53300" xr:uid="{00000000-0005-0000-0000-0000F6D00000}"/>
    <cellStyle name="Unprot$ 5" xfId="53301" xr:uid="{00000000-0005-0000-0000-0000F7D00000}"/>
    <cellStyle name="Unprot$ 5 2" xfId="53302" xr:uid="{00000000-0005-0000-0000-0000F8D00000}"/>
    <cellStyle name="Unprot$ 5 2 2" xfId="53303" xr:uid="{00000000-0005-0000-0000-0000F9D00000}"/>
    <cellStyle name="Unprot$ 5 3" xfId="53304" xr:uid="{00000000-0005-0000-0000-0000FAD00000}"/>
    <cellStyle name="Unprot$ 6" xfId="53305" xr:uid="{00000000-0005-0000-0000-0000FBD00000}"/>
    <cellStyle name="Unprot_Atlas" xfId="53306" xr:uid="{00000000-0005-0000-0000-0000FCD00000}"/>
    <cellStyle name="Unprotect" xfId="53307" xr:uid="{00000000-0005-0000-0000-0000FDD00000}"/>
    <cellStyle name="Unprotect 2" xfId="53308" xr:uid="{00000000-0005-0000-0000-0000FED00000}"/>
    <cellStyle name="Unprotect 3" xfId="53309" xr:uid="{00000000-0005-0000-0000-0000FFD00000}"/>
    <cellStyle name="Unprotect 3 2" xfId="53310" xr:uid="{00000000-0005-0000-0000-000000D10000}"/>
    <cellStyle name="Unprotect 3 2 2" xfId="53311" xr:uid="{00000000-0005-0000-0000-000001D10000}"/>
    <cellStyle name="Unprotect 3 3" xfId="53312" xr:uid="{00000000-0005-0000-0000-000002D10000}"/>
    <cellStyle name="Unprotect 4" xfId="53313" xr:uid="{00000000-0005-0000-0000-000003D10000}"/>
    <cellStyle name="Unprotect 4 2" xfId="53314" xr:uid="{00000000-0005-0000-0000-000004D10000}"/>
    <cellStyle name="Unprotect 4 2 2" xfId="53315" xr:uid="{00000000-0005-0000-0000-000005D10000}"/>
    <cellStyle name="Unprotect 4 3" xfId="53316" xr:uid="{00000000-0005-0000-0000-000006D10000}"/>
    <cellStyle name="Warning Text 2" xfId="53317" xr:uid="{00000000-0005-0000-0000-000007D10000}"/>
    <cellStyle name="Warning Text 2 10" xfId="53318" xr:uid="{00000000-0005-0000-0000-000008D10000}"/>
    <cellStyle name="Warning Text 2 10 2" xfId="53319" xr:uid="{00000000-0005-0000-0000-000009D10000}"/>
    <cellStyle name="Warning Text 2 11" xfId="53320" xr:uid="{00000000-0005-0000-0000-00000AD10000}"/>
    <cellStyle name="Warning Text 2 12" xfId="53321" xr:uid="{00000000-0005-0000-0000-00000BD10000}"/>
    <cellStyle name="Warning Text 2 2" xfId="53322" xr:uid="{00000000-0005-0000-0000-00000CD10000}"/>
    <cellStyle name="Warning Text 2 2 2" xfId="53323" xr:uid="{00000000-0005-0000-0000-00000DD10000}"/>
    <cellStyle name="Warning Text 2 2 2 2" xfId="53324" xr:uid="{00000000-0005-0000-0000-00000ED10000}"/>
    <cellStyle name="Warning Text 2 2 2 2 2" xfId="53325" xr:uid="{00000000-0005-0000-0000-00000FD10000}"/>
    <cellStyle name="Warning Text 2 2 2 3" xfId="53326" xr:uid="{00000000-0005-0000-0000-000010D10000}"/>
    <cellStyle name="Warning Text 2 2 2 3 2" xfId="53327" xr:uid="{00000000-0005-0000-0000-000011D10000}"/>
    <cellStyle name="Warning Text 2 2 2 3 2 2" xfId="53328" xr:uid="{00000000-0005-0000-0000-000012D10000}"/>
    <cellStyle name="Warning Text 2 2 2 3 3" xfId="53329" xr:uid="{00000000-0005-0000-0000-000013D10000}"/>
    <cellStyle name="Warning Text 2 2 2 4" xfId="53330" xr:uid="{00000000-0005-0000-0000-000014D10000}"/>
    <cellStyle name="Warning Text 2 2 2 4 2" xfId="53331" xr:uid="{00000000-0005-0000-0000-000015D10000}"/>
    <cellStyle name="Warning Text 2 2 2 4 2 2" xfId="53332" xr:uid="{00000000-0005-0000-0000-000016D10000}"/>
    <cellStyle name="Warning Text 2 2 2 4 3" xfId="53333" xr:uid="{00000000-0005-0000-0000-000017D10000}"/>
    <cellStyle name="Warning Text 2 2 2 5" xfId="53334" xr:uid="{00000000-0005-0000-0000-000018D10000}"/>
    <cellStyle name="Warning Text 2 2 3" xfId="53335" xr:uid="{00000000-0005-0000-0000-000019D10000}"/>
    <cellStyle name="Warning Text 2 2 3 2" xfId="53336" xr:uid="{00000000-0005-0000-0000-00001AD10000}"/>
    <cellStyle name="Warning Text 2 2 3 2 2" xfId="53337" xr:uid="{00000000-0005-0000-0000-00001BD10000}"/>
    <cellStyle name="Warning Text 2 2 3 2 2 2" xfId="53338" xr:uid="{00000000-0005-0000-0000-00001CD10000}"/>
    <cellStyle name="Warning Text 2 2 3 2 3" xfId="53339" xr:uid="{00000000-0005-0000-0000-00001DD10000}"/>
    <cellStyle name="Warning Text 2 2 3 2 3 2" xfId="53340" xr:uid="{00000000-0005-0000-0000-00001ED10000}"/>
    <cellStyle name="Warning Text 2 2 3 2 3 2 2" xfId="53341" xr:uid="{00000000-0005-0000-0000-00001FD10000}"/>
    <cellStyle name="Warning Text 2 2 3 2 3 3" xfId="53342" xr:uid="{00000000-0005-0000-0000-000020D10000}"/>
    <cellStyle name="Warning Text 2 2 3 2 4" xfId="53343" xr:uid="{00000000-0005-0000-0000-000021D10000}"/>
    <cellStyle name="Warning Text 2 2 3 3" xfId="53344" xr:uid="{00000000-0005-0000-0000-000022D10000}"/>
    <cellStyle name="Warning Text 2 2 3 3 2" xfId="53345" xr:uid="{00000000-0005-0000-0000-000023D10000}"/>
    <cellStyle name="Warning Text 2 2 3 3 2 2" xfId="53346" xr:uid="{00000000-0005-0000-0000-000024D10000}"/>
    <cellStyle name="Warning Text 2 2 3 3 3" xfId="53347" xr:uid="{00000000-0005-0000-0000-000025D10000}"/>
    <cellStyle name="Warning Text 2 2 3 4" xfId="53348" xr:uid="{00000000-0005-0000-0000-000026D10000}"/>
    <cellStyle name="Warning Text 2 2 3 4 2" xfId="53349" xr:uid="{00000000-0005-0000-0000-000027D10000}"/>
    <cellStyle name="Warning Text 2 2 3 4 2 2" xfId="53350" xr:uid="{00000000-0005-0000-0000-000028D10000}"/>
    <cellStyle name="Warning Text 2 2 3 4 3" xfId="53351" xr:uid="{00000000-0005-0000-0000-000029D10000}"/>
    <cellStyle name="Warning Text 2 2 3 5" xfId="53352" xr:uid="{00000000-0005-0000-0000-00002AD10000}"/>
    <cellStyle name="Warning Text 2 2 3 5 2" xfId="53353" xr:uid="{00000000-0005-0000-0000-00002BD10000}"/>
    <cellStyle name="Warning Text 2 2 3 5 2 2" xfId="53354" xr:uid="{00000000-0005-0000-0000-00002CD10000}"/>
    <cellStyle name="Warning Text 2 2 3 5 3" xfId="53355" xr:uid="{00000000-0005-0000-0000-00002DD10000}"/>
    <cellStyle name="Warning Text 2 2 3 6" xfId="53356" xr:uid="{00000000-0005-0000-0000-00002ED10000}"/>
    <cellStyle name="Warning Text 2 2 4" xfId="53357" xr:uid="{00000000-0005-0000-0000-00002FD10000}"/>
    <cellStyle name="Warning Text 2 2 4 2" xfId="53358" xr:uid="{00000000-0005-0000-0000-000030D10000}"/>
    <cellStyle name="Warning Text 2 2 4 2 2" xfId="53359" xr:uid="{00000000-0005-0000-0000-000031D10000}"/>
    <cellStyle name="Warning Text 2 2 4 3" xfId="53360" xr:uid="{00000000-0005-0000-0000-000032D10000}"/>
    <cellStyle name="Warning Text 2 2 5" xfId="53361" xr:uid="{00000000-0005-0000-0000-000033D10000}"/>
    <cellStyle name="Warning Text 2 2 5 2" xfId="53362" xr:uid="{00000000-0005-0000-0000-000034D10000}"/>
    <cellStyle name="Warning Text 2 2 5 2 2" xfId="53363" xr:uid="{00000000-0005-0000-0000-000035D10000}"/>
    <cellStyle name="Warning Text 2 2 5 3" xfId="53364" xr:uid="{00000000-0005-0000-0000-000036D10000}"/>
    <cellStyle name="Warning Text 2 2 6" xfId="53365" xr:uid="{00000000-0005-0000-0000-000037D10000}"/>
    <cellStyle name="Warning Text 2 2 6 2" xfId="53366" xr:uid="{00000000-0005-0000-0000-000038D10000}"/>
    <cellStyle name="Warning Text 2 2 6 2 2" xfId="53367" xr:uid="{00000000-0005-0000-0000-000039D10000}"/>
    <cellStyle name="Warning Text 2 2 6 3" xfId="53368" xr:uid="{00000000-0005-0000-0000-00003AD10000}"/>
    <cellStyle name="Warning Text 2 2 7" xfId="53369" xr:uid="{00000000-0005-0000-0000-00003BD10000}"/>
    <cellStyle name="Warning Text 2 3" xfId="53370" xr:uid="{00000000-0005-0000-0000-00003CD10000}"/>
    <cellStyle name="Warning Text 2 3 2" xfId="53371" xr:uid="{00000000-0005-0000-0000-00003DD10000}"/>
    <cellStyle name="Warning Text 2 3 2 2" xfId="53372" xr:uid="{00000000-0005-0000-0000-00003ED10000}"/>
    <cellStyle name="Warning Text 2 3 2 2 2" xfId="53373" xr:uid="{00000000-0005-0000-0000-00003FD10000}"/>
    <cellStyle name="Warning Text 2 3 2 3" xfId="53374" xr:uid="{00000000-0005-0000-0000-000040D10000}"/>
    <cellStyle name="Warning Text 2 3 2 3 2" xfId="53375" xr:uid="{00000000-0005-0000-0000-000041D10000}"/>
    <cellStyle name="Warning Text 2 3 2 3 2 2" xfId="53376" xr:uid="{00000000-0005-0000-0000-000042D10000}"/>
    <cellStyle name="Warning Text 2 3 2 3 3" xfId="53377" xr:uid="{00000000-0005-0000-0000-000043D10000}"/>
    <cellStyle name="Warning Text 2 3 2 4" xfId="53378" xr:uid="{00000000-0005-0000-0000-000044D10000}"/>
    <cellStyle name="Warning Text 2 3 2 4 2" xfId="53379" xr:uid="{00000000-0005-0000-0000-000045D10000}"/>
    <cellStyle name="Warning Text 2 3 2 4 2 2" xfId="53380" xr:uid="{00000000-0005-0000-0000-000046D10000}"/>
    <cellStyle name="Warning Text 2 3 2 4 3" xfId="53381" xr:uid="{00000000-0005-0000-0000-000047D10000}"/>
    <cellStyle name="Warning Text 2 3 2 5" xfId="53382" xr:uid="{00000000-0005-0000-0000-000048D10000}"/>
    <cellStyle name="Warning Text 2 3 3" xfId="53383" xr:uid="{00000000-0005-0000-0000-000049D10000}"/>
    <cellStyle name="Warning Text 2 3 3 2" xfId="53384" xr:uid="{00000000-0005-0000-0000-00004AD10000}"/>
    <cellStyle name="Warning Text 2 3 3 2 2" xfId="53385" xr:uid="{00000000-0005-0000-0000-00004BD10000}"/>
    <cellStyle name="Warning Text 2 3 3 2 2 2" xfId="53386" xr:uid="{00000000-0005-0000-0000-00004CD10000}"/>
    <cellStyle name="Warning Text 2 3 3 2 3" xfId="53387" xr:uid="{00000000-0005-0000-0000-00004DD10000}"/>
    <cellStyle name="Warning Text 2 3 3 2 3 2" xfId="53388" xr:uid="{00000000-0005-0000-0000-00004ED10000}"/>
    <cellStyle name="Warning Text 2 3 3 2 3 2 2" xfId="53389" xr:uid="{00000000-0005-0000-0000-00004FD10000}"/>
    <cellStyle name="Warning Text 2 3 3 2 3 3" xfId="53390" xr:uid="{00000000-0005-0000-0000-000050D10000}"/>
    <cellStyle name="Warning Text 2 3 3 2 4" xfId="53391" xr:uid="{00000000-0005-0000-0000-000051D10000}"/>
    <cellStyle name="Warning Text 2 3 3 3" xfId="53392" xr:uid="{00000000-0005-0000-0000-000052D10000}"/>
    <cellStyle name="Warning Text 2 3 3 3 2" xfId="53393" xr:uid="{00000000-0005-0000-0000-000053D10000}"/>
    <cellStyle name="Warning Text 2 3 3 3 2 2" xfId="53394" xr:uid="{00000000-0005-0000-0000-000054D10000}"/>
    <cellStyle name="Warning Text 2 3 3 3 3" xfId="53395" xr:uid="{00000000-0005-0000-0000-000055D10000}"/>
    <cellStyle name="Warning Text 2 3 3 4" xfId="53396" xr:uid="{00000000-0005-0000-0000-000056D10000}"/>
    <cellStyle name="Warning Text 2 3 3 4 2" xfId="53397" xr:uid="{00000000-0005-0000-0000-000057D10000}"/>
    <cellStyle name="Warning Text 2 3 3 4 2 2" xfId="53398" xr:uid="{00000000-0005-0000-0000-000058D10000}"/>
    <cellStyle name="Warning Text 2 3 3 4 3" xfId="53399" xr:uid="{00000000-0005-0000-0000-000059D10000}"/>
    <cellStyle name="Warning Text 2 3 3 5" xfId="53400" xr:uid="{00000000-0005-0000-0000-00005AD10000}"/>
    <cellStyle name="Warning Text 2 3 3 5 2" xfId="53401" xr:uid="{00000000-0005-0000-0000-00005BD10000}"/>
    <cellStyle name="Warning Text 2 3 3 5 2 2" xfId="53402" xr:uid="{00000000-0005-0000-0000-00005CD10000}"/>
    <cellStyle name="Warning Text 2 3 3 5 3" xfId="53403" xr:uid="{00000000-0005-0000-0000-00005DD10000}"/>
    <cellStyle name="Warning Text 2 3 3 6" xfId="53404" xr:uid="{00000000-0005-0000-0000-00005ED10000}"/>
    <cellStyle name="Warning Text 2 3 4" xfId="53405" xr:uid="{00000000-0005-0000-0000-00005FD10000}"/>
    <cellStyle name="Warning Text 2 3 4 2" xfId="53406" xr:uid="{00000000-0005-0000-0000-000060D10000}"/>
    <cellStyle name="Warning Text 2 3 4 2 2" xfId="53407" xr:uid="{00000000-0005-0000-0000-000061D10000}"/>
    <cellStyle name="Warning Text 2 3 4 3" xfId="53408" xr:uid="{00000000-0005-0000-0000-000062D10000}"/>
    <cellStyle name="Warning Text 2 3 5" xfId="53409" xr:uid="{00000000-0005-0000-0000-000063D10000}"/>
    <cellStyle name="Warning Text 2 3 5 2" xfId="53410" xr:uid="{00000000-0005-0000-0000-000064D10000}"/>
    <cellStyle name="Warning Text 2 3 5 2 2" xfId="53411" xr:uid="{00000000-0005-0000-0000-000065D10000}"/>
    <cellStyle name="Warning Text 2 3 5 3" xfId="53412" xr:uid="{00000000-0005-0000-0000-000066D10000}"/>
    <cellStyle name="Warning Text 2 3 6" xfId="53413" xr:uid="{00000000-0005-0000-0000-000067D10000}"/>
    <cellStyle name="Warning Text 2 3 6 2" xfId="53414" xr:uid="{00000000-0005-0000-0000-000068D10000}"/>
    <cellStyle name="Warning Text 2 3 6 2 2" xfId="53415" xr:uid="{00000000-0005-0000-0000-000069D10000}"/>
    <cellStyle name="Warning Text 2 3 6 3" xfId="53416" xr:uid="{00000000-0005-0000-0000-00006AD10000}"/>
    <cellStyle name="Warning Text 2 3 7" xfId="53417" xr:uid="{00000000-0005-0000-0000-00006BD10000}"/>
    <cellStyle name="Warning Text 2 4" xfId="53418" xr:uid="{00000000-0005-0000-0000-00006CD10000}"/>
    <cellStyle name="Warning Text 2 4 2" xfId="53419" xr:uid="{00000000-0005-0000-0000-00006DD10000}"/>
    <cellStyle name="Warning Text 2 4 2 2" xfId="53420" xr:uid="{00000000-0005-0000-0000-00006ED10000}"/>
    <cellStyle name="Warning Text 2 4 2 2 2" xfId="53421" xr:uid="{00000000-0005-0000-0000-00006FD10000}"/>
    <cellStyle name="Warning Text 2 4 2 3" xfId="53422" xr:uid="{00000000-0005-0000-0000-000070D10000}"/>
    <cellStyle name="Warning Text 2 4 2 3 2" xfId="53423" xr:uid="{00000000-0005-0000-0000-000071D10000}"/>
    <cellStyle name="Warning Text 2 4 2 3 2 2" xfId="53424" xr:uid="{00000000-0005-0000-0000-000072D10000}"/>
    <cellStyle name="Warning Text 2 4 2 3 3" xfId="53425" xr:uid="{00000000-0005-0000-0000-000073D10000}"/>
    <cellStyle name="Warning Text 2 4 2 4" xfId="53426" xr:uid="{00000000-0005-0000-0000-000074D10000}"/>
    <cellStyle name="Warning Text 2 4 2 4 2" xfId="53427" xr:uid="{00000000-0005-0000-0000-000075D10000}"/>
    <cellStyle name="Warning Text 2 4 2 4 2 2" xfId="53428" xr:uid="{00000000-0005-0000-0000-000076D10000}"/>
    <cellStyle name="Warning Text 2 4 2 4 3" xfId="53429" xr:uid="{00000000-0005-0000-0000-000077D10000}"/>
    <cellStyle name="Warning Text 2 4 2 5" xfId="53430" xr:uid="{00000000-0005-0000-0000-000078D10000}"/>
    <cellStyle name="Warning Text 2 4 3" xfId="53431" xr:uid="{00000000-0005-0000-0000-000079D10000}"/>
    <cellStyle name="Warning Text 2 4 3 2" xfId="53432" xr:uid="{00000000-0005-0000-0000-00007AD10000}"/>
    <cellStyle name="Warning Text 2 4 3 2 2" xfId="53433" xr:uid="{00000000-0005-0000-0000-00007BD10000}"/>
    <cellStyle name="Warning Text 2 4 3 3" xfId="53434" xr:uid="{00000000-0005-0000-0000-00007CD10000}"/>
    <cellStyle name="Warning Text 2 4 4" xfId="53435" xr:uid="{00000000-0005-0000-0000-00007DD10000}"/>
    <cellStyle name="Warning Text 2 4 4 2" xfId="53436" xr:uid="{00000000-0005-0000-0000-00007ED10000}"/>
    <cellStyle name="Warning Text 2 4 4 2 2" xfId="53437" xr:uid="{00000000-0005-0000-0000-00007FD10000}"/>
    <cellStyle name="Warning Text 2 4 4 3" xfId="53438" xr:uid="{00000000-0005-0000-0000-000080D10000}"/>
    <cellStyle name="Warning Text 2 4 5" xfId="53439" xr:uid="{00000000-0005-0000-0000-000081D10000}"/>
    <cellStyle name="Warning Text 2 4 5 2" xfId="53440" xr:uid="{00000000-0005-0000-0000-000082D10000}"/>
    <cellStyle name="Warning Text 2 4 5 2 2" xfId="53441" xr:uid="{00000000-0005-0000-0000-000083D10000}"/>
    <cellStyle name="Warning Text 2 4 5 3" xfId="53442" xr:uid="{00000000-0005-0000-0000-000084D10000}"/>
    <cellStyle name="Warning Text 2 4 6" xfId="53443" xr:uid="{00000000-0005-0000-0000-000085D10000}"/>
    <cellStyle name="Warning Text 2 5" xfId="53444" xr:uid="{00000000-0005-0000-0000-000086D10000}"/>
    <cellStyle name="Warning Text 2 5 2" xfId="53445" xr:uid="{00000000-0005-0000-0000-000087D10000}"/>
    <cellStyle name="Warning Text 2 5 2 2" xfId="53446" xr:uid="{00000000-0005-0000-0000-000088D10000}"/>
    <cellStyle name="Warning Text 2 5 2 2 2" xfId="53447" xr:uid="{00000000-0005-0000-0000-000089D10000}"/>
    <cellStyle name="Warning Text 2 5 2 3" xfId="53448" xr:uid="{00000000-0005-0000-0000-00008AD10000}"/>
    <cellStyle name="Warning Text 2 5 2 3 2" xfId="53449" xr:uid="{00000000-0005-0000-0000-00008BD10000}"/>
    <cellStyle name="Warning Text 2 5 2 3 2 2" xfId="53450" xr:uid="{00000000-0005-0000-0000-00008CD10000}"/>
    <cellStyle name="Warning Text 2 5 2 3 3" xfId="53451" xr:uid="{00000000-0005-0000-0000-00008DD10000}"/>
    <cellStyle name="Warning Text 2 5 2 4" xfId="53452" xr:uid="{00000000-0005-0000-0000-00008ED10000}"/>
    <cellStyle name="Warning Text 2 5 2 4 2" xfId="53453" xr:uid="{00000000-0005-0000-0000-00008FD10000}"/>
    <cellStyle name="Warning Text 2 5 2 4 2 2" xfId="53454" xr:uid="{00000000-0005-0000-0000-000090D10000}"/>
    <cellStyle name="Warning Text 2 5 2 4 3" xfId="53455" xr:uid="{00000000-0005-0000-0000-000091D10000}"/>
    <cellStyle name="Warning Text 2 5 2 5" xfId="53456" xr:uid="{00000000-0005-0000-0000-000092D10000}"/>
    <cellStyle name="Warning Text 2 5 3" xfId="53457" xr:uid="{00000000-0005-0000-0000-000093D10000}"/>
    <cellStyle name="Warning Text 2 5 3 2" xfId="53458" xr:uid="{00000000-0005-0000-0000-000094D10000}"/>
    <cellStyle name="Warning Text 2 5 3 2 2" xfId="53459" xr:uid="{00000000-0005-0000-0000-000095D10000}"/>
    <cellStyle name="Warning Text 2 5 3 3" xfId="53460" xr:uid="{00000000-0005-0000-0000-000096D10000}"/>
    <cellStyle name="Warning Text 2 5 3 3 2" xfId="53461" xr:uid="{00000000-0005-0000-0000-000097D10000}"/>
    <cellStyle name="Warning Text 2 5 3 3 2 2" xfId="53462" xr:uid="{00000000-0005-0000-0000-000098D10000}"/>
    <cellStyle name="Warning Text 2 5 3 3 3" xfId="53463" xr:uid="{00000000-0005-0000-0000-000099D10000}"/>
    <cellStyle name="Warning Text 2 5 3 4" xfId="53464" xr:uid="{00000000-0005-0000-0000-00009AD10000}"/>
    <cellStyle name="Warning Text 2 5 4" xfId="53465" xr:uid="{00000000-0005-0000-0000-00009BD10000}"/>
    <cellStyle name="Warning Text 2 5 4 2" xfId="53466" xr:uid="{00000000-0005-0000-0000-00009CD10000}"/>
    <cellStyle name="Warning Text 2 5 4 2 2" xfId="53467" xr:uid="{00000000-0005-0000-0000-00009DD10000}"/>
    <cellStyle name="Warning Text 2 5 4 3" xfId="53468" xr:uid="{00000000-0005-0000-0000-00009ED10000}"/>
    <cellStyle name="Warning Text 2 5 5" xfId="53469" xr:uid="{00000000-0005-0000-0000-00009FD10000}"/>
    <cellStyle name="Warning Text 2 5 5 2" xfId="53470" xr:uid="{00000000-0005-0000-0000-0000A0D10000}"/>
    <cellStyle name="Warning Text 2 5 5 2 2" xfId="53471" xr:uid="{00000000-0005-0000-0000-0000A1D10000}"/>
    <cellStyle name="Warning Text 2 5 5 3" xfId="53472" xr:uid="{00000000-0005-0000-0000-0000A2D10000}"/>
    <cellStyle name="Warning Text 2 5 6" xfId="53473" xr:uid="{00000000-0005-0000-0000-0000A3D10000}"/>
    <cellStyle name="Warning Text 2 5 6 2" xfId="53474" xr:uid="{00000000-0005-0000-0000-0000A4D10000}"/>
    <cellStyle name="Warning Text 2 5 6 2 2" xfId="53475" xr:uid="{00000000-0005-0000-0000-0000A5D10000}"/>
    <cellStyle name="Warning Text 2 5 6 3" xfId="53476" xr:uid="{00000000-0005-0000-0000-0000A6D10000}"/>
    <cellStyle name="Warning Text 2 5 7" xfId="53477" xr:uid="{00000000-0005-0000-0000-0000A7D10000}"/>
    <cellStyle name="Warning Text 2 6" xfId="53478" xr:uid="{00000000-0005-0000-0000-0000A8D10000}"/>
    <cellStyle name="Warning Text 2 6 2" xfId="53479" xr:uid="{00000000-0005-0000-0000-0000A9D10000}"/>
    <cellStyle name="Warning Text 2 6 2 2" xfId="53480" xr:uid="{00000000-0005-0000-0000-0000AAD10000}"/>
    <cellStyle name="Warning Text 2 6 3" xfId="53481" xr:uid="{00000000-0005-0000-0000-0000ABD10000}"/>
    <cellStyle name="Warning Text 2 7" xfId="53482" xr:uid="{00000000-0005-0000-0000-0000ACD10000}"/>
    <cellStyle name="Warning Text 2 7 2" xfId="53483" xr:uid="{00000000-0005-0000-0000-0000ADD10000}"/>
    <cellStyle name="Warning Text 2 7 2 2" xfId="53484" xr:uid="{00000000-0005-0000-0000-0000AED10000}"/>
    <cellStyle name="Warning Text 2 7 3" xfId="53485" xr:uid="{00000000-0005-0000-0000-0000AFD10000}"/>
    <cellStyle name="Warning Text 2 8" xfId="53486" xr:uid="{00000000-0005-0000-0000-0000B0D10000}"/>
    <cellStyle name="Warning Text 2 8 2" xfId="53487" xr:uid="{00000000-0005-0000-0000-0000B1D10000}"/>
    <cellStyle name="Warning Text 2 8 2 2" xfId="53488" xr:uid="{00000000-0005-0000-0000-0000B2D10000}"/>
    <cellStyle name="Warning Text 2 8 3" xfId="53489" xr:uid="{00000000-0005-0000-0000-0000B3D10000}"/>
    <cellStyle name="Warning Text 2 9" xfId="53490" xr:uid="{00000000-0005-0000-0000-0000B4D10000}"/>
    <cellStyle name="Warning Text 2 9 2" xfId="53491" xr:uid="{00000000-0005-0000-0000-0000B5D10000}"/>
    <cellStyle name="Warning Text 2 9 2 2" xfId="53492" xr:uid="{00000000-0005-0000-0000-0000B6D10000}"/>
    <cellStyle name="Warning Text 2 9 3" xfId="53493" xr:uid="{00000000-0005-0000-0000-0000B7D10000}"/>
    <cellStyle name="Warning Text 3" xfId="53494" xr:uid="{00000000-0005-0000-0000-0000B8D10000}"/>
    <cellStyle name="Warning Text 3 2" xfId="53495" xr:uid="{00000000-0005-0000-0000-0000B9D10000}"/>
    <cellStyle name="Warning Text 3 2 2" xfId="53496" xr:uid="{00000000-0005-0000-0000-0000BAD10000}"/>
    <cellStyle name="Warning Text 3 2 2 2" xfId="53497" xr:uid="{00000000-0005-0000-0000-0000BBD10000}"/>
    <cellStyle name="Warning Text 3 2 3" xfId="53498" xr:uid="{00000000-0005-0000-0000-0000BCD10000}"/>
    <cellStyle name="Warning Text 3 2 3 2" xfId="53499" xr:uid="{00000000-0005-0000-0000-0000BDD10000}"/>
    <cellStyle name="Warning Text 3 2 3 2 2" xfId="53500" xr:uid="{00000000-0005-0000-0000-0000BED10000}"/>
    <cellStyle name="Warning Text 3 2 3 3" xfId="53501" xr:uid="{00000000-0005-0000-0000-0000BFD10000}"/>
    <cellStyle name="Warning Text 3 2 4" xfId="53502" xr:uid="{00000000-0005-0000-0000-0000C0D10000}"/>
    <cellStyle name="Warning Text 3 2 4 2" xfId="53503" xr:uid="{00000000-0005-0000-0000-0000C1D10000}"/>
    <cellStyle name="Warning Text 3 2 4 2 2" xfId="53504" xr:uid="{00000000-0005-0000-0000-0000C2D10000}"/>
    <cellStyle name="Warning Text 3 2 4 3" xfId="53505" xr:uid="{00000000-0005-0000-0000-0000C3D10000}"/>
    <cellStyle name="Warning Text 3 2 5" xfId="53506" xr:uid="{00000000-0005-0000-0000-0000C4D10000}"/>
    <cellStyle name="Warning Text 3 3" xfId="53507" xr:uid="{00000000-0005-0000-0000-0000C5D10000}"/>
    <cellStyle name="Warning Text 3 3 2" xfId="53508" xr:uid="{00000000-0005-0000-0000-0000C6D10000}"/>
    <cellStyle name="Warning Text 3 3 2 2" xfId="53509" xr:uid="{00000000-0005-0000-0000-0000C7D10000}"/>
    <cellStyle name="Warning Text 3 3 3" xfId="53510" xr:uid="{00000000-0005-0000-0000-0000C8D10000}"/>
    <cellStyle name="Warning Text 3 3 3 2" xfId="53511" xr:uid="{00000000-0005-0000-0000-0000C9D10000}"/>
    <cellStyle name="Warning Text 3 3 3 2 2" xfId="53512" xr:uid="{00000000-0005-0000-0000-0000CAD10000}"/>
    <cellStyle name="Warning Text 3 3 3 3" xfId="53513" xr:uid="{00000000-0005-0000-0000-0000CBD10000}"/>
    <cellStyle name="Warning Text 3 3 4" xfId="53514" xr:uid="{00000000-0005-0000-0000-0000CCD10000}"/>
    <cellStyle name="Warning Text 3 3 4 2" xfId="53515" xr:uid="{00000000-0005-0000-0000-0000CDD10000}"/>
    <cellStyle name="Warning Text 3 3 4 2 2" xfId="53516" xr:uid="{00000000-0005-0000-0000-0000CED10000}"/>
    <cellStyle name="Warning Text 3 3 4 3" xfId="53517" xr:uid="{00000000-0005-0000-0000-0000CFD10000}"/>
    <cellStyle name="Warning Text 3 3 5" xfId="53518" xr:uid="{00000000-0005-0000-0000-0000D0D10000}"/>
    <cellStyle name="Warning Text 3 4" xfId="53519" xr:uid="{00000000-0005-0000-0000-0000D1D10000}"/>
    <cellStyle name="Warning Text 3 4 2" xfId="53520" xr:uid="{00000000-0005-0000-0000-0000D2D10000}"/>
    <cellStyle name="Warning Text 3 4 2 2" xfId="53521" xr:uid="{00000000-0005-0000-0000-0000D3D10000}"/>
    <cellStyle name="Warning Text 3 4 2 2 2" xfId="53522" xr:uid="{00000000-0005-0000-0000-0000D4D10000}"/>
    <cellStyle name="Warning Text 3 4 2 3" xfId="53523" xr:uid="{00000000-0005-0000-0000-0000D5D10000}"/>
    <cellStyle name="Warning Text 3 4 2 3 2" xfId="53524" xr:uid="{00000000-0005-0000-0000-0000D6D10000}"/>
    <cellStyle name="Warning Text 3 4 2 3 2 2" xfId="53525" xr:uid="{00000000-0005-0000-0000-0000D7D10000}"/>
    <cellStyle name="Warning Text 3 4 2 3 3" xfId="53526" xr:uid="{00000000-0005-0000-0000-0000D8D10000}"/>
    <cellStyle name="Warning Text 3 4 2 4" xfId="53527" xr:uid="{00000000-0005-0000-0000-0000D9D10000}"/>
    <cellStyle name="Warning Text 3 4 3" xfId="53528" xr:uid="{00000000-0005-0000-0000-0000DAD10000}"/>
    <cellStyle name="Warning Text 3 4 3 2" xfId="53529" xr:uid="{00000000-0005-0000-0000-0000DBD10000}"/>
    <cellStyle name="Warning Text 3 4 3 2 2" xfId="53530" xr:uid="{00000000-0005-0000-0000-0000DCD10000}"/>
    <cellStyle name="Warning Text 3 4 3 3" xfId="53531" xr:uid="{00000000-0005-0000-0000-0000DDD10000}"/>
    <cellStyle name="Warning Text 3 4 4" xfId="53532" xr:uid="{00000000-0005-0000-0000-0000DED10000}"/>
    <cellStyle name="Warning Text 3 4 4 2" xfId="53533" xr:uid="{00000000-0005-0000-0000-0000DFD10000}"/>
    <cellStyle name="Warning Text 3 4 4 2 2" xfId="53534" xr:uid="{00000000-0005-0000-0000-0000E0D10000}"/>
    <cellStyle name="Warning Text 3 4 4 3" xfId="53535" xr:uid="{00000000-0005-0000-0000-0000E1D10000}"/>
    <cellStyle name="Warning Text 3 4 5" xfId="53536" xr:uid="{00000000-0005-0000-0000-0000E2D10000}"/>
    <cellStyle name="Warning Text 3 4 5 2" xfId="53537" xr:uid="{00000000-0005-0000-0000-0000E3D10000}"/>
    <cellStyle name="Warning Text 3 4 5 2 2" xfId="53538" xr:uid="{00000000-0005-0000-0000-0000E4D10000}"/>
    <cellStyle name="Warning Text 3 4 5 3" xfId="53539" xr:uid="{00000000-0005-0000-0000-0000E5D10000}"/>
    <cellStyle name="Warning Text 3 4 6" xfId="53540" xr:uid="{00000000-0005-0000-0000-0000E6D10000}"/>
    <cellStyle name="Warning Text 3 5" xfId="53541" xr:uid="{00000000-0005-0000-0000-0000E7D10000}"/>
    <cellStyle name="Warning Text 3 5 2" xfId="53542" xr:uid="{00000000-0005-0000-0000-0000E8D10000}"/>
    <cellStyle name="Warning Text 3 5 2 2" xfId="53543" xr:uid="{00000000-0005-0000-0000-0000E9D10000}"/>
    <cellStyle name="Warning Text 3 5 3" xfId="53544" xr:uid="{00000000-0005-0000-0000-0000EAD10000}"/>
    <cellStyle name="Warning Text 3 6" xfId="53545" xr:uid="{00000000-0005-0000-0000-0000EBD10000}"/>
    <cellStyle name="Warning Text 3 6 2" xfId="53546" xr:uid="{00000000-0005-0000-0000-0000ECD10000}"/>
    <cellStyle name="Warning Text 3 6 2 2" xfId="53547" xr:uid="{00000000-0005-0000-0000-0000EDD10000}"/>
    <cellStyle name="Warning Text 3 6 3" xfId="53548" xr:uid="{00000000-0005-0000-0000-0000EED10000}"/>
    <cellStyle name="Warning Text 3 7" xfId="53549" xr:uid="{00000000-0005-0000-0000-0000EFD10000}"/>
    <cellStyle name="Warning Text 3 7 2" xfId="53550" xr:uid="{00000000-0005-0000-0000-0000F0D10000}"/>
    <cellStyle name="Warning Text 3 7 2 2" xfId="53551" xr:uid="{00000000-0005-0000-0000-0000F1D10000}"/>
    <cellStyle name="Warning Text 3 7 3" xfId="53552" xr:uid="{00000000-0005-0000-0000-0000F2D10000}"/>
    <cellStyle name="Warning Text 3 8" xfId="53553" xr:uid="{00000000-0005-0000-0000-0000F3D10000}"/>
    <cellStyle name="Warning Text 4" xfId="53554" xr:uid="{00000000-0005-0000-0000-0000F4D10000}"/>
    <cellStyle name="Warning Text 4 2" xfId="53555" xr:uid="{00000000-0005-0000-0000-0000F5D10000}"/>
    <cellStyle name="Warning Text 4 2 2" xfId="53556" xr:uid="{00000000-0005-0000-0000-0000F6D10000}"/>
    <cellStyle name="Warning Text 4 2 2 2" xfId="53557" xr:uid="{00000000-0005-0000-0000-0000F7D10000}"/>
    <cellStyle name="Warning Text 4 2 3" xfId="53558" xr:uid="{00000000-0005-0000-0000-0000F8D10000}"/>
    <cellStyle name="Warning Text 4 2 3 2" xfId="53559" xr:uid="{00000000-0005-0000-0000-0000F9D10000}"/>
    <cellStyle name="Warning Text 4 2 3 2 2" xfId="53560" xr:uid="{00000000-0005-0000-0000-0000FAD10000}"/>
    <cellStyle name="Warning Text 4 2 3 3" xfId="53561" xr:uid="{00000000-0005-0000-0000-0000FBD10000}"/>
    <cellStyle name="Warning Text 4 2 4" xfId="53562" xr:uid="{00000000-0005-0000-0000-0000FCD10000}"/>
    <cellStyle name="Warning Text 4 2 4 2" xfId="53563" xr:uid="{00000000-0005-0000-0000-0000FDD10000}"/>
    <cellStyle name="Warning Text 4 2 4 2 2" xfId="53564" xr:uid="{00000000-0005-0000-0000-0000FED10000}"/>
    <cellStyle name="Warning Text 4 2 4 3" xfId="53565" xr:uid="{00000000-0005-0000-0000-0000FFD10000}"/>
    <cellStyle name="Warning Text 4 2 5" xfId="53566" xr:uid="{00000000-0005-0000-0000-000000D20000}"/>
    <cellStyle name="Warning Text 4 3" xfId="53567" xr:uid="{00000000-0005-0000-0000-000001D20000}"/>
    <cellStyle name="Warning Text 4 3 2" xfId="53568" xr:uid="{00000000-0005-0000-0000-000002D20000}"/>
    <cellStyle name="Warning Text 4 3 2 2" xfId="53569" xr:uid="{00000000-0005-0000-0000-000003D20000}"/>
    <cellStyle name="Warning Text 4 3 2 2 2" xfId="53570" xr:uid="{00000000-0005-0000-0000-000004D20000}"/>
    <cellStyle name="Warning Text 4 3 2 3" xfId="53571" xr:uid="{00000000-0005-0000-0000-000005D20000}"/>
    <cellStyle name="Warning Text 4 3 2 3 2" xfId="53572" xr:uid="{00000000-0005-0000-0000-000006D20000}"/>
    <cellStyle name="Warning Text 4 3 2 3 2 2" xfId="53573" xr:uid="{00000000-0005-0000-0000-000007D20000}"/>
    <cellStyle name="Warning Text 4 3 2 3 3" xfId="53574" xr:uid="{00000000-0005-0000-0000-000008D20000}"/>
    <cellStyle name="Warning Text 4 3 2 4" xfId="53575" xr:uid="{00000000-0005-0000-0000-000009D20000}"/>
    <cellStyle name="Warning Text 4 3 3" xfId="53576" xr:uid="{00000000-0005-0000-0000-00000AD20000}"/>
    <cellStyle name="Warning Text 4 3 3 2" xfId="53577" xr:uid="{00000000-0005-0000-0000-00000BD20000}"/>
    <cellStyle name="Warning Text 4 3 3 2 2" xfId="53578" xr:uid="{00000000-0005-0000-0000-00000CD20000}"/>
    <cellStyle name="Warning Text 4 3 3 3" xfId="53579" xr:uid="{00000000-0005-0000-0000-00000DD20000}"/>
    <cellStyle name="Warning Text 4 3 4" xfId="53580" xr:uid="{00000000-0005-0000-0000-00000ED20000}"/>
    <cellStyle name="Warning Text 4 3 4 2" xfId="53581" xr:uid="{00000000-0005-0000-0000-00000FD20000}"/>
    <cellStyle name="Warning Text 4 3 4 2 2" xfId="53582" xr:uid="{00000000-0005-0000-0000-000010D20000}"/>
    <cellStyle name="Warning Text 4 3 4 3" xfId="53583" xr:uid="{00000000-0005-0000-0000-000011D20000}"/>
    <cellStyle name="Warning Text 4 3 5" xfId="53584" xr:uid="{00000000-0005-0000-0000-000012D20000}"/>
    <cellStyle name="Warning Text 4 3 5 2" xfId="53585" xr:uid="{00000000-0005-0000-0000-000013D20000}"/>
    <cellStyle name="Warning Text 4 3 5 2 2" xfId="53586" xr:uid="{00000000-0005-0000-0000-000014D20000}"/>
    <cellStyle name="Warning Text 4 3 5 3" xfId="53587" xr:uid="{00000000-0005-0000-0000-000015D20000}"/>
    <cellStyle name="Warning Text 4 3 6" xfId="53588" xr:uid="{00000000-0005-0000-0000-000016D20000}"/>
    <cellStyle name="Warning Text 4 4" xfId="53589" xr:uid="{00000000-0005-0000-0000-000017D20000}"/>
    <cellStyle name="Warning Text 4 4 2" xfId="53590" xr:uid="{00000000-0005-0000-0000-000018D20000}"/>
    <cellStyle name="Warning Text 4 4 2 2" xfId="53591" xr:uid="{00000000-0005-0000-0000-000019D20000}"/>
    <cellStyle name="Warning Text 4 4 3" xfId="53592" xr:uid="{00000000-0005-0000-0000-00001AD20000}"/>
    <cellStyle name="Warning Text 4 5" xfId="53593" xr:uid="{00000000-0005-0000-0000-00001BD20000}"/>
    <cellStyle name="Warning Text 4 5 2" xfId="53594" xr:uid="{00000000-0005-0000-0000-00001CD20000}"/>
    <cellStyle name="Warning Text 4 5 2 2" xfId="53595" xr:uid="{00000000-0005-0000-0000-00001DD20000}"/>
    <cellStyle name="Warning Text 4 5 3" xfId="53596" xr:uid="{00000000-0005-0000-0000-00001ED20000}"/>
    <cellStyle name="Warning Text 4 6" xfId="53597" xr:uid="{00000000-0005-0000-0000-00001FD20000}"/>
    <cellStyle name="Warning Text 4 6 2" xfId="53598" xr:uid="{00000000-0005-0000-0000-000020D20000}"/>
    <cellStyle name="Warning Text 4 6 2 2" xfId="53599" xr:uid="{00000000-0005-0000-0000-000021D20000}"/>
    <cellStyle name="Warning Text 4 6 3" xfId="53600" xr:uid="{00000000-0005-0000-0000-000022D20000}"/>
    <cellStyle name="Warning Text 4 7" xfId="53601" xr:uid="{00000000-0005-0000-0000-000023D20000}"/>
    <cellStyle name="Warning Text 5" xfId="53602" xr:uid="{00000000-0005-0000-0000-000024D20000}"/>
    <cellStyle name="Warning Text 5 2" xfId="53603" xr:uid="{00000000-0005-0000-0000-000025D20000}"/>
    <cellStyle name="Warning Text 5 2 2" xfId="53604" xr:uid="{00000000-0005-0000-0000-000026D20000}"/>
    <cellStyle name="Warning Text 5 2 2 2" xfId="53605" xr:uid="{00000000-0005-0000-0000-000027D20000}"/>
    <cellStyle name="Warning Text 5 2 3" xfId="53606" xr:uid="{00000000-0005-0000-0000-000028D20000}"/>
    <cellStyle name="Warning Text 5 2 3 2" xfId="53607" xr:uid="{00000000-0005-0000-0000-000029D20000}"/>
    <cellStyle name="Warning Text 5 2 3 2 2" xfId="53608" xr:uid="{00000000-0005-0000-0000-00002AD20000}"/>
    <cellStyle name="Warning Text 5 2 3 3" xfId="53609" xr:uid="{00000000-0005-0000-0000-00002BD20000}"/>
    <cellStyle name="Warning Text 5 2 4" xfId="53610" xr:uid="{00000000-0005-0000-0000-00002CD20000}"/>
    <cellStyle name="Warning Text 5 2 4 2" xfId="53611" xr:uid="{00000000-0005-0000-0000-00002DD20000}"/>
    <cellStyle name="Warning Text 5 2 4 2 2" xfId="53612" xr:uid="{00000000-0005-0000-0000-00002ED20000}"/>
    <cellStyle name="Warning Text 5 2 4 3" xfId="53613" xr:uid="{00000000-0005-0000-0000-00002FD20000}"/>
    <cellStyle name="Warning Text 5 2 5" xfId="53614" xr:uid="{00000000-0005-0000-0000-000030D20000}"/>
    <cellStyle name="Warning Text 5 3" xfId="53615" xr:uid="{00000000-0005-0000-0000-000031D20000}"/>
    <cellStyle name="Warning Text 5 3 2" xfId="53616" xr:uid="{00000000-0005-0000-0000-000032D20000}"/>
    <cellStyle name="Warning Text 5 3 2 2" xfId="53617" xr:uid="{00000000-0005-0000-0000-000033D20000}"/>
    <cellStyle name="Warning Text 5 3 2 2 2" xfId="53618" xr:uid="{00000000-0005-0000-0000-000034D20000}"/>
    <cellStyle name="Warning Text 5 3 2 3" xfId="53619" xr:uid="{00000000-0005-0000-0000-000035D20000}"/>
    <cellStyle name="Warning Text 5 3 2 3 2" xfId="53620" xr:uid="{00000000-0005-0000-0000-000036D20000}"/>
    <cellStyle name="Warning Text 5 3 2 3 2 2" xfId="53621" xr:uid="{00000000-0005-0000-0000-000037D20000}"/>
    <cellStyle name="Warning Text 5 3 2 3 3" xfId="53622" xr:uid="{00000000-0005-0000-0000-000038D20000}"/>
    <cellStyle name="Warning Text 5 3 2 4" xfId="53623" xr:uid="{00000000-0005-0000-0000-000039D20000}"/>
    <cellStyle name="Warning Text 5 3 3" xfId="53624" xr:uid="{00000000-0005-0000-0000-00003AD20000}"/>
    <cellStyle name="Warning Text 5 3 3 2" xfId="53625" xr:uid="{00000000-0005-0000-0000-00003BD20000}"/>
    <cellStyle name="Warning Text 5 3 3 2 2" xfId="53626" xr:uid="{00000000-0005-0000-0000-00003CD20000}"/>
    <cellStyle name="Warning Text 5 3 3 3" xfId="53627" xr:uid="{00000000-0005-0000-0000-00003DD20000}"/>
    <cellStyle name="Warning Text 5 3 4" xfId="53628" xr:uid="{00000000-0005-0000-0000-00003ED20000}"/>
    <cellStyle name="Warning Text 5 3 4 2" xfId="53629" xr:uid="{00000000-0005-0000-0000-00003FD20000}"/>
    <cellStyle name="Warning Text 5 3 4 2 2" xfId="53630" xr:uid="{00000000-0005-0000-0000-000040D20000}"/>
    <cellStyle name="Warning Text 5 3 4 3" xfId="53631" xr:uid="{00000000-0005-0000-0000-000041D20000}"/>
    <cellStyle name="Warning Text 5 3 5" xfId="53632" xr:uid="{00000000-0005-0000-0000-000042D20000}"/>
    <cellStyle name="Warning Text 5 3 5 2" xfId="53633" xr:uid="{00000000-0005-0000-0000-000043D20000}"/>
    <cellStyle name="Warning Text 5 3 5 2 2" xfId="53634" xr:uid="{00000000-0005-0000-0000-000044D20000}"/>
    <cellStyle name="Warning Text 5 3 5 3" xfId="53635" xr:uid="{00000000-0005-0000-0000-000045D20000}"/>
    <cellStyle name="Warning Text 5 3 6" xfId="53636" xr:uid="{00000000-0005-0000-0000-000046D20000}"/>
    <cellStyle name="Warning Text 5 4" xfId="53637" xr:uid="{00000000-0005-0000-0000-000047D20000}"/>
    <cellStyle name="Warning Text 5 4 2" xfId="53638" xr:uid="{00000000-0005-0000-0000-000048D20000}"/>
    <cellStyle name="Warning Text 5 4 2 2" xfId="53639" xr:uid="{00000000-0005-0000-0000-000049D20000}"/>
    <cellStyle name="Warning Text 5 4 3" xfId="53640" xr:uid="{00000000-0005-0000-0000-00004AD20000}"/>
    <cellStyle name="Warning Text 5 5" xfId="53641" xr:uid="{00000000-0005-0000-0000-00004BD20000}"/>
    <cellStyle name="Warning Text 5 5 2" xfId="53642" xr:uid="{00000000-0005-0000-0000-00004CD20000}"/>
    <cellStyle name="Warning Text 5 5 2 2" xfId="53643" xr:uid="{00000000-0005-0000-0000-00004DD20000}"/>
    <cellStyle name="Warning Text 5 5 3" xfId="53644" xr:uid="{00000000-0005-0000-0000-00004ED20000}"/>
    <cellStyle name="Warning Text 5 6" xfId="53645" xr:uid="{00000000-0005-0000-0000-00004FD20000}"/>
    <cellStyle name="Warning Text 5 6 2" xfId="53646" xr:uid="{00000000-0005-0000-0000-000050D20000}"/>
    <cellStyle name="Warning Text 5 6 2 2" xfId="53647" xr:uid="{00000000-0005-0000-0000-000051D20000}"/>
    <cellStyle name="Warning Text 5 6 3" xfId="53648" xr:uid="{00000000-0005-0000-0000-000052D20000}"/>
    <cellStyle name="Warning Text 5 7" xfId="53649" xr:uid="{00000000-0005-0000-0000-000053D20000}"/>
    <cellStyle name="Warning Text 6" xfId="53650" xr:uid="{00000000-0005-0000-0000-000054D20000}"/>
    <cellStyle name="Warning Text 6 2" xfId="53651" xr:uid="{00000000-0005-0000-0000-000055D20000}"/>
    <cellStyle name="Warning Text 6 2 2" xfId="53652" xr:uid="{00000000-0005-0000-0000-000056D20000}"/>
    <cellStyle name="Warning Text 6 2 2 2" xfId="53653" xr:uid="{00000000-0005-0000-0000-000057D20000}"/>
    <cellStyle name="Warning Text 6 2 3" xfId="53654" xr:uid="{00000000-0005-0000-0000-000058D20000}"/>
    <cellStyle name="Warning Text 6 2 3 2" xfId="53655" xr:uid="{00000000-0005-0000-0000-000059D20000}"/>
    <cellStyle name="Warning Text 6 2 3 2 2" xfId="53656" xr:uid="{00000000-0005-0000-0000-00005AD20000}"/>
    <cellStyle name="Warning Text 6 2 3 3" xfId="53657" xr:uid="{00000000-0005-0000-0000-00005BD20000}"/>
    <cellStyle name="Warning Text 6 2 4" xfId="53658" xr:uid="{00000000-0005-0000-0000-00005CD20000}"/>
    <cellStyle name="Warning Text 6 2 4 2" xfId="53659" xr:uid="{00000000-0005-0000-0000-00005DD20000}"/>
    <cellStyle name="Warning Text 6 2 4 2 2" xfId="53660" xr:uid="{00000000-0005-0000-0000-00005ED20000}"/>
    <cellStyle name="Warning Text 6 2 4 3" xfId="53661" xr:uid="{00000000-0005-0000-0000-00005FD20000}"/>
    <cellStyle name="Warning Text 6 2 5" xfId="53662" xr:uid="{00000000-0005-0000-0000-000060D20000}"/>
    <cellStyle name="Warning Text 6 3" xfId="53663" xr:uid="{00000000-0005-0000-0000-000061D20000}"/>
    <cellStyle name="Warning Text 6 3 2" xfId="53664" xr:uid="{00000000-0005-0000-0000-000062D20000}"/>
    <cellStyle name="Warning Text 6 3 2 2" xfId="53665" xr:uid="{00000000-0005-0000-0000-000063D20000}"/>
    <cellStyle name="Warning Text 6 3 3" xfId="53666" xr:uid="{00000000-0005-0000-0000-000064D20000}"/>
    <cellStyle name="Warning Text 6 4" xfId="53667" xr:uid="{00000000-0005-0000-0000-000065D20000}"/>
    <cellStyle name="Warning Text 6 4 2" xfId="53668" xr:uid="{00000000-0005-0000-0000-000066D20000}"/>
    <cellStyle name="Warning Text 6 4 2 2" xfId="53669" xr:uid="{00000000-0005-0000-0000-000067D20000}"/>
    <cellStyle name="Warning Text 6 4 3" xfId="53670" xr:uid="{00000000-0005-0000-0000-000068D20000}"/>
    <cellStyle name="Warning Text 6 5" xfId="53671" xr:uid="{00000000-0005-0000-0000-000069D20000}"/>
    <cellStyle name="Warning Text 6 5 2" xfId="53672" xr:uid="{00000000-0005-0000-0000-00006AD20000}"/>
    <cellStyle name="Warning Text 6 5 2 2" xfId="53673" xr:uid="{00000000-0005-0000-0000-00006BD20000}"/>
    <cellStyle name="Warning Text 6 5 3" xfId="53674" xr:uid="{00000000-0005-0000-0000-00006CD20000}"/>
    <cellStyle name="Warning Text 6 6" xfId="53675" xr:uid="{00000000-0005-0000-0000-00006DD20000}"/>
    <cellStyle name="Warning Text 7" xfId="53676" xr:uid="{00000000-0005-0000-0000-00006ED20000}"/>
    <cellStyle name="Warning Text 7 2" xfId="53677" xr:uid="{00000000-0005-0000-0000-00006FD20000}"/>
    <cellStyle name="Warning Text 8" xfId="53678" xr:uid="{00000000-0005-0000-0000-000070D20000}"/>
    <cellStyle name="Warning Text 9" xfId="53679" xr:uid="{00000000-0005-0000-0000-000071D20000}"/>
    <cellStyle name="white" xfId="53680" xr:uid="{00000000-0005-0000-0000-000072D20000}"/>
    <cellStyle name="white 2" xfId="53681" xr:uid="{00000000-0005-0000-0000-000073D20000}"/>
    <cellStyle name="white 3" xfId="53682" xr:uid="{00000000-0005-0000-0000-000074D20000}"/>
    <cellStyle name="white 3 2" xfId="53683" xr:uid="{00000000-0005-0000-0000-000075D20000}"/>
    <cellStyle name="white 3 2 2" xfId="53684" xr:uid="{00000000-0005-0000-0000-000076D20000}"/>
    <cellStyle name="white 3 3" xfId="53685" xr:uid="{00000000-0005-0000-0000-000077D20000}"/>
    <cellStyle name="white 4" xfId="53686" xr:uid="{00000000-0005-0000-0000-000078D20000}"/>
    <cellStyle name="white 4 2" xfId="53687" xr:uid="{00000000-0005-0000-0000-000079D20000}"/>
    <cellStyle name="white 4 2 2" xfId="53688" xr:uid="{00000000-0005-0000-0000-00007AD20000}"/>
    <cellStyle name="white 4 3" xfId="53689" xr:uid="{00000000-0005-0000-0000-00007BD20000}"/>
    <cellStyle name="wrap" xfId="53690" xr:uid="{00000000-0005-0000-0000-00007CD20000}"/>
    <cellStyle name="wrap 2" xfId="53691" xr:uid="{00000000-0005-0000-0000-00007DD20000}"/>
    <cellStyle name="wrap 3" xfId="53692" xr:uid="{00000000-0005-0000-0000-00007ED20000}"/>
    <cellStyle name="wrap 3 2" xfId="53693" xr:uid="{00000000-0005-0000-0000-00007FD20000}"/>
    <cellStyle name="wrap 3 2 2" xfId="53694" xr:uid="{00000000-0005-0000-0000-000080D20000}"/>
    <cellStyle name="wrap 3 3" xfId="53695" xr:uid="{00000000-0005-0000-0000-000081D20000}"/>
    <cellStyle name="wrap 4" xfId="53696" xr:uid="{00000000-0005-0000-0000-000082D20000}"/>
    <cellStyle name="wrap 4 2" xfId="53697" xr:uid="{00000000-0005-0000-0000-000083D20000}"/>
    <cellStyle name="wrap 4 2 2" xfId="53698" xr:uid="{00000000-0005-0000-0000-000084D20000}"/>
    <cellStyle name="wrap 4 3" xfId="53699" xr:uid="{00000000-0005-0000-0000-000085D20000}"/>
  </cellStyles>
  <dxfs count="23">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FFCCCC"/>
      <color rgb="FFCCFFCC"/>
      <color rgb="FF99FFCC"/>
      <color rgb="FFFFCC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0"/>
  <sheetViews>
    <sheetView zoomScaleNormal="100" workbookViewId="0"/>
  </sheetViews>
  <sheetFormatPr defaultColWidth="9.453125" defaultRowHeight="12.5"/>
  <cols>
    <col min="1" max="2" width="9.453125" style="955"/>
    <col min="3" max="3" width="8.453125" style="955" customWidth="1"/>
    <col min="4" max="16384" width="9.453125" style="955"/>
  </cols>
  <sheetData>
    <row r="2" spans="1:14" ht="28">
      <c r="C2" s="1504"/>
      <c r="D2" s="1505"/>
      <c r="E2" s="1505"/>
      <c r="F2" s="1505"/>
      <c r="G2" s="1505"/>
      <c r="H2" s="1505"/>
    </row>
    <row r="3" spans="1:14">
      <c r="D3" s="463"/>
    </row>
    <row r="4" spans="1:14" ht="23">
      <c r="B4" s="1507"/>
      <c r="C4" s="1507"/>
      <c r="D4" s="1507"/>
      <c r="E4" s="1507"/>
      <c r="F4" s="1507"/>
      <c r="G4" s="1507"/>
      <c r="H4" s="1507"/>
      <c r="I4" s="1507"/>
    </row>
    <row r="5" spans="1:14" ht="23">
      <c r="B5" s="1224"/>
      <c r="C5" s="1209"/>
      <c r="D5" s="1507"/>
      <c r="E5" s="1505"/>
      <c r="F5" s="1505"/>
      <c r="G5" s="1505"/>
      <c r="H5" s="1209"/>
      <c r="I5" s="1209"/>
    </row>
    <row r="6" spans="1:14" ht="23">
      <c r="A6" s="1509" t="s">
        <v>2940</v>
      </c>
      <c r="B6" s="1509"/>
      <c r="C6" s="1509"/>
      <c r="D6" s="1509"/>
      <c r="E6" s="1509"/>
      <c r="F6" s="1509"/>
      <c r="G6" s="1509"/>
      <c r="H6" s="1509"/>
      <c r="I6" s="1509"/>
      <c r="J6" s="1509"/>
      <c r="K6" s="1509"/>
      <c r="L6" s="1396"/>
      <c r="M6" s="1396"/>
      <c r="N6" s="1396"/>
    </row>
    <row r="8" spans="1:14" ht="25">
      <c r="A8" s="1506" t="s">
        <v>1865</v>
      </c>
      <c r="B8" s="1506"/>
      <c r="C8" s="1506"/>
      <c r="D8" s="1506"/>
      <c r="E8" s="1506"/>
      <c r="F8" s="1506"/>
      <c r="G8" s="1506"/>
      <c r="H8" s="1506"/>
      <c r="I8" s="1506"/>
      <c r="J8" s="1506"/>
      <c r="K8" s="1506"/>
    </row>
    <row r="9" spans="1:14" ht="13">
      <c r="D9" s="1"/>
    </row>
    <row r="10" spans="1:14" ht="20">
      <c r="A10" s="1508" t="s">
        <v>1866</v>
      </c>
      <c r="B10" s="1508"/>
      <c r="C10" s="1508"/>
      <c r="D10" s="1508"/>
      <c r="E10" s="1508"/>
      <c r="F10" s="1508"/>
      <c r="G10" s="1508"/>
      <c r="H10" s="1508"/>
      <c r="I10" s="1508"/>
      <c r="J10" s="1508"/>
      <c r="K10" s="1508"/>
    </row>
  </sheetData>
  <mergeCells count="6">
    <mergeCell ref="C2:H2"/>
    <mergeCell ref="A8:K8"/>
    <mergeCell ref="B4:I4"/>
    <mergeCell ref="D5:G5"/>
    <mergeCell ref="A10:K10"/>
    <mergeCell ref="A6:K6"/>
  </mergeCells>
  <pageMargins left="0.7" right="0.7" top="0.75" bottom="0.75" header="0.3" footer="0.3"/>
  <pageSetup scale="89" orientation="portrait" r:id="rId1"/>
  <headerFooter>
    <oddHeader>&amp;C&amp;"Arial,Bold"
&amp;RTO2022 Annual Update 
Attachment 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236"/>
  <sheetViews>
    <sheetView zoomScaleNormal="100" zoomScalePageLayoutView="80" workbookViewId="0"/>
  </sheetViews>
  <sheetFormatPr defaultColWidth="8.54296875" defaultRowHeight="12.5"/>
  <cols>
    <col min="1" max="1" width="4.54296875" style="955" customWidth="1"/>
    <col min="2" max="2" width="10.54296875" style="955" customWidth="1"/>
    <col min="3" max="6" width="13.54296875" style="955" customWidth="1"/>
    <col min="7" max="7" width="14.453125" style="955" customWidth="1"/>
    <col min="8" max="12" width="13.54296875" style="955" customWidth="1"/>
    <col min="13" max="13" width="15.54296875" style="955" customWidth="1"/>
    <col min="14" max="14" width="8.54296875" style="955" customWidth="1"/>
    <col min="15" max="15" width="14.453125" style="955" customWidth="1"/>
    <col min="16" max="16" width="15.453125" style="955" customWidth="1"/>
    <col min="17" max="16384" width="8.54296875" style="955"/>
  </cols>
  <sheetData>
    <row r="1" spans="1:13" ht="13">
      <c r="A1" s="382" t="s">
        <v>1179</v>
      </c>
      <c r="B1" s="227"/>
      <c r="C1" s="227"/>
      <c r="D1" s="227"/>
      <c r="E1" s="227"/>
      <c r="F1" s="227"/>
      <c r="G1" s="227"/>
      <c r="H1" s="227"/>
      <c r="I1" s="961" t="s">
        <v>17</v>
      </c>
      <c r="J1" s="958"/>
      <c r="K1" s="227"/>
      <c r="L1" s="227"/>
    </row>
    <row r="2" spans="1:13" ht="13">
      <c r="A2" s="382"/>
      <c r="B2" s="1" t="s">
        <v>2534</v>
      </c>
      <c r="C2" s="227"/>
      <c r="D2" s="227"/>
      <c r="E2" s="961" t="s">
        <v>2710</v>
      </c>
      <c r="F2" s="958"/>
      <c r="G2" s="958"/>
      <c r="H2" s="227"/>
      <c r="I2" s="227"/>
      <c r="J2" s="227"/>
      <c r="K2" s="227"/>
      <c r="L2" s="227"/>
    </row>
    <row r="3" spans="1:13" ht="13">
      <c r="A3" s="382"/>
      <c r="B3" s="227"/>
      <c r="C3" s="227"/>
      <c r="D3" s="227"/>
      <c r="E3" s="961" t="s">
        <v>2711</v>
      </c>
      <c r="F3" s="958"/>
      <c r="G3" s="958"/>
      <c r="H3" s="227"/>
      <c r="I3" s="227"/>
      <c r="J3" s="227"/>
      <c r="K3" s="227"/>
      <c r="L3" s="227"/>
    </row>
    <row r="4" spans="1:13" ht="13">
      <c r="A4" s="382"/>
      <c r="B4" s="382" t="s">
        <v>320</v>
      </c>
      <c r="C4" s="227"/>
      <c r="D4" s="227"/>
      <c r="E4" s="1124"/>
      <c r="F4" s="227"/>
      <c r="G4" s="227"/>
      <c r="H4" s="227"/>
      <c r="I4" s="227"/>
      <c r="J4" s="227"/>
      <c r="K4" s="227"/>
      <c r="L4" s="227"/>
    </row>
    <row r="5" spans="1:13" ht="13">
      <c r="A5" s="382"/>
      <c r="B5" s="382"/>
      <c r="C5" s="227"/>
      <c r="D5" s="227"/>
      <c r="E5" s="227"/>
      <c r="F5" s="227"/>
      <c r="G5" s="227"/>
      <c r="H5" s="227"/>
      <c r="I5" s="227"/>
      <c r="J5" s="227"/>
      <c r="K5" s="227"/>
      <c r="L5" s="227"/>
    </row>
    <row r="6" spans="1:13" ht="13">
      <c r="A6" s="382"/>
      <c r="B6" s="463" t="s">
        <v>1525</v>
      </c>
      <c r="C6" s="227"/>
      <c r="D6" s="227"/>
      <c r="E6" s="227"/>
      <c r="F6" s="227"/>
      <c r="G6" s="227"/>
      <c r="H6" s="463"/>
      <c r="I6" s="858" t="s">
        <v>1713</v>
      </c>
      <c r="J6" s="857">
        <v>2020</v>
      </c>
      <c r="K6" s="227"/>
      <c r="L6" s="227"/>
    </row>
    <row r="7" spans="1:13" ht="13">
      <c r="A7" s="382"/>
      <c r="B7" s="463"/>
      <c r="C7" s="227"/>
      <c r="D7" s="227"/>
      <c r="E7" s="227"/>
      <c r="F7" s="227"/>
      <c r="G7" s="227"/>
      <c r="H7" s="227"/>
      <c r="I7" s="227"/>
      <c r="J7" s="227"/>
      <c r="K7" s="227"/>
      <c r="L7" s="227"/>
    </row>
    <row r="8" spans="1:13" ht="13">
      <c r="A8" s="382"/>
      <c r="B8" s="84" t="s">
        <v>358</v>
      </c>
      <c r="C8" s="84" t="s">
        <v>342</v>
      </c>
      <c r="D8" s="84" t="s">
        <v>343</v>
      </c>
      <c r="E8" s="84" t="s">
        <v>344</v>
      </c>
      <c r="F8" s="84" t="s">
        <v>345</v>
      </c>
      <c r="G8" s="84" t="s">
        <v>346</v>
      </c>
      <c r="H8" s="84" t="s">
        <v>347</v>
      </c>
      <c r="I8" s="84" t="s">
        <v>534</v>
      </c>
      <c r="J8" s="84" t="s">
        <v>949</v>
      </c>
      <c r="K8" s="84" t="s">
        <v>961</v>
      </c>
      <c r="L8" s="84" t="s">
        <v>964</v>
      </c>
      <c r="M8" s="84" t="s">
        <v>982</v>
      </c>
    </row>
    <row r="9" spans="1:13" ht="13">
      <c r="A9" s="227"/>
      <c r="B9" s="438"/>
      <c r="C9" s="227"/>
      <c r="D9" s="227"/>
      <c r="E9" s="227"/>
      <c r="F9" s="227"/>
      <c r="G9" s="227"/>
      <c r="H9" s="227"/>
      <c r="I9" s="227"/>
      <c r="J9" s="227"/>
      <c r="K9" s="227"/>
      <c r="M9" s="243" t="s">
        <v>1214</v>
      </c>
    </row>
    <row r="10" spans="1:13" ht="13">
      <c r="A10" s="227"/>
      <c r="B10" s="109"/>
      <c r="C10" s="84"/>
      <c r="D10" s="84"/>
      <c r="E10" s="227"/>
      <c r="F10" s="227"/>
      <c r="G10" s="227"/>
      <c r="H10" s="227"/>
      <c r="I10" s="227"/>
      <c r="J10" s="227"/>
      <c r="K10" s="227"/>
      <c r="L10" s="227"/>
    </row>
    <row r="11" spans="1:13" ht="13">
      <c r="A11" s="51" t="s">
        <v>329</v>
      </c>
      <c r="B11" s="122" t="s">
        <v>1748</v>
      </c>
      <c r="C11" s="84">
        <v>350.1</v>
      </c>
      <c r="D11" s="84">
        <v>350.2</v>
      </c>
      <c r="E11" s="84">
        <v>352</v>
      </c>
      <c r="F11" s="84">
        <v>353</v>
      </c>
      <c r="G11" s="84">
        <v>354</v>
      </c>
      <c r="H11" s="84">
        <v>355</v>
      </c>
      <c r="I11" s="84">
        <v>356</v>
      </c>
      <c r="J11" s="84">
        <v>357</v>
      </c>
      <c r="K11" s="84">
        <v>358</v>
      </c>
      <c r="L11" s="84">
        <v>359</v>
      </c>
      <c r="M11" s="3" t="s">
        <v>196</v>
      </c>
    </row>
    <row r="12" spans="1:13" ht="13">
      <c r="A12" s="549">
        <v>1</v>
      </c>
      <c r="B12" s="931" t="s">
        <v>2712</v>
      </c>
      <c r="C12" s="493">
        <v>88722950.062386677</v>
      </c>
      <c r="D12" s="546">
        <v>165732566.05861396</v>
      </c>
      <c r="E12" s="963">
        <v>741230571.25435066</v>
      </c>
      <c r="F12" s="493">
        <v>3714934155.6737089</v>
      </c>
      <c r="G12" s="493">
        <v>2305124777.8401799</v>
      </c>
      <c r="H12" s="493">
        <v>408001019.08888364</v>
      </c>
      <c r="I12" s="493">
        <v>1408013215.7482004</v>
      </c>
      <c r="J12" s="493">
        <v>215368701.52640039</v>
      </c>
      <c r="K12" s="493">
        <v>59251565.606308758</v>
      </c>
      <c r="L12" s="493">
        <v>179151598.49303469</v>
      </c>
      <c r="M12" s="229">
        <f t="shared" ref="M12:M24" si="0">SUM(C12:L12)</f>
        <v>9285531121.352066</v>
      </c>
    </row>
    <row r="13" spans="1:13" ht="13">
      <c r="A13" s="549">
        <f>A12+1</f>
        <v>2</v>
      </c>
      <c r="B13" s="700" t="s">
        <v>2713</v>
      </c>
      <c r="C13" s="231">
        <f>C131+C198 +C12</f>
        <v>88741307.183015674</v>
      </c>
      <c r="D13" s="231">
        <f>D131+D198 +D12</f>
        <v>166962652.99982244</v>
      </c>
      <c r="E13" s="231">
        <f t="shared" ref="E13:L13" si="1">E131+E198 +E12</f>
        <v>743980989.8689419</v>
      </c>
      <c r="F13" s="231">
        <f t="shared" si="1"/>
        <v>3719890313.5156889</v>
      </c>
      <c r="G13" s="231">
        <f t="shared" si="1"/>
        <v>2304291127.0573182</v>
      </c>
      <c r="H13" s="231">
        <f t="shared" si="1"/>
        <v>409647374.61278379</v>
      </c>
      <c r="I13" s="231">
        <f t="shared" si="1"/>
        <v>1409926314.7974291</v>
      </c>
      <c r="J13" s="231">
        <f t="shared" si="1"/>
        <v>215372650.83183208</v>
      </c>
      <c r="K13" s="231">
        <f t="shared" si="1"/>
        <v>59252614.940755896</v>
      </c>
      <c r="L13" s="231">
        <f t="shared" si="1"/>
        <v>178878476.00365421</v>
      </c>
      <c r="M13" s="229">
        <f>SUM(C13:L13)</f>
        <v>9296943821.8112431</v>
      </c>
    </row>
    <row r="14" spans="1:13" ht="13">
      <c r="A14" s="549">
        <f t="shared" ref="A14:A25" si="2">A13+1</f>
        <v>3</v>
      </c>
      <c r="B14" s="699" t="s">
        <v>2714</v>
      </c>
      <c r="C14" s="231">
        <f>C132+C199 +C13</f>
        <v>88740719.363015622</v>
      </c>
      <c r="D14" s="231">
        <f t="shared" ref="C14:D23" si="3">D132+D199 +D13</f>
        <v>166963240.81982243</v>
      </c>
      <c r="E14" s="231">
        <f t="shared" ref="E14:E23" si="4">E132+E199 +E13</f>
        <v>748061976.02673197</v>
      </c>
      <c r="F14" s="231">
        <f t="shared" ref="F14:F23" si="5">F132+F199 +F13</f>
        <v>3748148586.8118367</v>
      </c>
      <c r="G14" s="231">
        <f t="shared" ref="G14:G23" si="6">G132+G199 +G13</f>
        <v>2304241449.6258683</v>
      </c>
      <c r="H14" s="231">
        <f t="shared" ref="H14:H23" si="7">H132+H199 +H13</f>
        <v>411512894.32204264</v>
      </c>
      <c r="I14" s="231">
        <f t="shared" ref="I14:I23" si="8">I132+I199 +I13</f>
        <v>1410792034.8643653</v>
      </c>
      <c r="J14" s="231">
        <f t="shared" ref="J14:J23" si="9">J132+J199 +J13</f>
        <v>215377094.81208503</v>
      </c>
      <c r="K14" s="231">
        <f t="shared" ref="K14:K23" si="10">K132+K199 +K13</f>
        <v>59253758.121466726</v>
      </c>
      <c r="L14" s="231">
        <f t="shared" ref="L14:L23" si="11">L132+L199 +L13</f>
        <v>178986015.38301054</v>
      </c>
      <c r="M14" s="229">
        <f>SUM(C14:L14)</f>
        <v>9332077770.1502457</v>
      </c>
    </row>
    <row r="15" spans="1:13" ht="13">
      <c r="A15" s="549">
        <f t="shared" si="2"/>
        <v>4</v>
      </c>
      <c r="B15" s="699" t="s">
        <v>2715</v>
      </c>
      <c r="C15" s="231">
        <f t="shared" si="3"/>
        <v>88749426.501645014</v>
      </c>
      <c r="D15" s="231">
        <f t="shared" si="3"/>
        <v>166968727.27847999</v>
      </c>
      <c r="E15" s="231">
        <f t="shared" si="4"/>
        <v>750916146.14378583</v>
      </c>
      <c r="F15" s="231">
        <f t="shared" si="5"/>
        <v>3758782092.8721948</v>
      </c>
      <c r="G15" s="231">
        <f t="shared" si="6"/>
        <v>2304999312.5660019</v>
      </c>
      <c r="H15" s="231">
        <f t="shared" si="7"/>
        <v>413785511.70263821</v>
      </c>
      <c r="I15" s="231">
        <f t="shared" si="8"/>
        <v>1411877248.8816786</v>
      </c>
      <c r="J15" s="231">
        <f t="shared" si="9"/>
        <v>215385546.78872225</v>
      </c>
      <c r="K15" s="231">
        <f t="shared" si="10"/>
        <v>59260382.175048292</v>
      </c>
      <c r="L15" s="231">
        <f t="shared" si="11"/>
        <v>178953130.43827477</v>
      </c>
      <c r="M15" s="229">
        <f t="shared" si="0"/>
        <v>9349677525.3484707</v>
      </c>
    </row>
    <row r="16" spans="1:13" ht="13">
      <c r="A16" s="549">
        <f t="shared" si="2"/>
        <v>5</v>
      </c>
      <c r="B16" s="700" t="s">
        <v>2716</v>
      </c>
      <c r="C16" s="231">
        <f>C134+C201 +C15</f>
        <v>88831816.93421562</v>
      </c>
      <c r="D16" s="231">
        <f t="shared" si="3"/>
        <v>166969595.14555198</v>
      </c>
      <c r="E16" s="231">
        <f t="shared" si="4"/>
        <v>758183935.76359642</v>
      </c>
      <c r="F16" s="231">
        <f t="shared" si="5"/>
        <v>3768702225.5028944</v>
      </c>
      <c r="G16" s="231">
        <f t="shared" si="6"/>
        <v>2308741647.4917316</v>
      </c>
      <c r="H16" s="231">
        <f t="shared" si="7"/>
        <v>414860803.19063449</v>
      </c>
      <c r="I16" s="231">
        <f t="shared" si="8"/>
        <v>1413157075.2171009</v>
      </c>
      <c r="J16" s="231">
        <f t="shared" si="9"/>
        <v>215395001.08338583</v>
      </c>
      <c r="K16" s="231">
        <f t="shared" si="10"/>
        <v>59258323.314141169</v>
      </c>
      <c r="L16" s="231">
        <f t="shared" si="11"/>
        <v>178922566.42889923</v>
      </c>
      <c r="M16" s="229">
        <f t="shared" si="0"/>
        <v>9373022990.0721512</v>
      </c>
    </row>
    <row r="17" spans="1:15" ht="13">
      <c r="A17" s="549">
        <f t="shared" si="2"/>
        <v>6</v>
      </c>
      <c r="B17" s="699" t="s">
        <v>2717</v>
      </c>
      <c r="C17" s="231">
        <f t="shared" si="3"/>
        <v>88896465.59750697</v>
      </c>
      <c r="D17" s="231">
        <f t="shared" si="3"/>
        <v>166967707.30750874</v>
      </c>
      <c r="E17" s="231">
        <f t="shared" si="4"/>
        <v>776958875.65458</v>
      </c>
      <c r="F17" s="231">
        <f t="shared" si="5"/>
        <v>3798012794.2677789</v>
      </c>
      <c r="G17" s="231">
        <f t="shared" si="6"/>
        <v>2308858363.2807703</v>
      </c>
      <c r="H17" s="231">
        <f t="shared" si="7"/>
        <v>415441322.25277275</v>
      </c>
      <c r="I17" s="231">
        <f t="shared" si="8"/>
        <v>1413442371.1347528</v>
      </c>
      <c r="J17" s="231">
        <f t="shared" si="9"/>
        <v>215396423.13163251</v>
      </c>
      <c r="K17" s="231">
        <f t="shared" si="10"/>
        <v>59258755.452746741</v>
      </c>
      <c r="L17" s="231">
        <f t="shared" si="11"/>
        <v>178932930.34611958</v>
      </c>
      <c r="M17" s="229">
        <f t="shared" si="0"/>
        <v>9422166008.4261684</v>
      </c>
    </row>
    <row r="18" spans="1:15" ht="13">
      <c r="A18" s="549">
        <f t="shared" si="2"/>
        <v>7</v>
      </c>
      <c r="B18" s="699" t="s">
        <v>2718</v>
      </c>
      <c r="C18" s="231">
        <f t="shared" si="3"/>
        <v>88910180.127506971</v>
      </c>
      <c r="D18" s="231">
        <f t="shared" si="3"/>
        <v>166968401.0510698</v>
      </c>
      <c r="E18" s="231">
        <f t="shared" si="4"/>
        <v>769760702.89704275</v>
      </c>
      <c r="F18" s="231">
        <f t="shared" si="5"/>
        <v>3835575955.8590183</v>
      </c>
      <c r="G18" s="231">
        <f t="shared" si="6"/>
        <v>2312716597.8183851</v>
      </c>
      <c r="H18" s="231">
        <f t="shared" si="7"/>
        <v>424312247.26588607</v>
      </c>
      <c r="I18" s="231">
        <f t="shared" si="8"/>
        <v>1413488437.2343235</v>
      </c>
      <c r="J18" s="231">
        <f t="shared" si="9"/>
        <v>215400742.10586932</v>
      </c>
      <c r="K18" s="231">
        <f t="shared" si="10"/>
        <v>59263830.266900092</v>
      </c>
      <c r="L18" s="231">
        <f t="shared" si="11"/>
        <v>179183039.93185785</v>
      </c>
      <c r="M18" s="229">
        <f t="shared" si="0"/>
        <v>9465580134.5578613</v>
      </c>
    </row>
    <row r="19" spans="1:15" ht="13">
      <c r="A19" s="549">
        <f t="shared" si="2"/>
        <v>8</v>
      </c>
      <c r="B19" s="700" t="s">
        <v>2719</v>
      </c>
      <c r="C19" s="231">
        <f t="shared" si="3"/>
        <v>88920673.787506893</v>
      </c>
      <c r="D19" s="231">
        <f t="shared" si="3"/>
        <v>166969169.49106979</v>
      </c>
      <c r="E19" s="231">
        <f t="shared" si="4"/>
        <v>794178462.83732998</v>
      </c>
      <c r="F19" s="231">
        <f t="shared" si="5"/>
        <v>3845663688.413105</v>
      </c>
      <c r="G19" s="231">
        <f t="shared" si="6"/>
        <v>2313723786.4311733</v>
      </c>
      <c r="H19" s="231">
        <f t="shared" si="7"/>
        <v>425343146.44567668</v>
      </c>
      <c r="I19" s="231">
        <f t="shared" si="8"/>
        <v>1414833019.4271023</v>
      </c>
      <c r="J19" s="231">
        <f t="shared" si="9"/>
        <v>215403423.10418692</v>
      </c>
      <c r="K19" s="231">
        <f t="shared" si="10"/>
        <v>59264176.487589054</v>
      </c>
      <c r="L19" s="231">
        <f t="shared" si="11"/>
        <v>179250903.424485</v>
      </c>
      <c r="M19" s="229">
        <f t="shared" si="0"/>
        <v>9503550449.8492241</v>
      </c>
    </row>
    <row r="20" spans="1:15" ht="13">
      <c r="A20" s="549">
        <f t="shared" si="2"/>
        <v>9</v>
      </c>
      <c r="B20" s="699" t="s">
        <v>2720</v>
      </c>
      <c r="C20" s="231">
        <f t="shared" si="3"/>
        <v>88920071.507506892</v>
      </c>
      <c r="D20" s="231">
        <f t="shared" si="3"/>
        <v>166970879.58900836</v>
      </c>
      <c r="E20" s="231">
        <f t="shared" si="4"/>
        <v>796501378.22452569</v>
      </c>
      <c r="F20" s="231">
        <f t="shared" si="5"/>
        <v>3898562810.6727595</v>
      </c>
      <c r="G20" s="231">
        <f t="shared" si="6"/>
        <v>2321211368.6332693</v>
      </c>
      <c r="H20" s="231">
        <f t="shared" si="7"/>
        <v>424863667.44904679</v>
      </c>
      <c r="I20" s="231">
        <f t="shared" si="8"/>
        <v>1414052510.9152007</v>
      </c>
      <c r="J20" s="231">
        <f t="shared" si="9"/>
        <v>215406132.01264757</v>
      </c>
      <c r="K20" s="231">
        <f t="shared" si="10"/>
        <v>59265582.683329627</v>
      </c>
      <c r="L20" s="231">
        <f t="shared" si="11"/>
        <v>179209604.88069525</v>
      </c>
      <c r="M20" s="229">
        <f t="shared" si="0"/>
        <v>9564964006.5679913</v>
      </c>
    </row>
    <row r="21" spans="1:15" ht="13">
      <c r="A21" s="549">
        <f t="shared" si="2"/>
        <v>10</v>
      </c>
      <c r="B21" s="699" t="s">
        <v>2721</v>
      </c>
      <c r="C21" s="231">
        <f t="shared" si="3"/>
        <v>88920071.617506891</v>
      </c>
      <c r="D21" s="231">
        <f t="shared" si="3"/>
        <v>166982524.89501318</v>
      </c>
      <c r="E21" s="231">
        <f t="shared" si="4"/>
        <v>799901216.59626353</v>
      </c>
      <c r="F21" s="231">
        <f t="shared" si="5"/>
        <v>3912169017.295743</v>
      </c>
      <c r="G21" s="231">
        <f t="shared" si="6"/>
        <v>2318768399.5329771</v>
      </c>
      <c r="H21" s="231">
        <f t="shared" si="7"/>
        <v>426262752.07681221</v>
      </c>
      <c r="I21" s="231">
        <f t="shared" si="8"/>
        <v>1413709717.7686784</v>
      </c>
      <c r="J21" s="231">
        <f t="shared" si="9"/>
        <v>215410617.62585068</v>
      </c>
      <c r="K21" s="231">
        <f t="shared" si="10"/>
        <v>59267114.308641575</v>
      </c>
      <c r="L21" s="231">
        <f t="shared" si="11"/>
        <v>179111943.78944454</v>
      </c>
      <c r="M21" s="229">
        <f t="shared" si="0"/>
        <v>9580503375.5069294</v>
      </c>
    </row>
    <row r="22" spans="1:15" ht="13">
      <c r="A22" s="549">
        <f t="shared" si="2"/>
        <v>11</v>
      </c>
      <c r="B22" s="700" t="s">
        <v>2722</v>
      </c>
      <c r="C22" s="231">
        <f t="shared" si="3"/>
        <v>88942153.917506918</v>
      </c>
      <c r="D22" s="231">
        <f t="shared" si="3"/>
        <v>167007304.38528082</v>
      </c>
      <c r="E22" s="231">
        <f t="shared" si="4"/>
        <v>802239738.13924849</v>
      </c>
      <c r="F22" s="231">
        <f t="shared" si="5"/>
        <v>3917286472.4661717</v>
      </c>
      <c r="G22" s="231">
        <f t="shared" si="6"/>
        <v>2298693752.5199437</v>
      </c>
      <c r="H22" s="231">
        <f t="shared" si="7"/>
        <v>428529287.45462382</v>
      </c>
      <c r="I22" s="231">
        <f t="shared" si="8"/>
        <v>1424762592.3306279</v>
      </c>
      <c r="J22" s="231">
        <f t="shared" si="9"/>
        <v>215417102.26480165</v>
      </c>
      <c r="K22" s="231">
        <f t="shared" si="10"/>
        <v>59270552.079089716</v>
      </c>
      <c r="L22" s="231">
        <f t="shared" si="11"/>
        <v>192283678.2933422</v>
      </c>
      <c r="M22" s="229">
        <f t="shared" si="0"/>
        <v>9594432633.8506374</v>
      </c>
    </row>
    <row r="23" spans="1:15" ht="13">
      <c r="A23" s="549">
        <f t="shared" si="2"/>
        <v>12</v>
      </c>
      <c r="B23" s="700" t="s">
        <v>2723</v>
      </c>
      <c r="C23" s="231">
        <f t="shared" si="3"/>
        <v>88945939.08750692</v>
      </c>
      <c r="D23" s="231">
        <f t="shared" si="3"/>
        <v>167008481.21528083</v>
      </c>
      <c r="E23" s="231">
        <f t="shared" si="4"/>
        <v>804793718.97257936</v>
      </c>
      <c r="F23" s="231">
        <f t="shared" si="5"/>
        <v>3944218834.4683685</v>
      </c>
      <c r="G23" s="231">
        <f t="shared" si="6"/>
        <v>2299336562.8785391</v>
      </c>
      <c r="H23" s="231">
        <f t="shared" si="7"/>
        <v>429179961.39067507</v>
      </c>
      <c r="I23" s="231">
        <f t="shared" si="8"/>
        <v>1425243572.5835612</v>
      </c>
      <c r="J23" s="231">
        <f t="shared" si="9"/>
        <v>215420918.98423791</v>
      </c>
      <c r="K23" s="231">
        <f t="shared" si="10"/>
        <v>59269675.758342721</v>
      </c>
      <c r="L23" s="231">
        <f t="shared" si="11"/>
        <v>192079367.22132963</v>
      </c>
      <c r="M23" s="229">
        <f t="shared" si="0"/>
        <v>9625497032.5604191</v>
      </c>
    </row>
    <row r="24" spans="1:15" ht="13">
      <c r="A24" s="549">
        <f t="shared" si="2"/>
        <v>13</v>
      </c>
      <c r="B24" s="699" t="s">
        <v>2724</v>
      </c>
      <c r="C24" s="115">
        <v>88947677.147506893</v>
      </c>
      <c r="D24" s="115">
        <v>166997788.6995331</v>
      </c>
      <c r="E24" s="445">
        <f>'7-PlantStudy'!E10</f>
        <v>804153066.44668055</v>
      </c>
      <c r="F24" s="445">
        <f>'7-PlantStudy'!E11</f>
        <v>3951945554.2101927</v>
      </c>
      <c r="G24" s="445">
        <f>'7-PlantStudy'!E20</f>
        <v>2302122819.4770331</v>
      </c>
      <c r="H24" s="445">
        <f>'7-PlantStudy'!E21</f>
        <v>431972729.20086581</v>
      </c>
      <c r="I24" s="445">
        <f>'7-PlantStudy'!E22</f>
        <v>1449635757.7995038</v>
      </c>
      <c r="J24" s="445">
        <f>'7-PlantStudy'!E23</f>
        <v>215412775.95431966</v>
      </c>
      <c r="K24" s="445">
        <f>'7-PlantStudy'!E24</f>
        <v>59261609.025810957</v>
      </c>
      <c r="L24" s="445">
        <f>'7-PlantStudy'!E25</f>
        <v>192098212.92509732</v>
      </c>
      <c r="M24" s="360">
        <f t="shared" si="0"/>
        <v>9662547990.8865414</v>
      </c>
      <c r="O24" s="1"/>
    </row>
    <row r="25" spans="1:15" ht="13">
      <c r="A25" s="549">
        <f t="shared" si="2"/>
        <v>14</v>
      </c>
      <c r="B25" s="1049" t="s">
        <v>1180</v>
      </c>
      <c r="C25" s="229">
        <f>AVERAGE(C12:C24)</f>
        <v>88860727.141102612</v>
      </c>
      <c r="D25" s="229">
        <f t="shared" ref="D25:M25" si="12">AVERAGE(D12:D24)</f>
        <v>166882233.76431194</v>
      </c>
      <c r="E25" s="229">
        <f t="shared" si="12"/>
        <v>776220059.90966594</v>
      </c>
      <c r="F25" s="229">
        <f t="shared" si="12"/>
        <v>3831837884.7714968</v>
      </c>
      <c r="G25" s="229">
        <f t="shared" si="12"/>
        <v>2307909997.3194761</v>
      </c>
      <c r="H25" s="229">
        <f t="shared" si="12"/>
        <v>420285593.57333398</v>
      </c>
      <c r="I25" s="229">
        <f t="shared" si="12"/>
        <v>1417148759.1309636</v>
      </c>
      <c r="J25" s="229">
        <f t="shared" si="12"/>
        <v>215397471.55584398</v>
      </c>
      <c r="K25" s="229">
        <f t="shared" si="12"/>
        <v>59261380.016936265</v>
      </c>
      <c r="L25" s="229">
        <f t="shared" si="12"/>
        <v>182080112.88917267</v>
      </c>
      <c r="M25" s="229">
        <f t="shared" si="12"/>
        <v>9465884220.0723038</v>
      </c>
    </row>
    <row r="26" spans="1:15">
      <c r="A26" s="463"/>
      <c r="B26" s="463"/>
      <c r="C26" s="463"/>
      <c r="D26" s="463"/>
      <c r="E26" s="463"/>
      <c r="F26" s="463"/>
      <c r="G26" s="463"/>
      <c r="H26" s="463"/>
      <c r="I26" s="463"/>
      <c r="J26" s="463"/>
      <c r="K26" s="463"/>
      <c r="L26" s="463"/>
    </row>
    <row r="27" spans="1:15" ht="13">
      <c r="A27" s="463"/>
      <c r="B27" s="382" t="s">
        <v>321</v>
      </c>
      <c r="C27" s="463"/>
      <c r="D27" s="463"/>
      <c r="E27" s="463"/>
      <c r="F27" s="463"/>
      <c r="G27" s="463"/>
      <c r="H27" s="463"/>
      <c r="I27" s="463"/>
      <c r="J27" s="463"/>
      <c r="K27" s="463"/>
      <c r="L27" s="463"/>
    </row>
    <row r="28" spans="1:15" ht="13">
      <c r="A28" s="463"/>
      <c r="B28" s="382"/>
      <c r="C28" s="463"/>
      <c r="D28" s="463"/>
      <c r="E28" s="463"/>
      <c r="F28" s="463"/>
      <c r="G28" s="463"/>
      <c r="H28" s="463"/>
      <c r="I28" s="463"/>
      <c r="J28" s="463"/>
      <c r="K28" s="463"/>
      <c r="L28" s="463"/>
    </row>
    <row r="29" spans="1:15">
      <c r="A29" s="463"/>
      <c r="B29" s="235" t="s">
        <v>1714</v>
      </c>
      <c r="C29" s="465"/>
      <c r="D29" s="465"/>
      <c r="E29" s="465"/>
      <c r="F29" s="465"/>
      <c r="G29" s="465"/>
      <c r="H29" s="465"/>
      <c r="I29" s="463"/>
      <c r="J29" s="463"/>
      <c r="K29" s="463"/>
      <c r="L29" s="463"/>
    </row>
    <row r="30" spans="1:15" ht="13">
      <c r="A30" s="463"/>
      <c r="B30" s="382"/>
      <c r="C30" s="463"/>
      <c r="D30" s="463"/>
      <c r="E30" s="463"/>
      <c r="F30" s="463"/>
      <c r="G30" s="463"/>
      <c r="H30" s="463"/>
      <c r="I30" s="463"/>
      <c r="J30" s="463"/>
      <c r="K30" s="463"/>
      <c r="L30" s="463"/>
    </row>
    <row r="31" spans="1:15" ht="13">
      <c r="A31" s="382"/>
      <c r="B31" s="84" t="s">
        <v>358</v>
      </c>
      <c r="C31" s="84" t="s">
        <v>342</v>
      </c>
      <c r="D31" s="84" t="s">
        <v>343</v>
      </c>
      <c r="E31" s="84" t="s">
        <v>344</v>
      </c>
      <c r="F31" s="84" t="s">
        <v>345</v>
      </c>
      <c r="G31" s="463"/>
      <c r="H31" s="463"/>
      <c r="I31" s="463"/>
      <c r="J31" s="463"/>
      <c r="K31" s="463"/>
      <c r="L31" s="463"/>
    </row>
    <row r="32" spans="1:15">
      <c r="A32" s="227"/>
      <c r="B32" s="243"/>
      <c r="C32" s="227"/>
      <c r="D32" s="227"/>
      <c r="E32" s="227"/>
      <c r="F32" s="243" t="s">
        <v>1181</v>
      </c>
      <c r="G32" s="463"/>
      <c r="H32" s="463"/>
      <c r="K32" s="463"/>
      <c r="L32" s="463"/>
    </row>
    <row r="33" spans="1:12" ht="13">
      <c r="A33" s="227"/>
      <c r="B33" s="109"/>
      <c r="C33" s="84"/>
      <c r="D33" s="84"/>
      <c r="E33" s="227"/>
      <c r="F33" s="227"/>
      <c r="G33" s="463"/>
      <c r="H33" s="463"/>
      <c r="K33" s="463"/>
      <c r="L33" s="463"/>
    </row>
    <row r="34" spans="1:12" ht="12.75" customHeight="1">
      <c r="A34" s="51" t="s">
        <v>329</v>
      </c>
      <c r="B34" s="122" t="s">
        <v>1748</v>
      </c>
      <c r="C34" s="361">
        <v>360</v>
      </c>
      <c r="D34" s="361">
        <v>361</v>
      </c>
      <c r="E34" s="361">
        <v>362</v>
      </c>
      <c r="F34" s="3" t="s">
        <v>196</v>
      </c>
      <c r="G34" s="463"/>
      <c r="H34" s="463"/>
      <c r="K34" s="463"/>
      <c r="L34" s="463"/>
    </row>
    <row r="35" spans="1:12" ht="12.75" customHeight="1">
      <c r="A35" s="549">
        <f>A25+1</f>
        <v>15</v>
      </c>
      <c r="B35" s="699" t="s">
        <v>2712</v>
      </c>
      <c r="C35" s="963">
        <v>0</v>
      </c>
      <c r="D35" s="963">
        <v>0</v>
      </c>
      <c r="E35" s="963">
        <v>0</v>
      </c>
      <c r="F35" s="229">
        <f>SUM(C35:E35)</f>
        <v>0</v>
      </c>
      <c r="G35" s="463"/>
      <c r="H35" s="463"/>
      <c r="K35" s="463"/>
      <c r="L35" s="463"/>
    </row>
    <row r="36" spans="1:12" ht="12.75" customHeight="1">
      <c r="A36" s="549">
        <f>A35+1</f>
        <v>16</v>
      </c>
      <c r="B36" s="699" t="s">
        <v>2724</v>
      </c>
      <c r="C36" s="384">
        <v>0</v>
      </c>
      <c r="D36" s="384">
        <v>0</v>
      </c>
      <c r="E36" s="384">
        <v>0</v>
      </c>
      <c r="F36" s="360">
        <f>SUM(C36:E36)</f>
        <v>0</v>
      </c>
      <c r="G36" s="463"/>
      <c r="H36" s="463"/>
      <c r="K36" s="463"/>
      <c r="L36" s="463"/>
    </row>
    <row r="37" spans="1:12" ht="12.75" customHeight="1">
      <c r="A37" s="549">
        <f>A36+1</f>
        <v>17</v>
      </c>
      <c r="B37" s="1049" t="s">
        <v>1182</v>
      </c>
      <c r="C37" s="229">
        <f>AVERAGE(C35:C36)</f>
        <v>0</v>
      </c>
      <c r="D37" s="229">
        <f>AVERAGE(D35:D36)</f>
        <v>0</v>
      </c>
      <c r="E37" s="229">
        <f>AVERAGE(E35:E36)</f>
        <v>0</v>
      </c>
      <c r="F37" s="229">
        <f>AVERAGE(F35:F36)</f>
        <v>0</v>
      </c>
      <c r="G37" s="463"/>
      <c r="H37" s="463"/>
      <c r="K37" s="463"/>
      <c r="L37" s="463"/>
    </row>
    <row r="38" spans="1:12" ht="12.75" customHeight="1">
      <c r="A38" s="463"/>
      <c r="B38" s="463"/>
      <c r="C38" s="463"/>
      <c r="D38" s="463"/>
      <c r="E38" s="463"/>
      <c r="F38" s="463"/>
      <c r="G38" s="463"/>
      <c r="H38" s="463"/>
      <c r="K38" s="463"/>
      <c r="L38" s="463"/>
    </row>
    <row r="39" spans="1:12" ht="13">
      <c r="A39" s="463"/>
      <c r="B39" s="1" t="s">
        <v>1044</v>
      </c>
      <c r="C39" s="615"/>
      <c r="D39" s="615"/>
      <c r="E39" s="1050"/>
      <c r="F39" s="1051"/>
      <c r="G39" s="1052"/>
      <c r="H39" s="463"/>
      <c r="K39" s="463"/>
      <c r="L39" s="463"/>
    </row>
    <row r="40" spans="1:12" ht="13">
      <c r="A40" s="463"/>
      <c r="B40" s="463" t="s">
        <v>1045</v>
      </c>
      <c r="C40" s="615"/>
      <c r="D40" s="615"/>
      <c r="E40" s="1050"/>
      <c r="F40" s="1051"/>
      <c r="G40" s="1052"/>
      <c r="H40" s="463"/>
      <c r="K40" s="463"/>
      <c r="L40" s="463"/>
    </row>
    <row r="41" spans="1:12" ht="13">
      <c r="A41" s="463"/>
      <c r="B41" s="463"/>
      <c r="C41" s="615"/>
      <c r="D41" s="615"/>
      <c r="E41" s="1050"/>
      <c r="F41" s="1051"/>
      <c r="G41" s="1052"/>
      <c r="H41" s="463"/>
      <c r="K41" s="463"/>
      <c r="L41" s="463"/>
    </row>
    <row r="42" spans="1:12" ht="13">
      <c r="A42" s="463"/>
      <c r="B42" s="463"/>
      <c r="C42" s="615"/>
      <c r="D42" s="1053" t="s">
        <v>175</v>
      </c>
      <c r="E42" s="1054" t="s">
        <v>179</v>
      </c>
      <c r="F42" s="1051"/>
      <c r="G42" s="1052"/>
      <c r="H42" s="463"/>
      <c r="K42" s="463"/>
      <c r="L42" s="463"/>
    </row>
    <row r="43" spans="1:12" ht="13">
      <c r="A43" s="549">
        <f>A37+1</f>
        <v>18</v>
      </c>
      <c r="B43" s="463"/>
      <c r="C43" s="1050" t="s">
        <v>322</v>
      </c>
      <c r="D43" s="1051">
        <f>M25+F37</f>
        <v>9465884220.0723038</v>
      </c>
      <c r="E43" s="1055" t="str">
        <f>"Sum of Line "&amp;A25&amp;", "&amp;M8&amp;" and Line "&amp;A37&amp;", "&amp;F31&amp;""</f>
        <v>Sum of Line 14, Col 12 and Line 17, Col 5</v>
      </c>
      <c r="F43" s="463"/>
      <c r="G43" s="463"/>
      <c r="H43" s="465"/>
      <c r="K43" s="463"/>
      <c r="L43" s="463"/>
    </row>
    <row r="44" spans="1:12" ht="13">
      <c r="A44" s="549">
        <f>A43+1</f>
        <v>19</v>
      </c>
      <c r="B44" s="463"/>
      <c r="C44" s="1050" t="s">
        <v>156</v>
      </c>
      <c r="D44" s="1051">
        <f>M24+F36</f>
        <v>9662547990.8865414</v>
      </c>
      <c r="E44" s="1055" t="str">
        <f>"Sum of Line "&amp;A24&amp;", "&amp;M8&amp;" and Line "&amp;A36&amp;", "&amp;F31&amp;""</f>
        <v>Sum of Line 13, Col 12 and Line 16, Col 5</v>
      </c>
      <c r="F44" s="463"/>
      <c r="G44" s="463"/>
      <c r="H44" s="465"/>
      <c r="I44" s="463"/>
      <c r="J44" s="463"/>
      <c r="K44" s="463"/>
      <c r="L44" s="463"/>
    </row>
    <row r="45" spans="1:12" ht="13">
      <c r="A45" s="463"/>
      <c r="B45" s="463"/>
      <c r="C45" s="615"/>
      <c r="D45" s="615"/>
      <c r="E45" s="1056"/>
      <c r="F45" s="1057"/>
      <c r="G45" s="1058"/>
      <c r="H45" s="463"/>
      <c r="I45" s="463"/>
      <c r="J45" s="463"/>
      <c r="K45" s="463"/>
      <c r="L45" s="463"/>
    </row>
    <row r="46" spans="1:12" ht="13">
      <c r="A46" s="463"/>
      <c r="B46" s="1" t="s">
        <v>1715</v>
      </c>
      <c r="C46" s="463"/>
      <c r="D46" s="463"/>
      <c r="E46" s="1056"/>
      <c r="F46" s="1057"/>
      <c r="G46" s="1058"/>
      <c r="H46" s="463"/>
      <c r="I46" s="463"/>
      <c r="J46" s="463"/>
      <c r="K46" s="463"/>
      <c r="L46" s="463"/>
    </row>
    <row r="47" spans="1:12">
      <c r="A47" s="463"/>
      <c r="B47" s="467" t="s">
        <v>303</v>
      </c>
      <c r="C47" s="463"/>
      <c r="D47" s="463"/>
      <c r="E47" s="1056"/>
      <c r="F47" s="1057"/>
      <c r="G47" s="1058"/>
      <c r="H47" s="463"/>
      <c r="I47" s="463"/>
      <c r="J47" s="463"/>
      <c r="K47" s="463"/>
      <c r="L47" s="463"/>
    </row>
    <row r="48" spans="1:12" ht="12.75" customHeight="1">
      <c r="A48" s="463"/>
      <c r="B48" s="467"/>
      <c r="C48" s="463"/>
      <c r="D48" s="463"/>
      <c r="E48" s="1056"/>
      <c r="F48" s="1057"/>
      <c r="G48" s="1058"/>
      <c r="H48" s="463"/>
      <c r="I48" s="463"/>
      <c r="J48" s="463"/>
      <c r="K48" s="463"/>
      <c r="L48" s="463"/>
    </row>
    <row r="49" spans="1:12" ht="13">
      <c r="A49" s="463"/>
      <c r="B49" s="1"/>
      <c r="C49" s="243" t="s">
        <v>359</v>
      </c>
      <c r="D49" s="463"/>
      <c r="E49" s="1056"/>
      <c r="F49" s="84" t="s">
        <v>358</v>
      </c>
      <c r="G49" s="84" t="s">
        <v>342</v>
      </c>
      <c r="H49" s="84" t="s">
        <v>343</v>
      </c>
      <c r="I49" s="463"/>
      <c r="J49" s="463"/>
      <c r="K49" s="463"/>
      <c r="L49" s="463"/>
    </row>
    <row r="50" spans="1:12" ht="13">
      <c r="A50" s="463"/>
      <c r="B50" s="1"/>
      <c r="C50" s="549" t="s">
        <v>402</v>
      </c>
      <c r="D50" s="1056"/>
      <c r="F50" s="549" t="s">
        <v>1201</v>
      </c>
      <c r="G50" s="549" t="s">
        <v>1202</v>
      </c>
      <c r="H50" s="1038" t="s">
        <v>196</v>
      </c>
      <c r="I50" s="1058"/>
      <c r="J50" s="463"/>
      <c r="K50" s="463"/>
      <c r="L50" s="463"/>
    </row>
    <row r="51" spans="1:12" ht="13">
      <c r="A51" s="463"/>
      <c r="B51" s="463"/>
      <c r="C51" s="549" t="s">
        <v>193</v>
      </c>
      <c r="D51" s="622" t="s">
        <v>194</v>
      </c>
      <c r="F51" s="622" t="s">
        <v>371</v>
      </c>
      <c r="G51" s="622" t="s">
        <v>371</v>
      </c>
      <c r="H51" s="622" t="s">
        <v>1183</v>
      </c>
      <c r="I51" s="622"/>
      <c r="J51" s="463"/>
      <c r="K51" s="463"/>
      <c r="L51" s="463"/>
    </row>
    <row r="52" spans="1:12" ht="13">
      <c r="A52" s="463"/>
      <c r="B52" s="463"/>
      <c r="C52" s="3" t="s">
        <v>192</v>
      </c>
      <c r="D52" s="607" t="s">
        <v>179</v>
      </c>
      <c r="F52" s="619" t="s">
        <v>2</v>
      </c>
      <c r="G52" s="619" t="s">
        <v>2</v>
      </c>
      <c r="H52" s="619" t="s">
        <v>2</v>
      </c>
      <c r="I52" s="1059" t="s">
        <v>168</v>
      </c>
      <c r="J52" s="463"/>
      <c r="K52" s="463"/>
      <c r="L52" s="463"/>
    </row>
    <row r="53" spans="1:12" ht="13">
      <c r="A53" s="549">
        <f>A44+1</f>
        <v>20</v>
      </c>
      <c r="B53" s="463"/>
      <c r="C53" s="604" t="s">
        <v>180</v>
      </c>
      <c r="D53" s="1037" t="s">
        <v>1203</v>
      </c>
      <c r="F53" s="977">
        <v>3238857833</v>
      </c>
      <c r="G53" s="493">
        <v>1253827471</v>
      </c>
      <c r="H53" s="1051">
        <f>SUM(F53:G53)</f>
        <v>4492685304</v>
      </c>
      <c r="I53" s="1037" t="s">
        <v>1716</v>
      </c>
      <c r="J53" s="465"/>
      <c r="K53" s="463"/>
      <c r="L53" s="463"/>
    </row>
    <row r="54" spans="1:12" ht="12.75" customHeight="1">
      <c r="A54" s="549">
        <f>A53+1</f>
        <v>21</v>
      </c>
      <c r="B54" s="463"/>
      <c r="C54" s="611" t="s">
        <v>180</v>
      </c>
      <c r="D54" s="1037" t="s">
        <v>1743</v>
      </c>
      <c r="E54" s="14"/>
      <c r="F54" s="977">
        <v>3458659697</v>
      </c>
      <c r="G54" s="493">
        <v>1587005797</v>
      </c>
      <c r="H54" s="1051">
        <f>SUM(F54:G54)</f>
        <v>5045665494</v>
      </c>
      <c r="I54" s="462" t="s">
        <v>1717</v>
      </c>
      <c r="J54" s="465"/>
      <c r="K54" s="463"/>
      <c r="L54" s="463"/>
    </row>
    <row r="55" spans="1:12" ht="12.75" customHeight="1">
      <c r="A55" s="463"/>
      <c r="B55" s="463"/>
      <c r="C55" s="611"/>
      <c r="D55" s="1060"/>
      <c r="E55" s="1061"/>
      <c r="F55" s="1051"/>
      <c r="G55" s="467"/>
      <c r="H55" s="463"/>
      <c r="I55" s="463"/>
      <c r="J55" s="463"/>
      <c r="K55" s="463"/>
      <c r="L55" s="463"/>
    </row>
    <row r="56" spans="1:12" ht="12.75" customHeight="1">
      <c r="A56" s="463"/>
      <c r="B56" s="463"/>
      <c r="C56" s="615" t="s">
        <v>1205</v>
      </c>
      <c r="D56" s="615"/>
      <c r="E56" s="1056"/>
      <c r="F56" s="1054" t="s">
        <v>175</v>
      </c>
      <c r="G56" s="1062" t="s">
        <v>179</v>
      </c>
      <c r="H56" s="463"/>
      <c r="I56" s="463"/>
      <c r="J56" s="463"/>
      <c r="K56" s="463"/>
      <c r="L56" s="463"/>
    </row>
    <row r="57" spans="1:12" ht="13">
      <c r="A57" s="549">
        <f>A54+1</f>
        <v>22</v>
      </c>
      <c r="B57" s="463"/>
      <c r="C57" s="615"/>
      <c r="D57" s="615"/>
      <c r="E57" s="1050" t="s">
        <v>84</v>
      </c>
      <c r="F57" s="1051">
        <f>(H53+H54)/2</f>
        <v>4769175399</v>
      </c>
      <c r="G57" s="499" t="str">
        <f>"Average of Line "&amp;A53&amp;" and "&amp;A54&amp;"."</f>
        <v>Average of Line 20 and 21.</v>
      </c>
      <c r="H57" s="463"/>
      <c r="I57" s="465"/>
      <c r="J57" s="463"/>
      <c r="K57" s="463"/>
      <c r="L57" s="463"/>
    </row>
    <row r="58" spans="1:12" ht="13">
      <c r="A58" s="549">
        <f>A57+1</f>
        <v>23</v>
      </c>
      <c r="B58" s="463"/>
      <c r="C58" s="615"/>
      <c r="D58" s="615"/>
      <c r="E58" s="585" t="s">
        <v>239</v>
      </c>
      <c r="F58" s="1063">
        <f>'27-Allocators'!G15</f>
        <v>6.982260642173875E-2</v>
      </c>
      <c r="G58" s="499" t="str">
        <f>"27-Allocators, Line "&amp;'27-Allocators'!A15&amp;""</f>
        <v>27-Allocators, Line 9</v>
      </c>
      <c r="H58" s="463"/>
      <c r="I58" s="465"/>
      <c r="J58" s="463"/>
      <c r="K58" s="463"/>
      <c r="L58" s="463"/>
    </row>
    <row r="59" spans="1:12" ht="13">
      <c r="A59" s="549">
        <f>A58+1</f>
        <v>24</v>
      </c>
      <c r="B59" s="463"/>
      <c r="C59" s="615"/>
      <c r="D59" s="615"/>
      <c r="E59" s="585" t="s">
        <v>304</v>
      </c>
      <c r="F59" s="1051">
        <f>F57*F58</f>
        <v>332996256.84061587</v>
      </c>
      <c r="G59" s="499" t="str">
        <f>"Line "&amp;A57&amp;" * Line "&amp;A58&amp;"."</f>
        <v>Line 22 * Line 23.</v>
      </c>
      <c r="H59" s="463"/>
      <c r="I59" s="465"/>
      <c r="J59" s="463"/>
      <c r="K59" s="463"/>
      <c r="L59" s="463"/>
    </row>
    <row r="60" spans="1:12" ht="13">
      <c r="A60" s="463"/>
      <c r="B60" s="463"/>
      <c r="C60" s="615"/>
      <c r="D60" s="615"/>
      <c r="E60" s="585"/>
      <c r="F60" s="1051"/>
      <c r="G60" s="1052"/>
      <c r="H60" s="463"/>
      <c r="I60" s="463"/>
      <c r="J60" s="463"/>
      <c r="K60" s="463"/>
      <c r="L60" s="463"/>
    </row>
    <row r="61" spans="1:12" ht="13">
      <c r="A61" s="463"/>
      <c r="B61" s="463"/>
      <c r="C61" s="615" t="s">
        <v>1204</v>
      </c>
      <c r="D61" s="615"/>
      <c r="E61" s="1056"/>
      <c r="F61" s="1054" t="s">
        <v>175</v>
      </c>
      <c r="G61" s="1062" t="s">
        <v>179</v>
      </c>
      <c r="H61" s="463"/>
      <c r="I61" s="463"/>
      <c r="J61" s="463"/>
      <c r="K61" s="463"/>
      <c r="L61" s="463"/>
    </row>
    <row r="62" spans="1:12" ht="13">
      <c r="A62" s="549">
        <f>A59+1</f>
        <v>25</v>
      </c>
      <c r="B62" s="463"/>
      <c r="C62" s="615"/>
      <c r="D62" s="615"/>
      <c r="E62" s="1050" t="s">
        <v>156</v>
      </c>
      <c r="F62" s="1051">
        <f>H54</f>
        <v>5045665494</v>
      </c>
      <c r="G62" s="499" t="str">
        <f>"Line "&amp;A54&amp;"."</f>
        <v>Line 21.</v>
      </c>
      <c r="H62" s="465"/>
      <c r="I62" s="463"/>
      <c r="J62" s="463"/>
      <c r="K62" s="463"/>
      <c r="L62" s="463"/>
    </row>
    <row r="63" spans="1:12" ht="13">
      <c r="A63" s="549">
        <f>A62+1</f>
        <v>26</v>
      </c>
      <c r="B63" s="463"/>
      <c r="C63" s="615"/>
      <c r="D63" s="615"/>
      <c r="E63" s="585" t="s">
        <v>239</v>
      </c>
      <c r="F63" s="1063">
        <f>'27-Allocators'!G15</f>
        <v>6.982260642173875E-2</v>
      </c>
      <c r="G63" s="499" t="str">
        <f>"27-Allocators, Line "&amp;'27-Allocators'!A15&amp;""</f>
        <v>27-Allocators, Line 9</v>
      </c>
      <c r="H63" s="465"/>
      <c r="I63" s="463"/>
      <c r="J63" s="463"/>
      <c r="K63" s="463"/>
      <c r="L63" s="463"/>
    </row>
    <row r="64" spans="1:12" ht="13">
      <c r="A64" s="549">
        <f>A63+1</f>
        <v>27</v>
      </c>
      <c r="B64" s="463"/>
      <c r="C64" s="615"/>
      <c r="D64" s="615"/>
      <c r="E64" s="585" t="s">
        <v>304</v>
      </c>
      <c r="F64" s="1051">
        <f>F62*F63</f>
        <v>352301515.92331004</v>
      </c>
      <c r="G64" s="499" t="str">
        <f>"Line "&amp;A62&amp;" * Line "&amp;A63&amp;"."</f>
        <v>Line 25 * Line 26.</v>
      </c>
      <c r="H64" s="465"/>
      <c r="I64" s="463"/>
      <c r="J64" s="463"/>
      <c r="K64" s="463"/>
      <c r="L64" s="463"/>
    </row>
    <row r="65" spans="1:14">
      <c r="A65" s="463"/>
      <c r="B65" s="463"/>
      <c r="C65" s="463"/>
      <c r="D65" s="463"/>
      <c r="E65" s="463"/>
      <c r="F65" s="463"/>
      <c r="G65" s="463"/>
      <c r="H65" s="463"/>
      <c r="I65" s="463"/>
      <c r="J65" s="463"/>
      <c r="K65" s="463"/>
      <c r="L65" s="463"/>
    </row>
    <row r="66" spans="1:14">
      <c r="A66" s="463"/>
      <c r="B66" s="463"/>
      <c r="C66" s="463"/>
      <c r="D66" s="463"/>
      <c r="E66" s="463"/>
      <c r="F66" s="463"/>
      <c r="G66" s="463"/>
      <c r="H66" s="463"/>
      <c r="I66" s="463"/>
      <c r="J66" s="463"/>
      <c r="K66" s="463"/>
      <c r="L66" s="463"/>
    </row>
    <row r="67" spans="1:14" ht="13">
      <c r="A67" s="463"/>
      <c r="B67" s="1" t="s">
        <v>1526</v>
      </c>
      <c r="C67" s="463"/>
      <c r="D67" s="463"/>
      <c r="E67" s="463"/>
      <c r="F67" s="463"/>
      <c r="G67" s="463"/>
      <c r="H67" s="463"/>
      <c r="I67" s="463"/>
      <c r="J67" s="463"/>
      <c r="K67" s="463"/>
      <c r="L67" s="463"/>
    </row>
    <row r="68" spans="1:14">
      <c r="A68" s="463"/>
      <c r="C68" s="463"/>
      <c r="D68" s="463"/>
      <c r="E68" s="463"/>
      <c r="F68" s="463"/>
      <c r="G68" s="463"/>
      <c r="H68" s="463"/>
      <c r="I68" s="463"/>
      <c r="J68" s="463"/>
      <c r="K68" s="463"/>
      <c r="L68" s="463"/>
    </row>
    <row r="69" spans="1:14" ht="13">
      <c r="B69" s="1" t="s">
        <v>2347</v>
      </c>
      <c r="C69" s="463"/>
      <c r="D69" s="463"/>
      <c r="E69" s="463"/>
      <c r="F69" s="463"/>
      <c r="G69" s="463"/>
      <c r="H69" s="463"/>
      <c r="I69" s="463"/>
      <c r="J69" s="463"/>
      <c r="K69" s="463"/>
      <c r="L69" s="463"/>
    </row>
    <row r="70" spans="1:14">
      <c r="A70" s="463"/>
      <c r="C70" s="463"/>
      <c r="D70" s="463"/>
      <c r="E70" s="463"/>
      <c r="F70" s="463"/>
      <c r="G70" s="463"/>
      <c r="H70" s="463"/>
      <c r="I70" s="463"/>
      <c r="J70" s="463"/>
      <c r="K70" s="463"/>
      <c r="L70" s="463"/>
    </row>
    <row r="71" spans="1:14" ht="13">
      <c r="A71" s="382"/>
      <c r="B71" s="84" t="s">
        <v>358</v>
      </c>
      <c r="C71" s="84" t="s">
        <v>342</v>
      </c>
      <c r="D71" s="84" t="s">
        <v>343</v>
      </c>
      <c r="E71" s="84" t="s">
        <v>344</v>
      </c>
      <c r="F71" s="84" t="s">
        <v>345</v>
      </c>
      <c r="G71" s="84" t="s">
        <v>346</v>
      </c>
      <c r="H71" s="84" t="s">
        <v>347</v>
      </c>
      <c r="I71" s="84" t="s">
        <v>534</v>
      </c>
      <c r="J71" s="84" t="s">
        <v>949</v>
      </c>
      <c r="K71" s="84" t="s">
        <v>961</v>
      </c>
      <c r="L71" s="84" t="s">
        <v>964</v>
      </c>
      <c r="M71" s="84" t="s">
        <v>982</v>
      </c>
    </row>
    <row r="72" spans="1:14">
      <c r="A72" s="227"/>
      <c r="B72" s="243"/>
      <c r="C72" s="227"/>
      <c r="D72" s="227"/>
      <c r="E72" s="227"/>
      <c r="F72" s="227"/>
      <c r="G72" s="227"/>
      <c r="H72" s="227"/>
      <c r="I72" s="227"/>
      <c r="J72" s="227"/>
      <c r="K72" s="227"/>
      <c r="M72" s="243" t="s">
        <v>1214</v>
      </c>
    </row>
    <row r="73" spans="1:14" ht="13">
      <c r="A73" s="51"/>
      <c r="B73" s="122" t="s">
        <v>1748</v>
      </c>
      <c r="C73" s="84">
        <v>350.1</v>
      </c>
      <c r="D73" s="84">
        <v>350.2</v>
      </c>
      <c r="E73" s="84">
        <v>352</v>
      </c>
      <c r="F73" s="84">
        <v>353</v>
      </c>
      <c r="G73" s="84">
        <v>354</v>
      </c>
      <c r="H73" s="84">
        <v>355</v>
      </c>
      <c r="I73" s="84">
        <v>356</v>
      </c>
      <c r="J73" s="84">
        <v>357</v>
      </c>
      <c r="K73" s="84">
        <v>358</v>
      </c>
      <c r="L73" s="84">
        <v>359</v>
      </c>
      <c r="M73" s="3" t="s">
        <v>196</v>
      </c>
    </row>
    <row r="74" spans="1:14" ht="13">
      <c r="A74" s="549">
        <f>A64+1</f>
        <v>28</v>
      </c>
      <c r="B74" s="931" t="s">
        <v>2712</v>
      </c>
      <c r="C74" s="493">
        <v>133220266.06</v>
      </c>
      <c r="D74" s="493">
        <v>211856223.38</v>
      </c>
      <c r="E74" s="963">
        <v>1143959577.47</v>
      </c>
      <c r="F74" s="963">
        <v>6517444413.6999998</v>
      </c>
      <c r="G74" s="963">
        <v>2380316640.98</v>
      </c>
      <c r="H74" s="963">
        <v>1666864455.23</v>
      </c>
      <c r="I74" s="963">
        <v>1763812033.4000001</v>
      </c>
      <c r="J74" s="963">
        <v>296662316.01999998</v>
      </c>
      <c r="K74" s="963">
        <v>376202208.05000001</v>
      </c>
      <c r="L74" s="963">
        <v>201604231.86000001</v>
      </c>
      <c r="M74" s="229">
        <f t="shared" ref="M74:M85" si="13">SUM(C74:L74)</f>
        <v>14691942366.15</v>
      </c>
      <c r="N74" s="14"/>
    </row>
    <row r="75" spans="1:14" ht="13">
      <c r="A75" s="549">
        <f t="shared" ref="A75:A86" si="14">A74+1</f>
        <v>29</v>
      </c>
      <c r="B75" s="700" t="s">
        <v>2713</v>
      </c>
      <c r="C75" s="493">
        <v>133229354.27</v>
      </c>
      <c r="D75" s="493">
        <v>213672305.89000002</v>
      </c>
      <c r="E75" s="963">
        <v>1148589784.2</v>
      </c>
      <c r="F75" s="963">
        <v>6525918155.5299997</v>
      </c>
      <c r="G75" s="963">
        <v>2378526113.8800001</v>
      </c>
      <c r="H75" s="963">
        <v>1683812794.9400001</v>
      </c>
      <c r="I75" s="963">
        <v>1768913633.6700001</v>
      </c>
      <c r="J75" s="963">
        <v>296666912.30000001</v>
      </c>
      <c r="K75" s="963">
        <v>374940694.63</v>
      </c>
      <c r="L75" s="963">
        <v>201501621.94</v>
      </c>
      <c r="M75" s="229">
        <f t="shared" si="13"/>
        <v>14725771371.25</v>
      </c>
      <c r="N75" s="14"/>
    </row>
    <row r="76" spans="1:14" ht="13">
      <c r="A76" s="549">
        <f t="shared" si="14"/>
        <v>30</v>
      </c>
      <c r="B76" s="931" t="s">
        <v>2714</v>
      </c>
      <c r="C76" s="493">
        <v>133228766.45</v>
      </c>
      <c r="D76" s="493">
        <v>213672893.71000001</v>
      </c>
      <c r="E76" s="963">
        <v>1155307949.55</v>
      </c>
      <c r="F76" s="963">
        <v>6575146419.7000008</v>
      </c>
      <c r="G76" s="963">
        <v>2378268151.4500003</v>
      </c>
      <c r="H76" s="963">
        <v>1699950828.3199999</v>
      </c>
      <c r="I76" s="963">
        <v>1770720795.23</v>
      </c>
      <c r="J76" s="963">
        <v>296781188.68000001</v>
      </c>
      <c r="K76" s="963">
        <v>374476773.76999998</v>
      </c>
      <c r="L76" s="963">
        <v>201628727.58000001</v>
      </c>
      <c r="M76" s="229">
        <f t="shared" si="13"/>
        <v>14799182494.440001</v>
      </c>
      <c r="N76" s="14"/>
    </row>
    <row r="77" spans="1:14" ht="13">
      <c r="A77" s="549">
        <f t="shared" si="14"/>
        <v>31</v>
      </c>
      <c r="B77" s="700" t="s">
        <v>2715</v>
      </c>
      <c r="C77" s="493">
        <v>133227565.69</v>
      </c>
      <c r="D77" s="493">
        <v>213680995.41000003</v>
      </c>
      <c r="E77" s="963">
        <v>1160375174.5599999</v>
      </c>
      <c r="F77" s="963">
        <v>6595010549.6499996</v>
      </c>
      <c r="G77" s="963">
        <v>2380234520.0300002</v>
      </c>
      <c r="H77" s="963">
        <v>1720476512.1700001</v>
      </c>
      <c r="I77" s="963">
        <v>1774161254.8900001</v>
      </c>
      <c r="J77" s="963">
        <v>296790885.27999997</v>
      </c>
      <c r="K77" s="963">
        <v>376845227.92000002</v>
      </c>
      <c r="L77" s="963">
        <v>201599404.01000002</v>
      </c>
      <c r="M77" s="229">
        <f t="shared" si="13"/>
        <v>14852402089.610001</v>
      </c>
      <c r="N77" s="14"/>
    </row>
    <row r="78" spans="1:14" ht="13">
      <c r="A78" s="549">
        <f t="shared" si="14"/>
        <v>32</v>
      </c>
      <c r="B78" s="931" t="s">
        <v>2716</v>
      </c>
      <c r="C78" s="493">
        <v>133255635.59</v>
      </c>
      <c r="D78" s="493">
        <v>213682274.82000002</v>
      </c>
      <c r="E78" s="963">
        <v>1173646864.25</v>
      </c>
      <c r="F78" s="963">
        <v>6610484303.5299997</v>
      </c>
      <c r="G78" s="963">
        <v>2389872603.25</v>
      </c>
      <c r="H78" s="963">
        <v>1730491012.4000001</v>
      </c>
      <c r="I78" s="963">
        <v>1779035046.3200002</v>
      </c>
      <c r="J78" s="963">
        <v>296587504.62</v>
      </c>
      <c r="K78" s="963">
        <v>375915619.48000002</v>
      </c>
      <c r="L78" s="963">
        <v>201571664.99000001</v>
      </c>
      <c r="M78" s="229">
        <f t="shared" si="13"/>
        <v>14904542529.249998</v>
      </c>
      <c r="N78" s="14"/>
    </row>
    <row r="79" spans="1:14" ht="13">
      <c r="A79" s="549">
        <f t="shared" si="14"/>
        <v>33</v>
      </c>
      <c r="B79" s="700" t="s">
        <v>2717</v>
      </c>
      <c r="C79" s="493">
        <v>133259473.23999999</v>
      </c>
      <c r="D79" s="493">
        <v>213678773.92000002</v>
      </c>
      <c r="E79" s="963">
        <v>1207831199.27</v>
      </c>
      <c r="F79" s="963">
        <v>6666543876.8400002</v>
      </c>
      <c r="G79" s="963">
        <v>2390152318.2600002</v>
      </c>
      <c r="H79" s="963">
        <v>1735675296.3300002</v>
      </c>
      <c r="I79" s="963">
        <v>1779965121.48</v>
      </c>
      <c r="J79" s="963">
        <v>296589022.92000002</v>
      </c>
      <c r="K79" s="963">
        <v>377356788.72000003</v>
      </c>
      <c r="L79" s="963">
        <v>201585855.53</v>
      </c>
      <c r="M79" s="229">
        <f t="shared" si="13"/>
        <v>15002637726.51</v>
      </c>
      <c r="N79" s="14"/>
    </row>
    <row r="80" spans="1:14" ht="13">
      <c r="A80" s="549">
        <f t="shared" si="14"/>
        <v>34</v>
      </c>
      <c r="B80" s="931" t="s">
        <v>2718</v>
      </c>
      <c r="C80" s="493">
        <v>133273187.77</v>
      </c>
      <c r="D80" s="493">
        <v>213679462.46000004</v>
      </c>
      <c r="E80" s="963">
        <v>1194705349.0999999</v>
      </c>
      <c r="F80" s="963">
        <v>6739746030.7600002</v>
      </c>
      <c r="G80" s="963">
        <v>2394354129.6700001</v>
      </c>
      <c r="H80" s="963">
        <v>1782205014.25</v>
      </c>
      <c r="I80" s="963">
        <v>1757099703.3600001</v>
      </c>
      <c r="J80" s="963">
        <v>318470110.05000001</v>
      </c>
      <c r="K80" s="963">
        <v>399457341.99000001</v>
      </c>
      <c r="L80" s="963">
        <v>202847547.83000001</v>
      </c>
      <c r="M80" s="229">
        <f t="shared" si="13"/>
        <v>15135837877.24</v>
      </c>
      <c r="N80" s="14"/>
    </row>
    <row r="81" spans="1:14" ht="13">
      <c r="A81" s="549">
        <f t="shared" si="14"/>
        <v>35</v>
      </c>
      <c r="B81" s="700" t="s">
        <v>2719</v>
      </c>
      <c r="C81" s="493">
        <v>133283681.43000001</v>
      </c>
      <c r="D81" s="493">
        <v>213680230.90000004</v>
      </c>
      <c r="E81" s="963">
        <v>1234078427.4400001</v>
      </c>
      <c r="F81" s="963">
        <v>6765201823.039999</v>
      </c>
      <c r="G81" s="963">
        <v>2396857545.0900002</v>
      </c>
      <c r="H81" s="963">
        <v>1791045634.47</v>
      </c>
      <c r="I81" s="963">
        <v>1762604921.9000001</v>
      </c>
      <c r="J81" s="963">
        <v>320579022.43000001</v>
      </c>
      <c r="K81" s="963">
        <v>398294903.87</v>
      </c>
      <c r="L81" s="963">
        <v>202962119.21000001</v>
      </c>
      <c r="M81" s="229">
        <f t="shared" si="13"/>
        <v>15218588309.779999</v>
      </c>
      <c r="N81" s="14"/>
    </row>
    <row r="82" spans="1:14" ht="13">
      <c r="A82" s="549">
        <f t="shared" si="14"/>
        <v>36</v>
      </c>
      <c r="B82" s="931" t="s">
        <v>2720</v>
      </c>
      <c r="C82" s="493">
        <v>133283079.15000001</v>
      </c>
      <c r="D82" s="493">
        <v>213682470.06000003</v>
      </c>
      <c r="E82" s="963">
        <v>1238291036.6699998</v>
      </c>
      <c r="F82" s="963">
        <v>6868264254.1499996</v>
      </c>
      <c r="G82" s="963">
        <v>2416155650.8000002</v>
      </c>
      <c r="H82" s="963">
        <v>1786778093.1500001</v>
      </c>
      <c r="I82" s="963">
        <v>1758487241.3100002</v>
      </c>
      <c r="J82" s="963">
        <v>320594435.38</v>
      </c>
      <c r="K82" s="963">
        <v>398939332.81999999</v>
      </c>
      <c r="L82" s="963">
        <v>202926225.13000003</v>
      </c>
      <c r="M82" s="229">
        <f t="shared" si="13"/>
        <v>15337401818.619997</v>
      </c>
      <c r="N82" s="14"/>
    </row>
    <row r="83" spans="1:14" ht="13">
      <c r="A83" s="549">
        <f t="shared" si="14"/>
        <v>37</v>
      </c>
      <c r="B83" s="700" t="s">
        <v>2721</v>
      </c>
      <c r="C83" s="493">
        <v>133283079.26000001</v>
      </c>
      <c r="D83" s="493">
        <v>213699666.41000003</v>
      </c>
      <c r="E83" s="963">
        <v>1244590979.04</v>
      </c>
      <c r="F83" s="963">
        <v>6895069305.0699997</v>
      </c>
      <c r="G83" s="963">
        <v>2411061748.1500001</v>
      </c>
      <c r="H83" s="963">
        <v>1802247726.3199999</v>
      </c>
      <c r="I83" s="963">
        <v>1758102117.6000001</v>
      </c>
      <c r="J83" s="963">
        <v>320562776.51999998</v>
      </c>
      <c r="K83" s="963">
        <v>398180019.61000001</v>
      </c>
      <c r="L83" s="963">
        <v>202847556.03</v>
      </c>
      <c r="M83" s="229">
        <f t="shared" si="13"/>
        <v>15379644974.010002</v>
      </c>
      <c r="N83" s="14"/>
    </row>
    <row r="84" spans="1:14" ht="13">
      <c r="A84" s="549">
        <f t="shared" si="14"/>
        <v>38</v>
      </c>
      <c r="B84" s="931" t="s">
        <v>2722</v>
      </c>
      <c r="C84" s="493">
        <v>133305161.56</v>
      </c>
      <c r="D84" s="493">
        <v>213736257.59</v>
      </c>
      <c r="E84" s="963">
        <v>1248715738.78</v>
      </c>
      <c r="F84" s="963">
        <v>6904584063.0199995</v>
      </c>
      <c r="G84" s="963">
        <v>2391042122.3800001</v>
      </c>
      <c r="H84" s="963">
        <v>1801023437.73</v>
      </c>
      <c r="I84" s="963">
        <v>1787269759.3400002</v>
      </c>
      <c r="J84" s="963">
        <v>324688728.56</v>
      </c>
      <c r="K84" s="963">
        <v>405787920.58999997</v>
      </c>
      <c r="L84" s="963">
        <v>216012942.28</v>
      </c>
      <c r="M84" s="229">
        <f t="shared" si="13"/>
        <v>15426166131.829998</v>
      </c>
      <c r="N84" s="14"/>
    </row>
    <row r="85" spans="1:14" ht="13">
      <c r="A85" s="549">
        <f t="shared" si="14"/>
        <v>39</v>
      </c>
      <c r="B85" s="700" t="s">
        <v>2723</v>
      </c>
      <c r="C85" s="493">
        <v>133308946.73</v>
      </c>
      <c r="D85" s="493">
        <v>213737434.42000002</v>
      </c>
      <c r="E85" s="963">
        <v>1253365522.73</v>
      </c>
      <c r="F85" s="963">
        <v>6949321079.8100004</v>
      </c>
      <c r="G85" s="963">
        <v>2392420817.9400001</v>
      </c>
      <c r="H85" s="963">
        <v>1805881020.78</v>
      </c>
      <c r="I85" s="963">
        <v>1788889367.75</v>
      </c>
      <c r="J85" s="963">
        <v>324802018</v>
      </c>
      <c r="K85" s="963">
        <v>405466664.76999998</v>
      </c>
      <c r="L85" s="963">
        <v>215815134.16000003</v>
      </c>
      <c r="M85" s="360">
        <f t="shared" si="13"/>
        <v>15483008007.090002</v>
      </c>
      <c r="N85" s="14"/>
    </row>
    <row r="86" spans="1:14" ht="13">
      <c r="A86" s="549">
        <f t="shared" si="14"/>
        <v>40</v>
      </c>
      <c r="B86" s="931" t="s">
        <v>2724</v>
      </c>
      <c r="C86" s="493">
        <v>133310684.79000001</v>
      </c>
      <c r="D86" s="493">
        <v>213721519.03000003</v>
      </c>
      <c r="E86" s="477">
        <f>'7-PlantStudy'!C10</f>
        <v>1253582423</v>
      </c>
      <c r="F86" s="477">
        <f>'7-PlantStudy'!C11</f>
        <v>6970450866</v>
      </c>
      <c r="G86" s="477">
        <f>'7-PlantStudy'!C20</f>
        <v>2396538521</v>
      </c>
      <c r="H86" s="477">
        <f>'7-PlantStudy'!C21</f>
        <v>1828031265</v>
      </c>
      <c r="I86" s="477">
        <f>'7-PlantStudy'!C22</f>
        <v>1891498739</v>
      </c>
      <c r="J86" s="477">
        <f>'7-PlantStudy'!C23</f>
        <v>325221172</v>
      </c>
      <c r="K86" s="477">
        <f>'7-PlantStudy'!C24</f>
        <v>406147584</v>
      </c>
      <c r="L86" s="477">
        <f>'7-PlantStudy'!C25</f>
        <v>215837806</v>
      </c>
      <c r="M86" s="229">
        <f>SUM(C86:L86)</f>
        <v>15634340579.82</v>
      </c>
      <c r="N86" s="14"/>
    </row>
    <row r="88" spans="1:14" ht="13">
      <c r="B88" s="44" t="s">
        <v>2348</v>
      </c>
      <c r="C88" s="14"/>
      <c r="D88" s="14"/>
      <c r="E88" s="14"/>
    </row>
    <row r="89" spans="1:14">
      <c r="B89" s="14"/>
      <c r="C89" s="14"/>
      <c r="D89" s="14"/>
    </row>
    <row r="90" spans="1:14" ht="13">
      <c r="A90" s="382"/>
      <c r="B90" s="351" t="s">
        <v>358</v>
      </c>
      <c r="C90" s="351" t="s">
        <v>342</v>
      </c>
      <c r="D90" s="351" t="s">
        <v>343</v>
      </c>
      <c r="E90" s="84" t="s">
        <v>344</v>
      </c>
      <c r="F90" s="84" t="s">
        <v>345</v>
      </c>
      <c r="G90" s="84" t="s">
        <v>346</v>
      </c>
      <c r="H90" s="84" t="s">
        <v>347</v>
      </c>
      <c r="I90" s="84" t="s">
        <v>534</v>
      </c>
      <c r="J90" s="84" t="s">
        <v>949</v>
      </c>
      <c r="K90" s="84" t="s">
        <v>961</v>
      </c>
      <c r="L90" s="84" t="s">
        <v>964</v>
      </c>
      <c r="M90" s="84" t="s">
        <v>982</v>
      </c>
    </row>
    <row r="91" spans="1:14">
      <c r="A91" s="227"/>
      <c r="B91" s="440"/>
      <c r="C91" s="235"/>
      <c r="D91" s="235"/>
      <c r="E91" s="227"/>
      <c r="F91" s="227"/>
      <c r="G91" s="227"/>
      <c r="H91" s="227"/>
      <c r="I91" s="227"/>
      <c r="J91" s="227"/>
      <c r="K91" s="227"/>
      <c r="M91" s="243" t="s">
        <v>1214</v>
      </c>
    </row>
    <row r="92" spans="1:14" ht="13">
      <c r="A92" s="51"/>
      <c r="B92" s="122" t="s">
        <v>1748</v>
      </c>
      <c r="C92" s="351">
        <v>350.1</v>
      </c>
      <c r="D92" s="351">
        <v>350.2</v>
      </c>
      <c r="E92" s="84">
        <v>352</v>
      </c>
      <c r="F92" s="84">
        <v>353</v>
      </c>
      <c r="G92" s="84">
        <v>354</v>
      </c>
      <c r="H92" s="84">
        <v>355</v>
      </c>
      <c r="I92" s="84">
        <v>356</v>
      </c>
      <c r="J92" s="84">
        <v>357</v>
      </c>
      <c r="K92" s="84">
        <v>358</v>
      </c>
      <c r="L92" s="84">
        <v>359</v>
      </c>
      <c r="M92" s="3" t="s">
        <v>196</v>
      </c>
    </row>
    <row r="93" spans="1:14" ht="13">
      <c r="A93" s="549">
        <f>A86+1</f>
        <v>41</v>
      </c>
      <c r="B93" s="700" t="s">
        <v>2713</v>
      </c>
      <c r="C93" s="477">
        <f t="shared" ref="C93:L93" si="15">C75-C74</f>
        <v>9088.2099999934435</v>
      </c>
      <c r="D93" s="477">
        <f t="shared" si="15"/>
        <v>1816082.5100000203</v>
      </c>
      <c r="E93" s="477">
        <f t="shared" si="15"/>
        <v>4630206.7300000191</v>
      </c>
      <c r="F93" s="477">
        <f t="shared" si="15"/>
        <v>8473741.8299999237</v>
      </c>
      <c r="G93" s="477">
        <f t="shared" si="15"/>
        <v>-1790527.0999999046</v>
      </c>
      <c r="H93" s="477">
        <f t="shared" si="15"/>
        <v>16948339.710000038</v>
      </c>
      <c r="I93" s="477">
        <f t="shared" si="15"/>
        <v>5101600.2699999809</v>
      </c>
      <c r="J93" s="477">
        <f t="shared" si="15"/>
        <v>4596.2800000309944</v>
      </c>
      <c r="K93" s="477">
        <f t="shared" si="15"/>
        <v>-1261513.4200000167</v>
      </c>
      <c r="L93" s="477">
        <f t="shared" si="15"/>
        <v>-102609.92000001669</v>
      </c>
      <c r="M93" s="229">
        <f t="shared" ref="M93:M105" si="16">SUM(C93:L93)</f>
        <v>33829005.100000069</v>
      </c>
      <c r="N93" s="14"/>
    </row>
    <row r="94" spans="1:14" ht="13">
      <c r="A94" s="549">
        <f t="shared" ref="A94:A105" si="17">A93+1</f>
        <v>42</v>
      </c>
      <c r="B94" s="699" t="s">
        <v>2714</v>
      </c>
      <c r="C94" s="477">
        <f t="shared" ref="C94:L94" si="18">C76-C75</f>
        <v>-587.81999999284744</v>
      </c>
      <c r="D94" s="477">
        <f t="shared" si="18"/>
        <v>587.81999999284744</v>
      </c>
      <c r="E94" s="477">
        <f t="shared" si="18"/>
        <v>6718165.3499999046</v>
      </c>
      <c r="F94" s="477">
        <f t="shared" si="18"/>
        <v>49228264.17000103</v>
      </c>
      <c r="G94" s="477">
        <f t="shared" si="18"/>
        <v>-257962.42999982834</v>
      </c>
      <c r="H94" s="477">
        <f t="shared" si="18"/>
        <v>16138033.379999876</v>
      </c>
      <c r="I94" s="477">
        <f t="shared" si="18"/>
        <v>1807161.5599999428</v>
      </c>
      <c r="J94" s="477">
        <f t="shared" si="18"/>
        <v>114276.37999999523</v>
      </c>
      <c r="K94" s="477">
        <f t="shared" si="18"/>
        <v>-463920.86000001431</v>
      </c>
      <c r="L94" s="477">
        <f t="shared" si="18"/>
        <v>127105.6400000155</v>
      </c>
      <c r="M94" s="229">
        <f t="shared" si="16"/>
        <v>73411123.190000921</v>
      </c>
      <c r="N94" s="14"/>
    </row>
    <row r="95" spans="1:14" ht="13">
      <c r="A95" s="549">
        <f t="shared" si="17"/>
        <v>43</v>
      </c>
      <c r="B95" s="699" t="s">
        <v>2715</v>
      </c>
      <c r="C95" s="477">
        <f t="shared" ref="C95:L95" si="19">C77-C76</f>
        <v>-1200.7600000053644</v>
      </c>
      <c r="D95" s="477">
        <f t="shared" si="19"/>
        <v>8101.7000000178814</v>
      </c>
      <c r="E95" s="477">
        <f t="shared" si="19"/>
        <v>5067225.0099999905</v>
      </c>
      <c r="F95" s="477">
        <f t="shared" si="19"/>
        <v>19864129.949998856</v>
      </c>
      <c r="G95" s="477">
        <f t="shared" si="19"/>
        <v>1966368.5799999237</v>
      </c>
      <c r="H95" s="477">
        <f t="shared" si="19"/>
        <v>20525683.850000143</v>
      </c>
      <c r="I95" s="477">
        <f t="shared" si="19"/>
        <v>3440459.6600000858</v>
      </c>
      <c r="J95" s="477">
        <f t="shared" si="19"/>
        <v>9696.5999999642372</v>
      </c>
      <c r="K95" s="477">
        <f t="shared" si="19"/>
        <v>2368454.1500000358</v>
      </c>
      <c r="L95" s="477">
        <f t="shared" si="19"/>
        <v>-29323.569999992847</v>
      </c>
      <c r="M95" s="229">
        <f t="shared" si="16"/>
        <v>53219595.169999018</v>
      </c>
      <c r="N95" s="14"/>
    </row>
    <row r="96" spans="1:14" ht="13">
      <c r="A96" s="549">
        <f t="shared" si="17"/>
        <v>44</v>
      </c>
      <c r="B96" s="700" t="s">
        <v>2716</v>
      </c>
      <c r="C96" s="477">
        <f t="shared" ref="C96:L96" si="20">C78-C77</f>
        <v>28069.90000000596</v>
      </c>
      <c r="D96" s="477">
        <f t="shared" si="20"/>
        <v>1279.4099999964237</v>
      </c>
      <c r="E96" s="477">
        <f t="shared" si="20"/>
        <v>13271689.690000057</v>
      </c>
      <c r="F96" s="477">
        <f t="shared" si="20"/>
        <v>15473753.880000114</v>
      </c>
      <c r="G96" s="477">
        <f t="shared" si="20"/>
        <v>9638083.2199997902</v>
      </c>
      <c r="H96" s="477">
        <f t="shared" si="20"/>
        <v>10014500.230000019</v>
      </c>
      <c r="I96" s="477">
        <f t="shared" si="20"/>
        <v>4873791.4300000668</v>
      </c>
      <c r="J96" s="477">
        <f t="shared" si="20"/>
        <v>-203380.65999996662</v>
      </c>
      <c r="K96" s="477">
        <f t="shared" si="20"/>
        <v>-929608.43999999762</v>
      </c>
      <c r="L96" s="477">
        <f t="shared" si="20"/>
        <v>-27739.020000010729</v>
      </c>
      <c r="M96" s="229">
        <f t="shared" si="16"/>
        <v>52140439.640000075</v>
      </c>
      <c r="N96" s="14"/>
    </row>
    <row r="97" spans="1:14" ht="13">
      <c r="A97" s="549">
        <f t="shared" si="17"/>
        <v>45</v>
      </c>
      <c r="B97" s="699" t="s">
        <v>2717</v>
      </c>
      <c r="C97" s="477">
        <f t="shared" ref="C97:I104" si="21">C79-C78</f>
        <v>3837.6499999910593</v>
      </c>
      <c r="D97" s="477">
        <f t="shared" si="21"/>
        <v>-3500.9000000059605</v>
      </c>
      <c r="E97" s="477">
        <f t="shared" si="21"/>
        <v>34184335.019999981</v>
      </c>
      <c r="F97" s="477">
        <f t="shared" si="21"/>
        <v>56059573.31000042</v>
      </c>
      <c r="G97" s="477">
        <f t="shared" si="21"/>
        <v>279715.01000022888</v>
      </c>
      <c r="H97" s="477">
        <f t="shared" si="21"/>
        <v>5184283.9300000668</v>
      </c>
      <c r="I97" s="477">
        <f t="shared" si="21"/>
        <v>930075.15999984741</v>
      </c>
      <c r="J97" s="477">
        <f t="shared" ref="J97" si="22">J79-J78</f>
        <v>1518.3000000119209</v>
      </c>
      <c r="K97" s="477">
        <f t="shared" ref="K97:L104" si="23">K79-K78</f>
        <v>1441169.2400000095</v>
      </c>
      <c r="L97" s="477">
        <f t="shared" si="23"/>
        <v>14190.539999991655</v>
      </c>
      <c r="M97" s="229">
        <f t="shared" si="16"/>
        <v>98095197.260000542</v>
      </c>
      <c r="N97" s="14"/>
    </row>
    <row r="98" spans="1:14" ht="13">
      <c r="A98" s="549">
        <f t="shared" si="17"/>
        <v>46</v>
      </c>
      <c r="B98" s="699" t="s">
        <v>2718</v>
      </c>
      <c r="C98" s="477">
        <f t="shared" si="21"/>
        <v>13714.530000001192</v>
      </c>
      <c r="D98" s="477">
        <f t="shared" si="21"/>
        <v>688.54000002145767</v>
      </c>
      <c r="E98" s="477">
        <f t="shared" si="21"/>
        <v>-13125850.170000076</v>
      </c>
      <c r="F98" s="477">
        <f t="shared" si="21"/>
        <v>73202153.920000076</v>
      </c>
      <c r="G98" s="477">
        <f t="shared" si="21"/>
        <v>4201811.4099998474</v>
      </c>
      <c r="H98" s="477">
        <f t="shared" si="21"/>
        <v>46529717.919999838</v>
      </c>
      <c r="I98" s="477">
        <f t="shared" si="21"/>
        <v>-22865418.119999886</v>
      </c>
      <c r="J98" s="477">
        <f t="shared" ref="J98:J104" si="24">J80-J79</f>
        <v>21881087.129999995</v>
      </c>
      <c r="K98" s="477">
        <f t="shared" si="23"/>
        <v>22100553.269999981</v>
      </c>
      <c r="L98" s="477">
        <f t="shared" si="23"/>
        <v>1261692.3000000119</v>
      </c>
      <c r="M98" s="229">
        <f t="shared" si="16"/>
        <v>133200150.72999981</v>
      </c>
      <c r="N98" s="14"/>
    </row>
    <row r="99" spans="1:14" ht="13">
      <c r="A99" s="549">
        <f t="shared" si="17"/>
        <v>47</v>
      </c>
      <c r="B99" s="700" t="s">
        <v>2719</v>
      </c>
      <c r="C99" s="477">
        <f t="shared" si="21"/>
        <v>10493.660000011325</v>
      </c>
      <c r="D99" s="477">
        <f t="shared" si="21"/>
        <v>768.43999999761581</v>
      </c>
      <c r="E99" s="477">
        <f t="shared" si="21"/>
        <v>39373078.340000153</v>
      </c>
      <c r="F99" s="477">
        <f t="shared" si="21"/>
        <v>25455792.279998779</v>
      </c>
      <c r="G99" s="477">
        <f t="shared" si="21"/>
        <v>2503415.4200000763</v>
      </c>
      <c r="H99" s="477">
        <f t="shared" si="21"/>
        <v>8840620.2200000286</v>
      </c>
      <c r="I99" s="477">
        <f t="shared" si="21"/>
        <v>5505218.5399999619</v>
      </c>
      <c r="J99" s="477">
        <f t="shared" si="24"/>
        <v>2108912.3799999952</v>
      </c>
      <c r="K99" s="477">
        <f t="shared" si="23"/>
        <v>-1162438.1200000048</v>
      </c>
      <c r="L99" s="477">
        <f t="shared" si="23"/>
        <v>114571.37999999523</v>
      </c>
      <c r="M99" s="229">
        <f t="shared" si="16"/>
        <v>82750432.539998993</v>
      </c>
      <c r="N99" s="14"/>
    </row>
    <row r="100" spans="1:14" ht="13">
      <c r="A100" s="549">
        <f t="shared" si="17"/>
        <v>48</v>
      </c>
      <c r="B100" s="699" t="s">
        <v>2720</v>
      </c>
      <c r="C100" s="477">
        <f t="shared" si="21"/>
        <v>-602.28000000119209</v>
      </c>
      <c r="D100" s="477">
        <f t="shared" si="21"/>
        <v>2239.1599999964237</v>
      </c>
      <c r="E100" s="477">
        <f t="shared" si="21"/>
        <v>4212609.2299997807</v>
      </c>
      <c r="F100" s="477">
        <f t="shared" si="21"/>
        <v>103062431.11000061</v>
      </c>
      <c r="G100" s="477">
        <f t="shared" si="21"/>
        <v>19298105.710000038</v>
      </c>
      <c r="H100" s="477">
        <f t="shared" si="21"/>
        <v>-4267541.3199999332</v>
      </c>
      <c r="I100" s="477">
        <f t="shared" si="21"/>
        <v>-4117680.5899999142</v>
      </c>
      <c r="J100" s="477">
        <f t="shared" si="24"/>
        <v>15412.949999988079</v>
      </c>
      <c r="K100" s="477">
        <f t="shared" si="23"/>
        <v>644428.94999998808</v>
      </c>
      <c r="L100" s="477">
        <f t="shared" si="23"/>
        <v>-35894.079999983311</v>
      </c>
      <c r="M100" s="229">
        <f t="shared" si="16"/>
        <v>118813508.84000057</v>
      </c>
      <c r="N100" s="14"/>
    </row>
    <row r="101" spans="1:14" ht="13">
      <c r="A101" s="549">
        <f t="shared" si="17"/>
        <v>49</v>
      </c>
      <c r="B101" s="699" t="s">
        <v>2721</v>
      </c>
      <c r="C101" s="477">
        <f t="shared" si="21"/>
        <v>0.10999999940395355</v>
      </c>
      <c r="D101" s="477">
        <f t="shared" si="21"/>
        <v>17196.34999999404</v>
      </c>
      <c r="E101" s="477">
        <f t="shared" si="21"/>
        <v>6299942.370000124</v>
      </c>
      <c r="F101" s="477">
        <f t="shared" si="21"/>
        <v>26805050.920000076</v>
      </c>
      <c r="G101" s="477">
        <f t="shared" si="21"/>
        <v>-5093902.6500000954</v>
      </c>
      <c r="H101" s="477">
        <f t="shared" si="21"/>
        <v>15469633.169999838</v>
      </c>
      <c r="I101" s="477">
        <f t="shared" si="21"/>
        <v>-385123.71000003815</v>
      </c>
      <c r="J101" s="477">
        <f t="shared" si="24"/>
        <v>-31658.860000014305</v>
      </c>
      <c r="K101" s="477">
        <f t="shared" si="23"/>
        <v>-759313.20999997854</v>
      </c>
      <c r="L101" s="477">
        <f t="shared" si="23"/>
        <v>-78669.100000023842</v>
      </c>
      <c r="M101" s="229">
        <f t="shared" si="16"/>
        <v>42243155.389999881</v>
      </c>
      <c r="N101" s="14"/>
    </row>
    <row r="102" spans="1:14" ht="13">
      <c r="A102" s="549">
        <f t="shared" si="17"/>
        <v>50</v>
      </c>
      <c r="B102" s="700" t="s">
        <v>2722</v>
      </c>
      <c r="C102" s="477">
        <f t="shared" si="21"/>
        <v>22082.29999999702</v>
      </c>
      <c r="D102" s="477">
        <f t="shared" si="21"/>
        <v>36591.17999997735</v>
      </c>
      <c r="E102" s="477">
        <f t="shared" si="21"/>
        <v>4124759.7400000095</v>
      </c>
      <c r="F102" s="477">
        <f t="shared" si="21"/>
        <v>9514757.9499998093</v>
      </c>
      <c r="G102" s="477">
        <f t="shared" si="21"/>
        <v>-20019625.769999981</v>
      </c>
      <c r="H102" s="477">
        <f t="shared" si="21"/>
        <v>-1224288.5899999142</v>
      </c>
      <c r="I102" s="477">
        <f t="shared" si="21"/>
        <v>29167641.74000001</v>
      </c>
      <c r="J102" s="477">
        <f t="shared" si="24"/>
        <v>4125952.0400000215</v>
      </c>
      <c r="K102" s="477">
        <f t="shared" si="23"/>
        <v>7607900.9799999595</v>
      </c>
      <c r="L102" s="477">
        <f t="shared" si="23"/>
        <v>13165386.25</v>
      </c>
      <c r="M102" s="229">
        <f t="shared" si="16"/>
        <v>46521157.819999889</v>
      </c>
      <c r="N102" s="14"/>
    </row>
    <row r="103" spans="1:14" ht="13">
      <c r="A103" s="549">
        <f t="shared" si="17"/>
        <v>51</v>
      </c>
      <c r="B103" s="700" t="s">
        <v>2723</v>
      </c>
      <c r="C103" s="477">
        <f t="shared" si="21"/>
        <v>3785.1700000017881</v>
      </c>
      <c r="D103" s="477">
        <f t="shared" si="21"/>
        <v>1176.830000013113</v>
      </c>
      <c r="E103" s="477">
        <f t="shared" si="21"/>
        <v>4649783.9500000477</v>
      </c>
      <c r="F103" s="477">
        <f t="shared" si="21"/>
        <v>44737016.790000916</v>
      </c>
      <c r="G103" s="477">
        <f t="shared" si="21"/>
        <v>1378695.5599999428</v>
      </c>
      <c r="H103" s="477">
        <f t="shared" si="21"/>
        <v>4857583.0499999523</v>
      </c>
      <c r="I103" s="477">
        <f t="shared" si="21"/>
        <v>1619608.4099998474</v>
      </c>
      <c r="J103" s="477">
        <f t="shared" si="24"/>
        <v>113289.43999999762</v>
      </c>
      <c r="K103" s="477">
        <f t="shared" si="23"/>
        <v>-321255.81999999285</v>
      </c>
      <c r="L103" s="477">
        <f t="shared" si="23"/>
        <v>-197808.11999997497</v>
      </c>
      <c r="M103" s="229">
        <f t="shared" si="16"/>
        <v>56841875.26000075</v>
      </c>
      <c r="N103" s="14"/>
    </row>
    <row r="104" spans="1:14" ht="13">
      <c r="A104" s="549">
        <f t="shared" si="17"/>
        <v>52</v>
      </c>
      <c r="B104" s="699" t="s">
        <v>2724</v>
      </c>
      <c r="C104" s="110">
        <f t="shared" si="21"/>
        <v>1738.0600000023842</v>
      </c>
      <c r="D104" s="110">
        <f t="shared" si="21"/>
        <v>-15915.389999985695</v>
      </c>
      <c r="E104" s="110">
        <f t="shared" si="21"/>
        <v>216900.26999998093</v>
      </c>
      <c r="F104" s="110">
        <f t="shared" si="21"/>
        <v>21129786.18999958</v>
      </c>
      <c r="G104" s="110">
        <f t="shared" si="21"/>
        <v>4117703.0599999428</v>
      </c>
      <c r="H104" s="110">
        <f t="shared" si="21"/>
        <v>22150244.220000029</v>
      </c>
      <c r="I104" s="110">
        <f t="shared" si="21"/>
        <v>102609371.25</v>
      </c>
      <c r="J104" s="110">
        <f t="shared" si="24"/>
        <v>419154</v>
      </c>
      <c r="K104" s="110">
        <f t="shared" si="23"/>
        <v>680919.23000001907</v>
      </c>
      <c r="L104" s="110">
        <f t="shared" si="23"/>
        <v>22671.839999973774</v>
      </c>
      <c r="M104" s="360">
        <f t="shared" si="16"/>
        <v>151332572.72999954</v>
      </c>
      <c r="N104" s="14"/>
    </row>
    <row r="105" spans="1:14" ht="13">
      <c r="A105" s="549">
        <f t="shared" si="17"/>
        <v>53</v>
      </c>
      <c r="B105" s="1049" t="s">
        <v>4</v>
      </c>
      <c r="C105" s="229">
        <f t="shared" ref="C105:L105" si="25">SUM(C93:C104)</f>
        <v>90418.730000004172</v>
      </c>
      <c r="D105" s="229">
        <f t="shared" si="25"/>
        <v>1865295.6500000358</v>
      </c>
      <c r="E105" s="229">
        <f t="shared" si="25"/>
        <v>109622845.52999997</v>
      </c>
      <c r="F105" s="229">
        <f t="shared" si="25"/>
        <v>453006452.30000019</v>
      </c>
      <c r="G105" s="229">
        <f t="shared" si="25"/>
        <v>16221880.019999981</v>
      </c>
      <c r="H105" s="229">
        <f t="shared" si="25"/>
        <v>161166809.76999998</v>
      </c>
      <c r="I105" s="229">
        <f t="shared" si="25"/>
        <v>127686705.5999999</v>
      </c>
      <c r="J105" s="229">
        <f t="shared" si="25"/>
        <v>28558855.980000019</v>
      </c>
      <c r="K105" s="229">
        <f t="shared" si="25"/>
        <v>29945375.949999988</v>
      </c>
      <c r="L105" s="229">
        <f t="shared" si="25"/>
        <v>14233574.139999986</v>
      </c>
      <c r="M105" s="229">
        <f t="shared" si="16"/>
        <v>942398213.66999996</v>
      </c>
      <c r="N105" s="14"/>
    </row>
    <row r="106" spans="1:14" ht="13">
      <c r="A106" s="549"/>
      <c r="B106" s="1049"/>
      <c r="C106" s="231"/>
      <c r="D106" s="231"/>
      <c r="E106" s="231"/>
      <c r="F106" s="231"/>
      <c r="G106" s="231"/>
      <c r="H106" s="231"/>
      <c r="I106" s="231"/>
      <c r="J106" s="231"/>
      <c r="K106" s="231"/>
      <c r="L106" s="231"/>
      <c r="M106" s="229"/>
    </row>
    <row r="107" spans="1:14" ht="13">
      <c r="B107" s="44" t="s">
        <v>2349</v>
      </c>
      <c r="C107" s="14"/>
      <c r="D107" s="14"/>
      <c r="E107" s="14"/>
    </row>
    <row r="108" spans="1:14">
      <c r="B108" s="14"/>
      <c r="C108" s="14"/>
      <c r="D108" s="14"/>
    </row>
    <row r="109" spans="1:14" ht="13">
      <c r="A109" s="382"/>
      <c r="B109" s="351" t="s">
        <v>358</v>
      </c>
      <c r="C109" s="351" t="s">
        <v>342</v>
      </c>
      <c r="D109" s="351" t="s">
        <v>343</v>
      </c>
      <c r="E109" s="84" t="s">
        <v>344</v>
      </c>
      <c r="F109" s="84" t="s">
        <v>345</v>
      </c>
      <c r="G109" s="84" t="s">
        <v>346</v>
      </c>
      <c r="H109" s="84" t="s">
        <v>347</v>
      </c>
      <c r="I109" s="84" t="s">
        <v>534</v>
      </c>
      <c r="J109" s="84" t="s">
        <v>949</v>
      </c>
      <c r="K109" s="84" t="s">
        <v>961</v>
      </c>
      <c r="L109" s="84" t="s">
        <v>964</v>
      </c>
      <c r="M109" s="84" t="s">
        <v>982</v>
      </c>
    </row>
    <row r="110" spans="1:14">
      <c r="A110" s="227"/>
      <c r="B110" s="440"/>
      <c r="C110" s="235"/>
      <c r="D110" s="235"/>
      <c r="E110" s="227"/>
      <c r="F110" s="227"/>
      <c r="G110" s="227"/>
      <c r="H110" s="227"/>
      <c r="I110" s="227"/>
      <c r="J110" s="227"/>
      <c r="K110" s="227"/>
      <c r="M110" s="243" t="s">
        <v>1214</v>
      </c>
    </row>
    <row r="111" spans="1:14" ht="13">
      <c r="A111" s="51"/>
      <c r="B111" s="122" t="s">
        <v>1748</v>
      </c>
      <c r="C111" s="351">
        <v>350.1</v>
      </c>
      <c r="D111" s="351">
        <v>350.2</v>
      </c>
      <c r="E111" s="84">
        <v>352</v>
      </c>
      <c r="F111" s="84">
        <v>353</v>
      </c>
      <c r="G111" s="84">
        <v>354</v>
      </c>
      <c r="H111" s="84">
        <v>355</v>
      </c>
      <c r="I111" s="84">
        <v>356</v>
      </c>
      <c r="J111" s="84">
        <v>357</v>
      </c>
      <c r="K111" s="84">
        <v>358</v>
      </c>
      <c r="L111" s="84">
        <v>359</v>
      </c>
      <c r="M111" s="3" t="s">
        <v>196</v>
      </c>
    </row>
    <row r="112" spans="1:14" ht="13">
      <c r="A112" s="549">
        <f>A105+1</f>
        <v>54</v>
      </c>
      <c r="B112" s="931" t="s">
        <v>2712</v>
      </c>
      <c r="C112" s="1067">
        <v>20567881.547499988</v>
      </c>
      <c r="D112" s="1067">
        <v>95086484.279999986</v>
      </c>
      <c r="E112" s="1067">
        <v>327560005.78420037</v>
      </c>
      <c r="F112" s="1067">
        <v>1285246061.5526114</v>
      </c>
      <c r="G112" s="1067">
        <v>1754773794.6018269</v>
      </c>
      <c r="H112" s="1067">
        <v>161600028.58000001</v>
      </c>
      <c r="I112" s="1067">
        <v>827789058.51719701</v>
      </c>
      <c r="J112" s="1067">
        <v>215074930.83000007</v>
      </c>
      <c r="K112" s="1067">
        <v>57157937.139999986</v>
      </c>
      <c r="L112" s="1067">
        <v>150244444.52059191</v>
      </c>
      <c r="M112" s="1029">
        <f t="shared" ref="M112:M124" si="26">SUM(C112:L112)</f>
        <v>4895100627.3539276</v>
      </c>
      <c r="N112" s="14"/>
    </row>
    <row r="113" spans="1:14" ht="13">
      <c r="A113" s="549">
        <f t="shared" ref="A113:A124" si="27">A112+1</f>
        <v>55</v>
      </c>
      <c r="B113" s="700" t="s">
        <v>2713</v>
      </c>
      <c r="C113" s="1067">
        <v>20578172.127499986</v>
      </c>
      <c r="D113" s="1067">
        <v>95087223.699999988</v>
      </c>
      <c r="E113" s="1067">
        <v>328030592.07798439</v>
      </c>
      <c r="F113" s="1067">
        <v>1286500561.209775</v>
      </c>
      <c r="G113" s="1067">
        <v>1754548969.6118271</v>
      </c>
      <c r="H113" s="1067">
        <v>161326424.69</v>
      </c>
      <c r="I113" s="1067">
        <v>828733233.18719697</v>
      </c>
      <c r="J113" s="1067">
        <v>215078880.08000007</v>
      </c>
      <c r="K113" s="1067">
        <v>57159200.779999986</v>
      </c>
      <c r="L113" s="1067">
        <v>149928057.51059192</v>
      </c>
      <c r="M113" s="1029">
        <f t="shared" si="26"/>
        <v>4896971314.9748745</v>
      </c>
      <c r="N113" s="14"/>
    </row>
    <row r="114" spans="1:14" ht="13">
      <c r="A114" s="549">
        <f t="shared" si="27"/>
        <v>56</v>
      </c>
      <c r="B114" s="699" t="s">
        <v>2714</v>
      </c>
      <c r="C114" s="1067">
        <v>20577584.307499986</v>
      </c>
      <c r="D114" s="1067">
        <v>95087811.519999981</v>
      </c>
      <c r="E114" s="1067">
        <v>328913171.8255645</v>
      </c>
      <c r="F114" s="1067">
        <v>1292691489.811923</v>
      </c>
      <c r="G114" s="1067">
        <v>1754631816.3918271</v>
      </c>
      <c r="H114" s="1067">
        <v>161401153.95999998</v>
      </c>
      <c r="I114" s="1067">
        <v>829312867.23719692</v>
      </c>
      <c r="J114" s="1067">
        <v>215083314.65000007</v>
      </c>
      <c r="K114" s="1067">
        <v>57160422.899999984</v>
      </c>
      <c r="L114" s="1067">
        <v>150030632.30059192</v>
      </c>
      <c r="M114" s="1029">
        <f t="shared" si="26"/>
        <v>4904890264.9046021</v>
      </c>
      <c r="N114" s="14"/>
    </row>
    <row r="115" spans="1:14" ht="13">
      <c r="A115" s="549">
        <f t="shared" si="27"/>
        <v>57</v>
      </c>
      <c r="B115" s="699" t="s">
        <v>2715</v>
      </c>
      <c r="C115" s="1067">
        <v>20577668.807499986</v>
      </c>
      <c r="D115" s="1067">
        <v>95087811.519999981</v>
      </c>
      <c r="E115" s="1067">
        <v>329083319.18957442</v>
      </c>
      <c r="F115" s="1067">
        <v>1293611335.988559</v>
      </c>
      <c r="G115" s="1067">
        <v>1754620750.9018264</v>
      </c>
      <c r="H115" s="1067">
        <v>161383535.87999997</v>
      </c>
      <c r="I115" s="1067">
        <v>829682367.26719689</v>
      </c>
      <c r="J115" s="1067">
        <v>215091766.52000007</v>
      </c>
      <c r="K115" s="1067">
        <v>57166646.05999998</v>
      </c>
      <c r="L115" s="1067">
        <v>149996843.7205919</v>
      </c>
      <c r="M115" s="1029">
        <f t="shared" si="26"/>
        <v>4906302045.8552494</v>
      </c>
      <c r="N115" s="14"/>
    </row>
    <row r="116" spans="1:14" ht="13">
      <c r="A116" s="549">
        <f t="shared" si="27"/>
        <v>58</v>
      </c>
      <c r="B116" s="700" t="s">
        <v>2716</v>
      </c>
      <c r="C116" s="1067">
        <v>20612785.207499985</v>
      </c>
      <c r="D116" s="1067">
        <v>95087816.019999981</v>
      </c>
      <c r="E116" s="1067">
        <v>329069498.01574641</v>
      </c>
      <c r="F116" s="1067">
        <v>1297687227.9066391</v>
      </c>
      <c r="G116" s="1067">
        <v>1754611834.4218268</v>
      </c>
      <c r="H116" s="1067">
        <v>161337213.47999996</v>
      </c>
      <c r="I116" s="1067">
        <v>829870056.52719712</v>
      </c>
      <c r="J116" s="1067">
        <v>215101239.05000007</v>
      </c>
      <c r="K116" s="1067">
        <v>57164744.639999978</v>
      </c>
      <c r="L116" s="1067">
        <v>149965562.92059189</v>
      </c>
      <c r="M116" s="1029">
        <f t="shared" si="26"/>
        <v>4910507978.1895027</v>
      </c>
      <c r="N116" s="14"/>
    </row>
    <row r="117" spans="1:14" ht="13">
      <c r="A117" s="549">
        <f t="shared" si="27"/>
        <v>59</v>
      </c>
      <c r="B117" s="699" t="s">
        <v>2717</v>
      </c>
      <c r="C117" s="1067">
        <v>20624511.307499986</v>
      </c>
      <c r="D117" s="1067">
        <v>95089312.189999983</v>
      </c>
      <c r="E117" s="1067">
        <v>329155716.14535242</v>
      </c>
      <c r="F117" s="1067">
        <v>1298849024.1198652</v>
      </c>
      <c r="G117" s="1067">
        <v>1754624839.7018268</v>
      </c>
      <c r="H117" s="1067">
        <v>161340092.30999997</v>
      </c>
      <c r="I117" s="1067">
        <v>829959416.39719701</v>
      </c>
      <c r="J117" s="1067">
        <v>215102661.09000006</v>
      </c>
      <c r="K117" s="1067">
        <v>57164932.229999982</v>
      </c>
      <c r="L117" s="1067">
        <v>149974955.90059188</v>
      </c>
      <c r="M117" s="1029">
        <f t="shared" si="26"/>
        <v>4911885461.392333</v>
      </c>
      <c r="N117" s="14"/>
    </row>
    <row r="118" spans="1:14" ht="13">
      <c r="A118" s="549">
        <f t="shared" si="27"/>
        <v>60</v>
      </c>
      <c r="B118" s="699" t="s">
        <v>2718</v>
      </c>
      <c r="C118" s="1067">
        <v>20638225.837499987</v>
      </c>
      <c r="D118" s="1067">
        <v>95090016.849999979</v>
      </c>
      <c r="E118" s="1067">
        <v>329146710.31651038</v>
      </c>
      <c r="F118" s="1067">
        <v>1298908214.7748952</v>
      </c>
      <c r="G118" s="1067">
        <v>1758264468.7018266</v>
      </c>
      <c r="H118" s="1067">
        <v>165485920.68999997</v>
      </c>
      <c r="I118" s="1067">
        <v>836967843.20719695</v>
      </c>
      <c r="J118" s="1067">
        <v>215105105.70000008</v>
      </c>
      <c r="K118" s="1067">
        <v>57166256.589999981</v>
      </c>
      <c r="L118" s="1067">
        <v>149968394.43059188</v>
      </c>
      <c r="M118" s="1029">
        <f t="shared" si="26"/>
        <v>4926741157.0985203</v>
      </c>
      <c r="N118" s="14"/>
    </row>
    <row r="119" spans="1:14" ht="13">
      <c r="A119" s="549">
        <f t="shared" si="27"/>
        <v>61</v>
      </c>
      <c r="B119" s="700" t="s">
        <v>2719</v>
      </c>
      <c r="C119" s="1067">
        <v>20648719.497499987</v>
      </c>
      <c r="D119" s="1067">
        <v>95090785.289999977</v>
      </c>
      <c r="E119" s="1067">
        <v>335426458.86277837</v>
      </c>
      <c r="F119" s="1067">
        <v>1292823681.2898712</v>
      </c>
      <c r="G119" s="1067">
        <v>1758319662.3118265</v>
      </c>
      <c r="H119" s="1067">
        <v>165536924.23999998</v>
      </c>
      <c r="I119" s="1067">
        <v>837048087.79719698</v>
      </c>
      <c r="J119" s="1067">
        <v>215107606.24000007</v>
      </c>
      <c r="K119" s="1067">
        <v>57166800.179999985</v>
      </c>
      <c r="L119" s="1067">
        <v>150024406.63059187</v>
      </c>
      <c r="M119" s="1029">
        <f t="shared" si="26"/>
        <v>4927193132.3397655</v>
      </c>
      <c r="N119" s="14"/>
    </row>
    <row r="120" spans="1:14" ht="13">
      <c r="A120" s="549">
        <f t="shared" si="27"/>
        <v>62</v>
      </c>
      <c r="B120" s="699" t="s">
        <v>2720</v>
      </c>
      <c r="C120" s="1067">
        <v>20648117.217499986</v>
      </c>
      <c r="D120" s="1067">
        <v>95091385.479999974</v>
      </c>
      <c r="E120" s="1067">
        <v>335457528.12969041</v>
      </c>
      <c r="F120" s="1067">
        <v>1292934462.6269553</v>
      </c>
      <c r="G120" s="1067">
        <v>1758292635.5618267</v>
      </c>
      <c r="H120" s="1067">
        <v>165532738.23999998</v>
      </c>
      <c r="I120" s="1067">
        <v>837281681.88719678</v>
      </c>
      <c r="J120" s="1067">
        <v>215110314.06000006</v>
      </c>
      <c r="K120" s="1067">
        <v>57168097.229999982</v>
      </c>
      <c r="L120" s="1067">
        <v>149981736.80059186</v>
      </c>
      <c r="M120" s="1029">
        <f t="shared" si="26"/>
        <v>4927498697.2337599</v>
      </c>
      <c r="N120" s="14"/>
    </row>
    <row r="121" spans="1:14" ht="13">
      <c r="A121" s="549">
        <f t="shared" si="27"/>
        <v>63</v>
      </c>
      <c r="B121" s="699" t="s">
        <v>2721</v>
      </c>
      <c r="C121" s="1067">
        <v>20648117.327499986</v>
      </c>
      <c r="D121" s="1067">
        <v>95091385.369999975</v>
      </c>
      <c r="E121" s="1067">
        <v>335340081.34852034</v>
      </c>
      <c r="F121" s="1067">
        <v>1292651133.0829072</v>
      </c>
      <c r="G121" s="1067">
        <v>1757536359.6018271</v>
      </c>
      <c r="H121" s="1067">
        <v>165166373.24999997</v>
      </c>
      <c r="I121" s="1067">
        <v>836951752.18719697</v>
      </c>
      <c r="J121" s="1067">
        <v>215114802.77000007</v>
      </c>
      <c r="K121" s="1067">
        <v>57169757.999999985</v>
      </c>
      <c r="L121" s="1067">
        <v>149879256.83059186</v>
      </c>
      <c r="M121" s="1029">
        <f t="shared" si="26"/>
        <v>4925549019.7685442</v>
      </c>
      <c r="N121" s="14"/>
    </row>
    <row r="122" spans="1:14" ht="13">
      <c r="A122" s="549">
        <f t="shared" si="27"/>
        <v>64</v>
      </c>
      <c r="B122" s="700" t="s">
        <v>2722</v>
      </c>
      <c r="C122" s="1067">
        <v>20670199.627499986</v>
      </c>
      <c r="D122" s="1067">
        <v>95091385.369999975</v>
      </c>
      <c r="E122" s="1067">
        <v>335512229.17053437</v>
      </c>
      <c r="F122" s="1067">
        <v>1293141175.8360193</v>
      </c>
      <c r="G122" s="1067">
        <v>1737426704.5618272</v>
      </c>
      <c r="H122" s="1067">
        <v>167870906.75</v>
      </c>
      <c r="I122" s="1067">
        <v>842499896.3671968</v>
      </c>
      <c r="J122" s="1067">
        <v>215120934.46000007</v>
      </c>
      <c r="K122" s="1067">
        <v>57171904.999999985</v>
      </c>
      <c r="L122" s="1067">
        <v>163052602.09059185</v>
      </c>
      <c r="M122" s="1029">
        <f t="shared" si="26"/>
        <v>4927557939.2336693</v>
      </c>
      <c r="N122" s="14"/>
    </row>
    <row r="123" spans="1:14" ht="13">
      <c r="A123" s="549">
        <f t="shared" si="27"/>
        <v>65</v>
      </c>
      <c r="B123" s="700" t="s">
        <v>2723</v>
      </c>
      <c r="C123" s="1067">
        <v>20673984.797499988</v>
      </c>
      <c r="D123" s="1067">
        <v>95092562.199999973</v>
      </c>
      <c r="E123" s="1067">
        <v>335524391.78283036</v>
      </c>
      <c r="F123" s="1067">
        <v>1301337170.3918171</v>
      </c>
      <c r="G123" s="1067">
        <v>1737601297.7818267</v>
      </c>
      <c r="H123" s="1067">
        <v>167993734.44999999</v>
      </c>
      <c r="I123" s="1067">
        <v>842634869.35719693</v>
      </c>
      <c r="J123" s="1067">
        <v>215124741.80000007</v>
      </c>
      <c r="K123" s="1067">
        <v>57171083.059999987</v>
      </c>
      <c r="L123" s="1067">
        <v>162846641.01059183</v>
      </c>
      <c r="M123" s="1029">
        <f t="shared" si="26"/>
        <v>4936000476.6317625</v>
      </c>
      <c r="N123" s="14"/>
    </row>
    <row r="124" spans="1:14" ht="13">
      <c r="A124" s="549">
        <f t="shared" si="27"/>
        <v>66</v>
      </c>
      <c r="B124" s="699" t="s">
        <v>2724</v>
      </c>
      <c r="C124" s="1067">
        <v>20675722.857499987</v>
      </c>
      <c r="D124" s="1067">
        <v>95092826.639999971</v>
      </c>
      <c r="E124" s="1067">
        <v>333843687.6868304</v>
      </c>
      <c r="F124" s="1067">
        <v>1294959444.9267893</v>
      </c>
      <c r="G124" s="1067">
        <v>1739540403.1518271</v>
      </c>
      <c r="H124" s="1067">
        <v>168357695.07999998</v>
      </c>
      <c r="I124" s="1067">
        <v>843258351.60719705</v>
      </c>
      <c r="J124" s="1067">
        <v>215116562.16000009</v>
      </c>
      <c r="K124" s="1067">
        <v>57162899.379999988</v>
      </c>
      <c r="L124" s="1067">
        <v>162864515.90059182</v>
      </c>
      <c r="M124" s="1029">
        <f t="shared" si="26"/>
        <v>4930872109.3907356</v>
      </c>
      <c r="N124" s="14"/>
    </row>
    <row r="125" spans="1:14" ht="13">
      <c r="A125" s="549"/>
      <c r="B125" s="1049"/>
      <c r="C125" s="229"/>
      <c r="D125" s="229"/>
      <c r="E125" s="229"/>
      <c r="F125" s="229"/>
      <c r="G125" s="229"/>
      <c r="H125" s="229"/>
      <c r="I125" s="229"/>
      <c r="J125" s="229"/>
      <c r="K125" s="229"/>
      <c r="L125" s="229"/>
      <c r="M125" s="229"/>
      <c r="N125" s="14"/>
    </row>
    <row r="126" spans="1:14" ht="13">
      <c r="B126" s="44" t="s">
        <v>2350</v>
      </c>
      <c r="C126" s="14"/>
      <c r="D126" s="14"/>
      <c r="E126" s="14"/>
      <c r="F126" s="14"/>
      <c r="G126" s="14"/>
    </row>
    <row r="127" spans="1:14">
      <c r="B127" s="14"/>
      <c r="C127" s="14"/>
      <c r="D127" s="14"/>
      <c r="E127" s="14"/>
      <c r="F127" s="14"/>
      <c r="G127" s="14"/>
    </row>
    <row r="128" spans="1:14" ht="13">
      <c r="A128" s="382"/>
      <c r="B128" s="351" t="s">
        <v>358</v>
      </c>
      <c r="C128" s="351" t="s">
        <v>342</v>
      </c>
      <c r="D128" s="351" t="s">
        <v>343</v>
      </c>
      <c r="E128" s="351" t="s">
        <v>344</v>
      </c>
      <c r="F128" s="351" t="s">
        <v>345</v>
      </c>
      <c r="G128" s="351" t="s">
        <v>346</v>
      </c>
      <c r="H128" s="84" t="s">
        <v>347</v>
      </c>
      <c r="I128" s="84" t="s">
        <v>534</v>
      </c>
      <c r="J128" s="84" t="s">
        <v>949</v>
      </c>
      <c r="K128" s="84" t="s">
        <v>961</v>
      </c>
      <c r="L128" s="84" t="s">
        <v>964</v>
      </c>
      <c r="M128" s="84" t="s">
        <v>982</v>
      </c>
    </row>
    <row r="129" spans="1:16">
      <c r="A129" s="227"/>
      <c r="B129" s="440"/>
      <c r="C129" s="235"/>
      <c r="D129" s="235"/>
      <c r="E129" s="235"/>
      <c r="F129" s="235"/>
      <c r="G129" s="235"/>
      <c r="H129" s="227"/>
      <c r="I129" s="227"/>
      <c r="J129" s="227"/>
      <c r="K129" s="227"/>
      <c r="M129" s="243" t="s">
        <v>1214</v>
      </c>
    </row>
    <row r="130" spans="1:16" ht="13">
      <c r="A130" s="51"/>
      <c r="B130" s="122" t="s">
        <v>1748</v>
      </c>
      <c r="C130" s="351">
        <v>350.1</v>
      </c>
      <c r="D130" s="351">
        <v>350.2</v>
      </c>
      <c r="E130" s="351">
        <v>352</v>
      </c>
      <c r="F130" s="351">
        <v>353</v>
      </c>
      <c r="G130" s="351">
        <v>354</v>
      </c>
      <c r="H130" s="84">
        <v>355</v>
      </c>
      <c r="I130" s="84">
        <v>356</v>
      </c>
      <c r="J130" s="84">
        <v>357</v>
      </c>
      <c r="K130" s="84">
        <v>358</v>
      </c>
      <c r="L130" s="84">
        <v>359</v>
      </c>
      <c r="M130" s="3" t="s">
        <v>196</v>
      </c>
    </row>
    <row r="131" spans="1:16" ht="13">
      <c r="A131" s="549">
        <f>A124+1</f>
        <v>67</v>
      </c>
      <c r="B131" s="931" t="s">
        <v>2713</v>
      </c>
      <c r="C131" s="1486">
        <f t="shared" ref="C131:L131" si="28">C113-C112</f>
        <v>10290.579999998212</v>
      </c>
      <c r="D131" s="1486">
        <f t="shared" si="28"/>
        <v>739.42000000178814</v>
      </c>
      <c r="E131" s="1486">
        <f t="shared" si="28"/>
        <v>470586.29378402233</v>
      </c>
      <c r="F131" s="1486">
        <f t="shared" si="28"/>
        <v>1254499.65716362</v>
      </c>
      <c r="G131" s="1486">
        <f t="shared" si="28"/>
        <v>-224824.98999977112</v>
      </c>
      <c r="H131" s="1486">
        <f t="shared" si="28"/>
        <v>-273603.8900000155</v>
      </c>
      <c r="I131" s="1486">
        <f t="shared" si="28"/>
        <v>944174.66999995708</v>
      </c>
      <c r="J131" s="1486">
        <f t="shared" si="28"/>
        <v>3949.25</v>
      </c>
      <c r="K131" s="1486">
        <f t="shared" si="28"/>
        <v>1263.640000000596</v>
      </c>
      <c r="L131" s="1486">
        <f t="shared" si="28"/>
        <v>-316387.00999999046</v>
      </c>
      <c r="M131" s="1486">
        <f t="shared" ref="M131:M142" si="29">SUM(C131:L131)</f>
        <v>1870687.6209478229</v>
      </c>
      <c r="N131" s="14"/>
      <c r="P131" s="7"/>
    </row>
    <row r="132" spans="1:16" ht="13">
      <c r="A132" s="549">
        <f t="shared" ref="A132:A143" si="30">A131+1</f>
        <v>68</v>
      </c>
      <c r="B132" s="699" t="s">
        <v>2714</v>
      </c>
      <c r="C132" s="1486">
        <f t="shared" ref="C132:L132" si="31">C114-C113</f>
        <v>-587.82000000029802</v>
      </c>
      <c r="D132" s="1486">
        <f t="shared" si="31"/>
        <v>587.81999999284744</v>
      </c>
      <c r="E132" s="1486">
        <f t="shared" si="31"/>
        <v>882579.74758011103</v>
      </c>
      <c r="F132" s="1486">
        <f t="shared" si="31"/>
        <v>6190928.602148056</v>
      </c>
      <c r="G132" s="1486">
        <f t="shared" si="31"/>
        <v>82846.77999997139</v>
      </c>
      <c r="H132" s="1486">
        <f t="shared" si="31"/>
        <v>74729.269999980927</v>
      </c>
      <c r="I132" s="1486">
        <f t="shared" si="31"/>
        <v>579634.04999995232</v>
      </c>
      <c r="J132" s="1486">
        <f t="shared" si="31"/>
        <v>4434.5699999928474</v>
      </c>
      <c r="K132" s="1486">
        <f t="shared" si="31"/>
        <v>1222.1199999973178</v>
      </c>
      <c r="L132" s="1486">
        <f t="shared" si="31"/>
        <v>102574.78999999166</v>
      </c>
      <c r="M132" s="1486">
        <f t="shared" si="29"/>
        <v>7918949.9297280461</v>
      </c>
      <c r="N132" s="14"/>
      <c r="P132" s="7"/>
    </row>
    <row r="133" spans="1:16" ht="13">
      <c r="A133" s="549">
        <f t="shared" si="30"/>
        <v>69</v>
      </c>
      <c r="B133" s="699" t="s">
        <v>2715</v>
      </c>
      <c r="C133" s="1486">
        <f t="shared" ref="C133:L133" si="32">C115-C114</f>
        <v>84.5</v>
      </c>
      <c r="D133" s="1486">
        <f t="shared" si="32"/>
        <v>0</v>
      </c>
      <c r="E133" s="1486">
        <f t="shared" si="32"/>
        <v>170147.36400991678</v>
      </c>
      <c r="F133" s="1486">
        <f t="shared" si="32"/>
        <v>919846.17663598061</v>
      </c>
      <c r="G133" s="1486">
        <f t="shared" si="32"/>
        <v>-11065.490000724792</v>
      </c>
      <c r="H133" s="1486">
        <f t="shared" si="32"/>
        <v>-17618.080000013113</v>
      </c>
      <c r="I133" s="1486">
        <f t="shared" si="32"/>
        <v>369500.02999997139</v>
      </c>
      <c r="J133" s="1486">
        <f t="shared" si="32"/>
        <v>8451.8700000047684</v>
      </c>
      <c r="K133" s="1486">
        <f t="shared" si="32"/>
        <v>6223.1599999964237</v>
      </c>
      <c r="L133" s="1486">
        <f t="shared" si="32"/>
        <v>-33788.580000013113</v>
      </c>
      <c r="M133" s="1486">
        <f t="shared" si="29"/>
        <v>1411780.950645119</v>
      </c>
      <c r="N133" s="14"/>
      <c r="P133" s="7"/>
    </row>
    <row r="134" spans="1:16" ht="13">
      <c r="A134" s="549">
        <f t="shared" si="30"/>
        <v>70</v>
      </c>
      <c r="B134" s="700" t="s">
        <v>2716</v>
      </c>
      <c r="C134" s="1486">
        <f t="shared" ref="C134:L134" si="33">C116-C115</f>
        <v>35116.39999999851</v>
      </c>
      <c r="D134" s="1486">
        <f t="shared" si="33"/>
        <v>4.5</v>
      </c>
      <c r="E134" s="1486">
        <f t="shared" si="33"/>
        <v>-13821.173828005791</v>
      </c>
      <c r="F134" s="1486">
        <f t="shared" si="33"/>
        <v>4075891.9180800915</v>
      </c>
      <c r="G134" s="1486">
        <f t="shared" si="33"/>
        <v>-8916.4799995422363</v>
      </c>
      <c r="H134" s="1486">
        <f t="shared" si="33"/>
        <v>-46322.40000000596</v>
      </c>
      <c r="I134" s="1486">
        <f t="shared" si="33"/>
        <v>187689.26000022888</v>
      </c>
      <c r="J134" s="1486">
        <f t="shared" si="33"/>
        <v>9472.5300000011921</v>
      </c>
      <c r="K134" s="1486">
        <f t="shared" si="33"/>
        <v>-1901.4200000017881</v>
      </c>
      <c r="L134" s="1486">
        <f t="shared" si="33"/>
        <v>-31280.800000011921</v>
      </c>
      <c r="M134" s="1486">
        <f t="shared" si="29"/>
        <v>4205932.3342527524</v>
      </c>
      <c r="N134" s="14"/>
      <c r="P134" s="7"/>
    </row>
    <row r="135" spans="1:16" ht="13">
      <c r="A135" s="549">
        <f t="shared" si="30"/>
        <v>71</v>
      </c>
      <c r="B135" s="699" t="s">
        <v>2717</v>
      </c>
      <c r="C135" s="1486">
        <f t="shared" ref="C135:L135" si="34">C117-C116</f>
        <v>11726.10000000149</v>
      </c>
      <c r="D135" s="1486">
        <f t="shared" si="34"/>
        <v>1496.1700000017881</v>
      </c>
      <c r="E135" s="1486">
        <f t="shared" si="34"/>
        <v>86218.12960600853</v>
      </c>
      <c r="F135" s="1486">
        <f t="shared" si="34"/>
        <v>1161796.2132260799</v>
      </c>
      <c r="G135" s="1486">
        <f t="shared" si="34"/>
        <v>13005.27999997139</v>
      </c>
      <c r="H135" s="1486">
        <f t="shared" si="34"/>
        <v>2878.830000013113</v>
      </c>
      <c r="I135" s="1486">
        <f t="shared" si="34"/>
        <v>89359.869999885559</v>
      </c>
      <c r="J135" s="1486">
        <f t="shared" si="34"/>
        <v>1422.0399999916553</v>
      </c>
      <c r="K135" s="1486">
        <f t="shared" si="34"/>
        <v>187.59000000357628</v>
      </c>
      <c r="L135" s="1486">
        <f t="shared" si="34"/>
        <v>9392.9799999892712</v>
      </c>
      <c r="M135" s="1486">
        <f t="shared" si="29"/>
        <v>1377483.2028319463</v>
      </c>
      <c r="N135" s="14"/>
      <c r="P135" s="7"/>
    </row>
    <row r="136" spans="1:16" ht="13">
      <c r="A136" s="549">
        <f t="shared" si="30"/>
        <v>72</v>
      </c>
      <c r="B136" s="699" t="s">
        <v>2718</v>
      </c>
      <c r="C136" s="1486">
        <f t="shared" ref="C136:L136" si="35">C118-C117</f>
        <v>13714.530000001192</v>
      </c>
      <c r="D136" s="1486">
        <f t="shared" si="35"/>
        <v>704.65999999642372</v>
      </c>
      <c r="E136" s="1486">
        <f t="shared" si="35"/>
        <v>-9005.8288420438766</v>
      </c>
      <c r="F136" s="1486">
        <f t="shared" si="35"/>
        <v>59190.655030012131</v>
      </c>
      <c r="G136" s="1486">
        <f t="shared" si="35"/>
        <v>3639628.9999997616</v>
      </c>
      <c r="H136" s="1486">
        <f t="shared" si="35"/>
        <v>4145828.3799999952</v>
      </c>
      <c r="I136" s="1486">
        <f t="shared" si="35"/>
        <v>7008426.8099999428</v>
      </c>
      <c r="J136" s="1486">
        <f t="shared" si="35"/>
        <v>2444.6100000143051</v>
      </c>
      <c r="K136" s="1486">
        <f t="shared" si="35"/>
        <v>1324.359999999404</v>
      </c>
      <c r="L136" s="1486">
        <f t="shared" si="35"/>
        <v>-6561.4699999988079</v>
      </c>
      <c r="M136" s="1486">
        <f t="shared" si="29"/>
        <v>14855695.70618768</v>
      </c>
      <c r="N136" s="14"/>
      <c r="P136" s="7"/>
    </row>
    <row r="137" spans="1:16" ht="13">
      <c r="A137" s="549">
        <f t="shared" si="30"/>
        <v>73</v>
      </c>
      <c r="B137" s="700" t="s">
        <v>2719</v>
      </c>
      <c r="C137" s="1486">
        <f t="shared" ref="C137:L137" si="36">C119-C118</f>
        <v>10493.660000000149</v>
      </c>
      <c r="D137" s="1486">
        <f t="shared" si="36"/>
        <v>768.43999999761581</v>
      </c>
      <c r="E137" s="1486">
        <f t="shared" si="36"/>
        <v>6279748.5462679863</v>
      </c>
      <c r="F137" s="1486">
        <f t="shared" si="36"/>
        <v>-6084533.4850239754</v>
      </c>
      <c r="G137" s="1486">
        <f t="shared" si="36"/>
        <v>55193.609999895096</v>
      </c>
      <c r="H137" s="1486">
        <f t="shared" si="36"/>
        <v>51003.550000011921</v>
      </c>
      <c r="I137" s="1486">
        <f t="shared" si="36"/>
        <v>80244.590000033379</v>
      </c>
      <c r="J137" s="1486">
        <f t="shared" si="36"/>
        <v>2500.5399999916553</v>
      </c>
      <c r="K137" s="1486">
        <f t="shared" si="36"/>
        <v>543.59000000357628</v>
      </c>
      <c r="L137" s="1486">
        <f t="shared" si="36"/>
        <v>56012.199999988079</v>
      </c>
      <c r="M137" s="1486">
        <f t="shared" si="29"/>
        <v>451975.2412439324</v>
      </c>
      <c r="N137" s="14"/>
      <c r="P137" s="7"/>
    </row>
    <row r="138" spans="1:16" ht="13">
      <c r="A138" s="549">
        <f t="shared" si="30"/>
        <v>74</v>
      </c>
      <c r="B138" s="699" t="s">
        <v>2720</v>
      </c>
      <c r="C138" s="1486">
        <f t="shared" ref="C138:L138" si="37">C120-C119</f>
        <v>-602.28000000119209</v>
      </c>
      <c r="D138" s="1486">
        <f t="shared" si="37"/>
        <v>600.18999999761581</v>
      </c>
      <c r="E138" s="1486">
        <f t="shared" si="37"/>
        <v>31069.266912043095</v>
      </c>
      <c r="F138" s="1486">
        <f t="shared" si="37"/>
        <v>110781.33708405495</v>
      </c>
      <c r="G138" s="1486">
        <f t="shared" si="37"/>
        <v>-27026.749999761581</v>
      </c>
      <c r="H138" s="1486">
        <f t="shared" si="37"/>
        <v>-4186</v>
      </c>
      <c r="I138" s="1486">
        <f t="shared" si="37"/>
        <v>233594.08999979496</v>
      </c>
      <c r="J138" s="1486">
        <f t="shared" si="37"/>
        <v>2707.8199999928474</v>
      </c>
      <c r="K138" s="1486">
        <f t="shared" si="37"/>
        <v>1297.0499999970198</v>
      </c>
      <c r="L138" s="1486">
        <f t="shared" si="37"/>
        <v>-42669.830000013113</v>
      </c>
      <c r="M138" s="1486">
        <f t="shared" si="29"/>
        <v>305564.8939961046</v>
      </c>
      <c r="N138" s="14"/>
      <c r="P138" s="7"/>
    </row>
    <row r="139" spans="1:16" ht="13">
      <c r="A139" s="549">
        <f t="shared" si="30"/>
        <v>75</v>
      </c>
      <c r="B139" s="699" t="s">
        <v>2721</v>
      </c>
      <c r="C139" s="1486">
        <f t="shared" ref="C139:L139" si="38">C121-C120</f>
        <v>0.10999999940395355</v>
      </c>
      <c r="D139" s="1486">
        <f t="shared" si="38"/>
        <v>-0.10999999940395355</v>
      </c>
      <c r="E139" s="1486">
        <f t="shared" si="38"/>
        <v>-117446.78117007017</v>
      </c>
      <c r="F139" s="1486">
        <f t="shared" si="38"/>
        <v>-283329.54404807091</v>
      </c>
      <c r="G139" s="1486">
        <f t="shared" si="38"/>
        <v>-756275.95999956131</v>
      </c>
      <c r="H139" s="1486">
        <f t="shared" si="38"/>
        <v>-366364.99000000954</v>
      </c>
      <c r="I139" s="1486">
        <f t="shared" si="38"/>
        <v>-329929.69999980927</v>
      </c>
      <c r="J139" s="1486">
        <f t="shared" si="38"/>
        <v>4488.7100000083447</v>
      </c>
      <c r="K139" s="1486">
        <f t="shared" si="38"/>
        <v>1660.7700000032783</v>
      </c>
      <c r="L139" s="1486">
        <f t="shared" si="38"/>
        <v>-102479.96999999881</v>
      </c>
      <c r="M139" s="1486">
        <f t="shared" si="29"/>
        <v>-1949677.4652175084</v>
      </c>
      <c r="N139" s="14"/>
      <c r="P139" s="7"/>
    </row>
    <row r="140" spans="1:16" ht="13">
      <c r="A140" s="549">
        <f t="shared" si="30"/>
        <v>76</v>
      </c>
      <c r="B140" s="700" t="s">
        <v>2722</v>
      </c>
      <c r="C140" s="1486">
        <f t="shared" ref="C140:L140" si="39">C122-C121</f>
        <v>22082.300000000745</v>
      </c>
      <c r="D140" s="1486">
        <f t="shared" si="39"/>
        <v>0</v>
      </c>
      <c r="E140" s="1486">
        <f t="shared" si="39"/>
        <v>172147.82201403379</v>
      </c>
      <c r="F140" s="1486">
        <f t="shared" si="39"/>
        <v>490042.75311207771</v>
      </c>
      <c r="G140" s="1486">
        <f t="shared" si="39"/>
        <v>-20109655.039999962</v>
      </c>
      <c r="H140" s="1486">
        <f t="shared" si="39"/>
        <v>2704533.5000000298</v>
      </c>
      <c r="I140" s="1486">
        <f t="shared" si="39"/>
        <v>5548144.1799998283</v>
      </c>
      <c r="J140" s="1486">
        <f t="shared" si="39"/>
        <v>6131.6899999976158</v>
      </c>
      <c r="K140" s="1486">
        <f t="shared" si="39"/>
        <v>2147</v>
      </c>
      <c r="L140" s="1486">
        <f t="shared" si="39"/>
        <v>13173345.25999999</v>
      </c>
      <c r="M140" s="1486">
        <f t="shared" si="29"/>
        <v>2008919.4651259966</v>
      </c>
      <c r="N140" s="14"/>
      <c r="P140" s="7"/>
    </row>
    <row r="141" spans="1:16" ht="13">
      <c r="A141" s="549">
        <f t="shared" si="30"/>
        <v>77</v>
      </c>
      <c r="B141" s="700" t="s">
        <v>2723</v>
      </c>
      <c r="C141" s="1486">
        <f t="shared" ref="C141:L141" si="40">C123-C122</f>
        <v>3785.1700000017881</v>
      </c>
      <c r="D141" s="1486">
        <f t="shared" si="40"/>
        <v>1176.8299999982119</v>
      </c>
      <c r="E141" s="1486">
        <f t="shared" si="40"/>
        <v>12162.612295985222</v>
      </c>
      <c r="F141" s="1486">
        <f t="shared" si="40"/>
        <v>8195994.5557978153</v>
      </c>
      <c r="G141" s="1486">
        <f t="shared" si="40"/>
        <v>174593.21999955177</v>
      </c>
      <c r="H141" s="1486">
        <f t="shared" si="40"/>
        <v>122827.69999998808</v>
      </c>
      <c r="I141" s="1486">
        <f t="shared" si="40"/>
        <v>134972.99000012875</v>
      </c>
      <c r="J141" s="1486">
        <f t="shared" si="40"/>
        <v>3807.3400000035763</v>
      </c>
      <c r="K141" s="1486">
        <f t="shared" si="40"/>
        <v>-821.93999999761581</v>
      </c>
      <c r="L141" s="1486">
        <f t="shared" si="40"/>
        <v>-205961.08000001311</v>
      </c>
      <c r="M141" s="1486">
        <f t="shared" si="29"/>
        <v>8442537.398093462</v>
      </c>
      <c r="N141" s="14"/>
      <c r="P141" s="7"/>
    </row>
    <row r="142" spans="1:16" ht="13">
      <c r="A142" s="549">
        <f t="shared" si="30"/>
        <v>78</v>
      </c>
      <c r="B142" s="699" t="s">
        <v>2724</v>
      </c>
      <c r="C142" s="1487">
        <f t="shared" ref="C142:L142" si="41">C124-C123</f>
        <v>1738.0599999986589</v>
      </c>
      <c r="D142" s="1487">
        <f t="shared" si="41"/>
        <v>264.43999999761581</v>
      </c>
      <c r="E142" s="1487">
        <f t="shared" si="41"/>
        <v>-1680704.0959999561</v>
      </c>
      <c r="F142" s="1487">
        <f t="shared" si="41"/>
        <v>-6377725.4650278091</v>
      </c>
      <c r="G142" s="1487">
        <f t="shared" si="41"/>
        <v>1939105.3700003624</v>
      </c>
      <c r="H142" s="1487">
        <f t="shared" si="41"/>
        <v>363960.62999999523</v>
      </c>
      <c r="I142" s="1487">
        <f t="shared" si="41"/>
        <v>623482.25000011921</v>
      </c>
      <c r="J142" s="1487">
        <f t="shared" si="41"/>
        <v>-8179.6399999856949</v>
      </c>
      <c r="K142" s="1487">
        <f t="shared" si="41"/>
        <v>-8183.679999999702</v>
      </c>
      <c r="L142" s="1487">
        <f t="shared" si="41"/>
        <v>17874.889999985695</v>
      </c>
      <c r="M142" s="1487">
        <f t="shared" si="29"/>
        <v>-5128367.2410272919</v>
      </c>
      <c r="N142" s="14"/>
      <c r="P142" s="7"/>
    </row>
    <row r="143" spans="1:16" ht="13">
      <c r="A143" s="549">
        <f t="shared" si="30"/>
        <v>79</v>
      </c>
      <c r="B143" s="1049" t="s">
        <v>4</v>
      </c>
      <c r="C143" s="1486">
        <f t="shared" ref="C143:M143" si="42">SUM(C131:C142)</f>
        <v>107841.30999999866</v>
      </c>
      <c r="D143" s="1486">
        <f t="shared" si="42"/>
        <v>6342.3599999845028</v>
      </c>
      <c r="E143" s="1486">
        <f t="shared" si="42"/>
        <v>6283681.9026300311</v>
      </c>
      <c r="F143" s="1486">
        <f t="shared" si="42"/>
        <v>9713383.3741779327</v>
      </c>
      <c r="G143" s="1486">
        <f t="shared" si="42"/>
        <v>-15233391.449999809</v>
      </c>
      <c r="H143" s="1486">
        <f t="shared" si="42"/>
        <v>6757666.4999999702</v>
      </c>
      <c r="I143" s="1486">
        <f t="shared" si="42"/>
        <v>15469293.090000033</v>
      </c>
      <c r="J143" s="1486">
        <f t="shared" si="42"/>
        <v>41631.330000013113</v>
      </c>
      <c r="K143" s="1486">
        <f t="shared" si="42"/>
        <v>4962.2400000020862</v>
      </c>
      <c r="L143" s="1486">
        <f t="shared" si="42"/>
        <v>12620071.379999906</v>
      </c>
      <c r="M143" s="1486">
        <f t="shared" si="42"/>
        <v>35771482.036808059</v>
      </c>
      <c r="N143" s="14"/>
      <c r="P143" s="7"/>
    </row>
    <row r="144" spans="1:16" ht="13">
      <c r="A144" s="549"/>
      <c r="B144" s="1049"/>
      <c r="C144" s="1148"/>
      <c r="D144" s="1148"/>
      <c r="E144" s="1148"/>
      <c r="F144" s="1148"/>
      <c r="G144" s="1148"/>
      <c r="H144" s="1148"/>
      <c r="I144" s="1148"/>
      <c r="J144" s="1148"/>
      <c r="K144" s="1148"/>
      <c r="L144" s="1148"/>
      <c r="M144" s="1148"/>
    </row>
    <row r="145" spans="1:14" ht="13">
      <c r="B145" s="1065" t="s">
        <v>2351</v>
      </c>
      <c r="C145" s="14"/>
      <c r="D145" s="14"/>
      <c r="E145" s="14"/>
      <c r="F145" s="14"/>
      <c r="G145" s="14"/>
    </row>
    <row r="146" spans="1:14">
      <c r="B146" s="14"/>
      <c r="C146" s="14"/>
      <c r="D146" s="14"/>
      <c r="E146" s="14"/>
      <c r="F146" s="14"/>
      <c r="G146" s="14"/>
    </row>
    <row r="147" spans="1:14" ht="13">
      <c r="A147" s="382"/>
      <c r="B147" s="351" t="s">
        <v>358</v>
      </c>
      <c r="C147" s="351" t="s">
        <v>342</v>
      </c>
      <c r="D147" s="351" t="s">
        <v>343</v>
      </c>
      <c r="E147" s="351" t="s">
        <v>344</v>
      </c>
      <c r="F147" s="351" t="s">
        <v>345</v>
      </c>
      <c r="G147" s="351" t="s">
        <v>346</v>
      </c>
      <c r="H147" s="84" t="s">
        <v>347</v>
      </c>
      <c r="I147" s="84" t="s">
        <v>534</v>
      </c>
      <c r="J147" s="84" t="s">
        <v>949</v>
      </c>
      <c r="K147" s="84" t="s">
        <v>961</v>
      </c>
      <c r="L147" s="84" t="s">
        <v>964</v>
      </c>
      <c r="M147" s="84" t="s">
        <v>982</v>
      </c>
    </row>
    <row r="148" spans="1:14">
      <c r="A148" s="227"/>
      <c r="B148" s="440"/>
      <c r="C148" s="235"/>
      <c r="D148" s="235"/>
      <c r="E148" s="235"/>
      <c r="F148" s="235"/>
      <c r="G148" s="235"/>
      <c r="H148" s="227"/>
      <c r="I148" s="227"/>
      <c r="J148" s="227"/>
      <c r="K148" s="227"/>
      <c r="M148" s="243" t="s">
        <v>1214</v>
      </c>
    </row>
    <row r="149" spans="1:14" ht="13">
      <c r="A149" s="51"/>
      <c r="B149" s="122" t="s">
        <v>1748</v>
      </c>
      <c r="C149" s="351">
        <v>350.1</v>
      </c>
      <c r="D149" s="351">
        <v>350.2</v>
      </c>
      <c r="E149" s="351">
        <v>352</v>
      </c>
      <c r="F149" s="351">
        <v>353</v>
      </c>
      <c r="G149" s="351">
        <v>354</v>
      </c>
      <c r="H149" s="84">
        <v>355</v>
      </c>
      <c r="I149" s="84">
        <v>356</v>
      </c>
      <c r="J149" s="84">
        <v>357</v>
      </c>
      <c r="K149" s="84">
        <v>358</v>
      </c>
      <c r="L149" s="84">
        <v>359</v>
      </c>
      <c r="M149" s="3" t="s">
        <v>196</v>
      </c>
    </row>
    <row r="150" spans="1:14" ht="13">
      <c r="A150" s="549">
        <f>A143+1</f>
        <v>80</v>
      </c>
      <c r="B150" s="700" t="s">
        <v>2713</v>
      </c>
      <c r="C150" s="1488">
        <f>C93-C131</f>
        <v>-1202.3700000047684</v>
      </c>
      <c r="D150" s="1488">
        <f t="shared" ref="D150:L161" si="43">D93-D131</f>
        <v>1815343.0900000185</v>
      </c>
      <c r="E150" s="1488">
        <f t="shared" si="43"/>
        <v>4159620.4362159967</v>
      </c>
      <c r="F150" s="1488">
        <f t="shared" si="43"/>
        <v>7219242.1728363037</v>
      </c>
      <c r="G150" s="1488">
        <f t="shared" si="43"/>
        <v>-1565702.1100001335</v>
      </c>
      <c r="H150" s="1488">
        <f t="shared" si="43"/>
        <v>17221943.600000054</v>
      </c>
      <c r="I150" s="1488">
        <f t="shared" si="43"/>
        <v>4157425.6000000238</v>
      </c>
      <c r="J150" s="1488">
        <f t="shared" si="43"/>
        <v>647.03000003099442</v>
      </c>
      <c r="K150" s="1488">
        <f t="shared" si="43"/>
        <v>-1262777.0600000173</v>
      </c>
      <c r="L150" s="1488">
        <f t="shared" si="43"/>
        <v>213777.08999997377</v>
      </c>
      <c r="M150" s="1488">
        <f t="shared" ref="M150:M161" si="44">SUM(C150:L150)</f>
        <v>31958317.479052246</v>
      </c>
      <c r="N150" s="14"/>
    </row>
    <row r="151" spans="1:14" ht="13">
      <c r="A151" s="549">
        <f t="shared" ref="A151:A162" si="45">A150+1</f>
        <v>81</v>
      </c>
      <c r="B151" s="699" t="s">
        <v>2714</v>
      </c>
      <c r="C151" s="1488">
        <f t="shared" ref="C151:C161" si="46">C94-C132</f>
        <v>7.4505805969238281E-9</v>
      </c>
      <c r="D151" s="1488">
        <f t="shared" si="43"/>
        <v>0</v>
      </c>
      <c r="E151" s="1488">
        <f t="shared" si="43"/>
        <v>5835585.6024197936</v>
      </c>
      <c r="F151" s="1488">
        <f t="shared" si="43"/>
        <v>43037335.567852974</v>
      </c>
      <c r="G151" s="1488">
        <f t="shared" si="43"/>
        <v>-340809.20999979973</v>
      </c>
      <c r="H151" s="1488">
        <f t="shared" si="43"/>
        <v>16063304.109999895</v>
      </c>
      <c r="I151" s="1488">
        <f t="shared" si="43"/>
        <v>1227527.5099999905</v>
      </c>
      <c r="J151" s="1488">
        <f t="shared" si="43"/>
        <v>109841.81000000238</v>
      </c>
      <c r="K151" s="1488">
        <f t="shared" si="43"/>
        <v>-465142.98000001162</v>
      </c>
      <c r="L151" s="1488">
        <f t="shared" si="43"/>
        <v>24530.850000023842</v>
      </c>
      <c r="M151" s="1488">
        <f t="shared" si="44"/>
        <v>65492173.260272875</v>
      </c>
      <c r="N151" s="14"/>
    </row>
    <row r="152" spans="1:14" ht="13">
      <c r="A152" s="549">
        <f t="shared" si="45"/>
        <v>82</v>
      </c>
      <c r="B152" s="699" t="s">
        <v>2715</v>
      </c>
      <c r="C152" s="1488">
        <f t="shared" si="46"/>
        <v>-1285.2600000053644</v>
      </c>
      <c r="D152" s="1488">
        <f t="shared" si="43"/>
        <v>8101.7000000178814</v>
      </c>
      <c r="E152" s="1488">
        <f t="shared" si="43"/>
        <v>4897077.6459900737</v>
      </c>
      <c r="F152" s="1488">
        <f t="shared" si="43"/>
        <v>18944283.773362875</v>
      </c>
      <c r="G152" s="1488">
        <f t="shared" si="43"/>
        <v>1977434.0700006485</v>
      </c>
      <c r="H152" s="1488">
        <f t="shared" si="43"/>
        <v>20543301.930000156</v>
      </c>
      <c r="I152" s="1488">
        <f t="shared" si="43"/>
        <v>3070959.6300001144</v>
      </c>
      <c r="J152" s="1488">
        <f t="shared" si="43"/>
        <v>1244.7299999594688</v>
      </c>
      <c r="K152" s="1488">
        <f t="shared" si="43"/>
        <v>2362230.9900000393</v>
      </c>
      <c r="L152" s="1488">
        <f t="shared" si="43"/>
        <v>4465.0100000202656</v>
      </c>
      <c r="M152" s="1488">
        <f t="shared" si="44"/>
        <v>51807814.219353899</v>
      </c>
      <c r="N152" s="14"/>
    </row>
    <row r="153" spans="1:14" ht="13">
      <c r="A153" s="549">
        <f t="shared" si="45"/>
        <v>83</v>
      </c>
      <c r="B153" s="700" t="s">
        <v>2716</v>
      </c>
      <c r="C153" s="1488">
        <f t="shared" si="46"/>
        <v>-7046.4999999925494</v>
      </c>
      <c r="D153" s="1488">
        <f t="shared" si="43"/>
        <v>1274.9099999964237</v>
      </c>
      <c r="E153" s="1488">
        <f t="shared" si="43"/>
        <v>13285510.863828063</v>
      </c>
      <c r="F153" s="1488">
        <f t="shared" si="43"/>
        <v>11397861.961920023</v>
      </c>
      <c r="G153" s="1488">
        <f t="shared" si="43"/>
        <v>9646999.6999993324</v>
      </c>
      <c r="H153" s="1488">
        <f t="shared" si="43"/>
        <v>10060822.630000025</v>
      </c>
      <c r="I153" s="1488">
        <f t="shared" si="43"/>
        <v>4686102.1699998379</v>
      </c>
      <c r="J153" s="1488">
        <f t="shared" si="43"/>
        <v>-212853.18999996781</v>
      </c>
      <c r="K153" s="1488">
        <f t="shared" si="43"/>
        <v>-927707.01999999583</v>
      </c>
      <c r="L153" s="1488">
        <f t="shared" si="43"/>
        <v>3541.7800000011921</v>
      </c>
      <c r="M153" s="1488">
        <f t="shared" si="44"/>
        <v>47934507.305747323</v>
      </c>
      <c r="N153" s="14"/>
    </row>
    <row r="154" spans="1:14" ht="13">
      <c r="A154" s="549">
        <f t="shared" si="45"/>
        <v>84</v>
      </c>
      <c r="B154" s="699" t="s">
        <v>2717</v>
      </c>
      <c r="C154" s="1488">
        <f t="shared" si="46"/>
        <v>-7888.4500000104308</v>
      </c>
      <c r="D154" s="1488">
        <f t="shared" si="43"/>
        <v>-4997.0700000077486</v>
      </c>
      <c r="E154" s="1488">
        <f t="shared" si="43"/>
        <v>34098116.890393972</v>
      </c>
      <c r="F154" s="1488">
        <f t="shared" si="43"/>
        <v>54897777.09677434</v>
      </c>
      <c r="G154" s="1488">
        <f t="shared" si="43"/>
        <v>266709.73000025749</v>
      </c>
      <c r="H154" s="1488">
        <f t="shared" si="43"/>
        <v>5181405.1000000536</v>
      </c>
      <c r="I154" s="1488">
        <f t="shared" si="43"/>
        <v>840715.28999996185</v>
      </c>
      <c r="J154" s="1488">
        <f t="shared" si="43"/>
        <v>96.260000020265579</v>
      </c>
      <c r="K154" s="1488">
        <f t="shared" si="43"/>
        <v>1440981.650000006</v>
      </c>
      <c r="L154" s="1488">
        <f t="shared" si="43"/>
        <v>4797.5600000023842</v>
      </c>
      <c r="M154" s="1488">
        <f t="shared" si="44"/>
        <v>96717714.057168603</v>
      </c>
      <c r="N154" s="14"/>
    </row>
    <row r="155" spans="1:14" ht="13">
      <c r="A155" s="549">
        <f t="shared" si="45"/>
        <v>85</v>
      </c>
      <c r="B155" s="699" t="s">
        <v>2718</v>
      </c>
      <c r="C155" s="1488">
        <f t="shared" si="46"/>
        <v>0</v>
      </c>
      <c r="D155" s="1488">
        <f t="shared" si="43"/>
        <v>-16.119999974966049</v>
      </c>
      <c r="E155" s="1488">
        <f t="shared" si="43"/>
        <v>-13116844.341158032</v>
      </c>
      <c r="F155" s="1488">
        <f t="shared" si="43"/>
        <v>73142963.264970064</v>
      </c>
      <c r="G155" s="1488">
        <f t="shared" si="43"/>
        <v>562182.41000008583</v>
      </c>
      <c r="H155" s="1488">
        <f t="shared" si="43"/>
        <v>42383889.539999843</v>
      </c>
      <c r="I155" s="1488">
        <f t="shared" si="43"/>
        <v>-29873844.929999828</v>
      </c>
      <c r="J155" s="1488">
        <f t="shared" si="43"/>
        <v>21878642.519999981</v>
      </c>
      <c r="K155" s="1488">
        <f t="shared" si="43"/>
        <v>22099228.909999982</v>
      </c>
      <c r="L155" s="1488">
        <f t="shared" si="43"/>
        <v>1268253.7700000107</v>
      </c>
      <c r="M155" s="1488">
        <f t="shared" si="44"/>
        <v>118344455.02381213</v>
      </c>
      <c r="N155" s="14"/>
    </row>
    <row r="156" spans="1:14" ht="13">
      <c r="A156" s="549">
        <f t="shared" si="45"/>
        <v>86</v>
      </c>
      <c r="B156" s="700" t="s">
        <v>2719</v>
      </c>
      <c r="C156" s="1488">
        <f t="shared" si="46"/>
        <v>1.1175870895385742E-8</v>
      </c>
      <c r="D156" s="1488">
        <f t="shared" si="43"/>
        <v>0</v>
      </c>
      <c r="E156" s="1488">
        <f t="shared" si="43"/>
        <v>33093329.793732166</v>
      </c>
      <c r="F156" s="1488">
        <f t="shared" si="43"/>
        <v>31540325.765022755</v>
      </c>
      <c r="G156" s="1488">
        <f t="shared" si="43"/>
        <v>2448221.8100001812</v>
      </c>
      <c r="H156" s="1488">
        <f t="shared" si="43"/>
        <v>8789616.6700000167</v>
      </c>
      <c r="I156" s="1488">
        <f t="shared" si="43"/>
        <v>5424973.9499999285</v>
      </c>
      <c r="J156" s="1488">
        <f t="shared" si="43"/>
        <v>2106411.8400000036</v>
      </c>
      <c r="K156" s="1488">
        <f t="shared" si="43"/>
        <v>-1162981.7100000083</v>
      </c>
      <c r="L156" s="1488">
        <f t="shared" si="43"/>
        <v>58559.180000007153</v>
      </c>
      <c r="M156" s="1488">
        <f t="shared" si="44"/>
        <v>82298457.298755065</v>
      </c>
      <c r="N156" s="14"/>
    </row>
    <row r="157" spans="1:14" ht="13">
      <c r="A157" s="549">
        <f t="shared" si="45"/>
        <v>87</v>
      </c>
      <c r="B157" s="699" t="s">
        <v>2720</v>
      </c>
      <c r="C157" s="1488">
        <f t="shared" si="46"/>
        <v>0</v>
      </c>
      <c r="D157" s="1488">
        <f t="shared" si="43"/>
        <v>1638.9699999988079</v>
      </c>
      <c r="E157" s="1488">
        <f t="shared" si="43"/>
        <v>4181539.9630877376</v>
      </c>
      <c r="F157" s="1488">
        <f t="shared" si="43"/>
        <v>102951649.77291656</v>
      </c>
      <c r="G157" s="1488">
        <f t="shared" si="43"/>
        <v>19325132.4599998</v>
      </c>
      <c r="H157" s="1488">
        <f t="shared" si="43"/>
        <v>-4263355.3199999332</v>
      </c>
      <c r="I157" s="1488">
        <f t="shared" si="43"/>
        <v>-4351274.6799997091</v>
      </c>
      <c r="J157" s="1488">
        <f t="shared" si="43"/>
        <v>12705.129999995232</v>
      </c>
      <c r="K157" s="1488">
        <f t="shared" si="43"/>
        <v>643131.89999999106</v>
      </c>
      <c r="L157" s="1488">
        <f t="shared" si="43"/>
        <v>6775.7500000298023</v>
      </c>
      <c r="M157" s="1488">
        <f t="shared" si="44"/>
        <v>118507943.94600447</v>
      </c>
      <c r="N157" s="14"/>
    </row>
    <row r="158" spans="1:14" ht="13">
      <c r="A158" s="549">
        <f t="shared" si="45"/>
        <v>88</v>
      </c>
      <c r="B158" s="699" t="s">
        <v>2721</v>
      </c>
      <c r="C158" s="1488">
        <f t="shared" si="46"/>
        <v>0</v>
      </c>
      <c r="D158" s="1488">
        <f t="shared" si="43"/>
        <v>17196.459999993443</v>
      </c>
      <c r="E158" s="1488">
        <f t="shared" si="43"/>
        <v>6417389.1511701941</v>
      </c>
      <c r="F158" s="1488">
        <f t="shared" si="43"/>
        <v>27088380.464048147</v>
      </c>
      <c r="G158" s="1488">
        <f t="shared" si="43"/>
        <v>-4337626.6900005341</v>
      </c>
      <c r="H158" s="1488">
        <f t="shared" si="43"/>
        <v>15835998.159999847</v>
      </c>
      <c r="I158" s="1488">
        <f t="shared" si="43"/>
        <v>-55194.010000228882</v>
      </c>
      <c r="J158" s="1488">
        <f t="shared" si="43"/>
        <v>-36147.57000002265</v>
      </c>
      <c r="K158" s="1488">
        <f t="shared" si="43"/>
        <v>-760973.97999998182</v>
      </c>
      <c r="L158" s="1488">
        <f t="shared" si="43"/>
        <v>23810.869999974966</v>
      </c>
      <c r="M158" s="1488">
        <f t="shared" si="44"/>
        <v>44192832.85521739</v>
      </c>
      <c r="N158" s="14"/>
    </row>
    <row r="159" spans="1:14" ht="13">
      <c r="A159" s="549">
        <f t="shared" si="45"/>
        <v>89</v>
      </c>
      <c r="B159" s="700" t="s">
        <v>2722</v>
      </c>
      <c r="C159" s="1488">
        <f t="shared" si="46"/>
        <v>-3.7252902984619141E-9</v>
      </c>
      <c r="D159" s="1488">
        <f t="shared" si="43"/>
        <v>36591.17999997735</v>
      </c>
      <c r="E159" s="1488">
        <f t="shared" si="43"/>
        <v>3952611.9179859757</v>
      </c>
      <c r="F159" s="1488">
        <f t="shared" si="43"/>
        <v>9024715.1968877316</v>
      </c>
      <c r="G159" s="1488">
        <f t="shared" si="43"/>
        <v>90029.269999980927</v>
      </c>
      <c r="H159" s="1488">
        <f t="shared" si="43"/>
        <v>-3928822.089999944</v>
      </c>
      <c r="I159" s="1488">
        <f t="shared" si="43"/>
        <v>23619497.560000181</v>
      </c>
      <c r="J159" s="1488">
        <f t="shared" si="43"/>
        <v>4119820.3500000238</v>
      </c>
      <c r="K159" s="1488">
        <f t="shared" si="43"/>
        <v>7605753.9799999595</v>
      </c>
      <c r="L159" s="1488">
        <f t="shared" si="43"/>
        <v>-7959.0099999904633</v>
      </c>
      <c r="M159" s="1488">
        <f t="shared" si="44"/>
        <v>44512238.354873896</v>
      </c>
      <c r="N159" s="14"/>
    </row>
    <row r="160" spans="1:14" ht="13">
      <c r="A160" s="549">
        <f t="shared" si="45"/>
        <v>90</v>
      </c>
      <c r="B160" s="700" t="s">
        <v>2723</v>
      </c>
      <c r="C160" s="1488">
        <f t="shared" si="46"/>
        <v>0</v>
      </c>
      <c r="D160" s="1488">
        <f t="shared" si="43"/>
        <v>1.4901161193847656E-8</v>
      </c>
      <c r="E160" s="1488">
        <f t="shared" si="43"/>
        <v>4637621.3377040625</v>
      </c>
      <c r="F160" s="1488">
        <f t="shared" si="43"/>
        <v>36541022.2342031</v>
      </c>
      <c r="G160" s="1488">
        <f t="shared" si="43"/>
        <v>1204102.340000391</v>
      </c>
      <c r="H160" s="1488">
        <f t="shared" si="43"/>
        <v>4734755.3499999642</v>
      </c>
      <c r="I160" s="1488">
        <f t="shared" si="43"/>
        <v>1484635.4199997187</v>
      </c>
      <c r="J160" s="1488">
        <f t="shared" si="43"/>
        <v>109482.09999999404</v>
      </c>
      <c r="K160" s="1488">
        <f t="shared" si="43"/>
        <v>-320433.87999999523</v>
      </c>
      <c r="L160" s="1488">
        <f t="shared" si="43"/>
        <v>8152.960000038147</v>
      </c>
      <c r="M160" s="1488">
        <f t="shared" si="44"/>
        <v>48399337.861907288</v>
      </c>
      <c r="N160" s="14"/>
    </row>
    <row r="161" spans="1:14" ht="13">
      <c r="A161" s="549">
        <f t="shared" si="45"/>
        <v>91</v>
      </c>
      <c r="B161" s="699" t="s">
        <v>2724</v>
      </c>
      <c r="C161" s="1489">
        <f t="shared" si="46"/>
        <v>3.7252902984619141E-9</v>
      </c>
      <c r="D161" s="1489">
        <f t="shared" si="43"/>
        <v>-16179.829999983311</v>
      </c>
      <c r="E161" s="1489">
        <f t="shared" si="43"/>
        <v>1897604.3659999371</v>
      </c>
      <c r="F161" s="1489">
        <f t="shared" si="43"/>
        <v>27507511.65502739</v>
      </c>
      <c r="G161" s="1489">
        <f t="shared" si="43"/>
        <v>2178597.6899995804</v>
      </c>
      <c r="H161" s="1489">
        <f t="shared" si="43"/>
        <v>21786283.590000033</v>
      </c>
      <c r="I161" s="1489">
        <f t="shared" si="43"/>
        <v>101985888.99999988</v>
      </c>
      <c r="J161" s="1489">
        <f t="shared" si="43"/>
        <v>427333.63999998569</v>
      </c>
      <c r="K161" s="1489">
        <f t="shared" si="43"/>
        <v>689102.91000001878</v>
      </c>
      <c r="L161" s="1489">
        <f t="shared" si="43"/>
        <v>4796.9499999880791</v>
      </c>
      <c r="M161" s="1489">
        <f t="shared" si="44"/>
        <v>156460939.97102684</v>
      </c>
      <c r="N161" s="14"/>
    </row>
    <row r="162" spans="1:14" ht="13">
      <c r="A162" s="549">
        <f t="shared" si="45"/>
        <v>92</v>
      </c>
      <c r="B162" s="1049" t="s">
        <v>4</v>
      </c>
      <c r="C162" s="1488">
        <f t="shared" ref="C162:M162" si="47">SUM(C150:C161)</f>
        <v>-17422.579999994487</v>
      </c>
      <c r="D162" s="1488">
        <f t="shared" si="47"/>
        <v>1858953.2900000513</v>
      </c>
      <c r="E162" s="1488">
        <f t="shared" si="47"/>
        <v>103339163.62736994</v>
      </c>
      <c r="F162" s="1488">
        <f t="shared" si="47"/>
        <v>443293068.92582226</v>
      </c>
      <c r="G162" s="1488">
        <f t="shared" si="47"/>
        <v>31455271.46999979</v>
      </c>
      <c r="H162" s="1488">
        <f t="shared" si="47"/>
        <v>154409143.27000001</v>
      </c>
      <c r="I162" s="1488">
        <f t="shared" si="47"/>
        <v>112217412.50999987</v>
      </c>
      <c r="J162" s="1488">
        <f t="shared" si="47"/>
        <v>28517224.650000006</v>
      </c>
      <c r="K162" s="1488">
        <f t="shared" si="47"/>
        <v>29940413.709999986</v>
      </c>
      <c r="L162" s="1488">
        <f t="shared" si="47"/>
        <v>1613502.7600000799</v>
      </c>
      <c r="M162" s="1488">
        <f t="shared" si="47"/>
        <v>906626731.63319182</v>
      </c>
      <c r="N162" s="14"/>
    </row>
    <row r="163" spans="1:14" ht="13">
      <c r="A163" s="549"/>
      <c r="B163" s="1049"/>
      <c r="C163" s="1148"/>
      <c r="D163" s="1148"/>
      <c r="E163" s="1148"/>
      <c r="F163" s="1148"/>
      <c r="G163" s="1148"/>
      <c r="H163" s="1148"/>
      <c r="I163" s="1148"/>
      <c r="J163" s="1148"/>
      <c r="K163" s="1148"/>
      <c r="L163" s="1148"/>
      <c r="M163" s="1148"/>
    </row>
    <row r="164" spans="1:14" s="463" customFormat="1" ht="13">
      <c r="B164" s="44" t="s">
        <v>2352</v>
      </c>
      <c r="M164" s="1064"/>
    </row>
    <row r="165" spans="1:14" s="463" customFormat="1">
      <c r="M165" s="1064"/>
    </row>
    <row r="166" spans="1:14" s="463" customFormat="1" ht="13">
      <c r="B166" s="122" t="s">
        <v>1748</v>
      </c>
      <c r="C166" s="351">
        <v>350.1</v>
      </c>
      <c r="D166" s="351">
        <v>350.2</v>
      </c>
      <c r="E166" s="351">
        <v>352</v>
      </c>
      <c r="F166" s="351">
        <v>353</v>
      </c>
      <c r="G166" s="351">
        <v>354</v>
      </c>
      <c r="H166" s="84">
        <v>355</v>
      </c>
      <c r="I166" s="84">
        <v>356</v>
      </c>
      <c r="J166" s="84">
        <v>357</v>
      </c>
      <c r="K166" s="84">
        <v>358</v>
      </c>
      <c r="L166" s="84">
        <v>359</v>
      </c>
      <c r="M166" s="1064"/>
    </row>
    <row r="167" spans="1:14" s="463" customFormat="1" ht="13">
      <c r="A167" s="549">
        <f>A162+1</f>
        <v>93</v>
      </c>
      <c r="B167" s="700" t="s">
        <v>2713</v>
      </c>
      <c r="C167" s="1068">
        <f>C150/C$162</f>
        <v>6.9012166969825872E-2</v>
      </c>
      <c r="D167" s="1068">
        <f t="shared" ref="D167:L167" si="48">D150/D$162</f>
        <v>0.9765404541175795</v>
      </c>
      <c r="E167" s="1068">
        <f t="shared" si="48"/>
        <v>4.0252120205028434E-2</v>
      </c>
      <c r="F167" s="1068">
        <f t="shared" si="48"/>
        <v>1.6285483980901863E-2</v>
      </c>
      <c r="G167" s="1068">
        <f>G150/G$162</f>
        <v>-4.9775507787094102E-2</v>
      </c>
      <c r="H167" s="1068">
        <f t="shared" si="48"/>
        <v>0.11153448063555241</v>
      </c>
      <c r="I167" s="1068">
        <f t="shared" si="48"/>
        <v>3.7047954564355591E-2</v>
      </c>
      <c r="J167" s="1068">
        <f t="shared" si="48"/>
        <v>2.2689094327101508E-5</v>
      </c>
      <c r="K167" s="1068">
        <f t="shared" si="48"/>
        <v>-4.2176339720324391E-2</v>
      </c>
      <c r="L167" s="1068">
        <f t="shared" si="48"/>
        <v>0.13249254683640158</v>
      </c>
      <c r="M167" s="1064"/>
    </row>
    <row r="168" spans="1:14" s="463" customFormat="1" ht="13">
      <c r="A168" s="549">
        <f t="shared" ref="A168:A178" si="49">A167+1</f>
        <v>94</v>
      </c>
      <c r="B168" s="699" t="s">
        <v>2714</v>
      </c>
      <c r="C168" s="1068">
        <f>C151/C$162</f>
        <v>-4.2763933911775329E-13</v>
      </c>
      <c r="D168" s="1068">
        <f t="shared" ref="C168:L178" si="50">D151/D$162</f>
        <v>0</v>
      </c>
      <c r="E168" s="1068">
        <f t="shared" si="50"/>
        <v>5.6470222881445958E-2</v>
      </c>
      <c r="F168" s="1068">
        <f t="shared" si="50"/>
        <v>9.7085514267435016E-2</v>
      </c>
      <c r="G168" s="1068">
        <f t="shared" si="50"/>
        <v>-1.0834724803594327E-2</v>
      </c>
      <c r="H168" s="1068">
        <f t="shared" si="50"/>
        <v>0.10403078321541868</v>
      </c>
      <c r="I168" s="1068">
        <f t="shared" si="50"/>
        <v>1.0938832775979427E-2</v>
      </c>
      <c r="J168" s="1068">
        <f t="shared" si="50"/>
        <v>3.8517706876500819E-3</v>
      </c>
      <c r="K168" s="1068">
        <f t="shared" si="50"/>
        <v>-1.5535623004589799E-2</v>
      </c>
      <c r="L168" s="1068">
        <f t="shared" si="50"/>
        <v>1.5203475697818223E-2</v>
      </c>
      <c r="M168" s="1064"/>
    </row>
    <row r="169" spans="1:14" s="463" customFormat="1" ht="13">
      <c r="A169" s="549">
        <f t="shared" si="49"/>
        <v>95</v>
      </c>
      <c r="B169" s="699" t="s">
        <v>2715</v>
      </c>
      <c r="C169" s="1068">
        <f t="shared" si="50"/>
        <v>7.3769786105489038E-2</v>
      </c>
      <c r="D169" s="1068">
        <f t="shared" si="50"/>
        <v>4.3582052564740117E-3</v>
      </c>
      <c r="E169" s="1068">
        <f t="shared" si="50"/>
        <v>4.7388400235639762E-2</v>
      </c>
      <c r="F169" s="1068">
        <f t="shared" si="50"/>
        <v>4.273534846657593E-2</v>
      </c>
      <c r="G169" s="1068">
        <f t="shared" si="50"/>
        <v>6.2864950057309479E-2</v>
      </c>
      <c r="H169" s="1068">
        <f t="shared" si="50"/>
        <v>0.13304459499576468</v>
      </c>
      <c r="I169" s="1068">
        <f t="shared" si="50"/>
        <v>2.7366159683341981E-2</v>
      </c>
      <c r="J169" s="1068">
        <f t="shared" si="50"/>
        <v>4.3648356922400184E-5</v>
      </c>
      <c r="K169" s="1068">
        <f t="shared" si="50"/>
        <v>7.8897740454770771E-2</v>
      </c>
      <c r="L169" s="1068">
        <f t="shared" si="50"/>
        <v>2.7672775719454266E-3</v>
      </c>
      <c r="M169" s="1064"/>
    </row>
    <row r="170" spans="1:14" s="463" customFormat="1" ht="13">
      <c r="A170" s="549">
        <f t="shared" si="49"/>
        <v>96</v>
      </c>
      <c r="B170" s="700" t="s">
        <v>2716</v>
      </c>
      <c r="C170" s="1068">
        <f t="shared" si="50"/>
        <v>0.40444641379145796</v>
      </c>
      <c r="D170" s="1068">
        <f t="shared" si="50"/>
        <v>6.8582142803404623E-4</v>
      </c>
      <c r="E170" s="1068">
        <f t="shared" si="50"/>
        <v>0.12856220620997288</v>
      </c>
      <c r="F170" s="1068">
        <f t="shared" si="50"/>
        <v>2.5711798268218053E-2</v>
      </c>
      <c r="G170" s="1068">
        <f t="shared" si="50"/>
        <v>0.30668944342763277</v>
      </c>
      <c r="H170" s="1068">
        <f t="shared" si="50"/>
        <v>6.5156909862569848E-2</v>
      </c>
      <c r="I170" s="1068">
        <f t="shared" si="50"/>
        <v>4.175913581666528E-2</v>
      </c>
      <c r="J170" s="1068">
        <f t="shared" si="50"/>
        <v>-7.4640219240257582E-3</v>
      </c>
      <c r="K170" s="1068">
        <f t="shared" si="50"/>
        <v>-3.0985110258852075E-2</v>
      </c>
      <c r="L170" s="1068">
        <f t="shared" si="50"/>
        <v>2.1950876613319316E-3</v>
      </c>
      <c r="M170" s="1064"/>
    </row>
    <row r="171" spans="1:14" s="463" customFormat="1" ht="13">
      <c r="A171" s="549">
        <f t="shared" si="49"/>
        <v>97</v>
      </c>
      <c r="B171" s="699" t="s">
        <v>2717</v>
      </c>
      <c r="C171" s="1068">
        <f t="shared" si="50"/>
        <v>0.45277163313429625</v>
      </c>
      <c r="D171" s="1068">
        <f t="shared" si="50"/>
        <v>-2.6881095005929982E-3</v>
      </c>
      <c r="E171" s="1068">
        <f t="shared" si="50"/>
        <v>0.32996315911117846</v>
      </c>
      <c r="F171" s="1068">
        <f t="shared" si="50"/>
        <v>0.12384081986619234</v>
      </c>
      <c r="G171" s="1068">
        <f t="shared" si="50"/>
        <v>8.4790153616900021E-3</v>
      </c>
      <c r="H171" s="1068">
        <f t="shared" si="50"/>
        <v>3.3556336045073722E-2</v>
      </c>
      <c r="I171" s="1068">
        <f t="shared" si="50"/>
        <v>7.4918434777227145E-3</v>
      </c>
      <c r="J171" s="1068">
        <f t="shared" si="50"/>
        <v>3.375503794695728E-6</v>
      </c>
      <c r="K171" s="1068">
        <f t="shared" si="50"/>
        <v>4.812831459034661E-2</v>
      </c>
      <c r="L171" s="1068">
        <f t="shared" si="50"/>
        <v>2.9733819606246889E-3</v>
      </c>
      <c r="M171" s="1064"/>
    </row>
    <row r="172" spans="1:14" s="463" customFormat="1" ht="13">
      <c r="A172" s="549">
        <f t="shared" si="49"/>
        <v>98</v>
      </c>
      <c r="B172" s="699" t="s">
        <v>2718</v>
      </c>
      <c r="C172" s="1068">
        <f t="shared" si="50"/>
        <v>0</v>
      </c>
      <c r="D172" s="1068">
        <f t="shared" si="50"/>
        <v>-8.6715465427136172E-6</v>
      </c>
      <c r="E172" s="1068">
        <f t="shared" si="50"/>
        <v>-0.12693004162928956</v>
      </c>
      <c r="F172" s="1068">
        <f t="shared" si="50"/>
        <v>0.16499911321015787</v>
      </c>
      <c r="G172" s="1068">
        <f t="shared" si="50"/>
        <v>1.7872438663778908E-2</v>
      </c>
      <c r="H172" s="1068">
        <f t="shared" si="50"/>
        <v>0.274490801790716</v>
      </c>
      <c r="I172" s="1068">
        <f t="shared" si="50"/>
        <v>-0.26621398820203346</v>
      </c>
      <c r="J172" s="1068">
        <f t="shared" si="50"/>
        <v>0.76720798705073068</v>
      </c>
      <c r="K172" s="1068">
        <f t="shared" si="50"/>
        <v>0.7381069989229615</v>
      </c>
      <c r="L172" s="1068">
        <f t="shared" si="50"/>
        <v>0.78602516304338266</v>
      </c>
      <c r="M172" s="1064"/>
    </row>
    <row r="173" spans="1:14" s="463" customFormat="1" ht="13">
      <c r="A173" s="549">
        <f t="shared" si="49"/>
        <v>99</v>
      </c>
      <c r="B173" s="700" t="s">
        <v>2719</v>
      </c>
      <c r="C173" s="1068">
        <f t="shared" si="50"/>
        <v>-6.4145900867662996E-13</v>
      </c>
      <c r="D173" s="1068">
        <f t="shared" si="50"/>
        <v>0</v>
      </c>
      <c r="E173" s="1068">
        <f t="shared" si="50"/>
        <v>0.32023996161864832</v>
      </c>
      <c r="F173" s="1068">
        <f t="shared" si="50"/>
        <v>7.1150053939373695E-2</v>
      </c>
      <c r="G173" s="1068">
        <f t="shared" si="50"/>
        <v>7.7831844889183446E-2</v>
      </c>
      <c r="H173" s="1068">
        <f t="shared" si="50"/>
        <v>5.6924198165069037E-2</v>
      </c>
      <c r="I173" s="1068">
        <f t="shared" si="50"/>
        <v>4.8343423971894742E-2</v>
      </c>
      <c r="J173" s="1068">
        <f t="shared" si="50"/>
        <v>7.3864545580875907E-2</v>
      </c>
      <c r="K173" s="1068">
        <f t="shared" si="50"/>
        <v>-3.8843207754727077E-2</v>
      </c>
      <c r="L173" s="1068">
        <f t="shared" si="50"/>
        <v>3.6293201010703109E-2</v>
      </c>
      <c r="M173" s="1064"/>
    </row>
    <row r="174" spans="1:14" s="463" customFormat="1" ht="13">
      <c r="A174" s="549">
        <f t="shared" si="49"/>
        <v>100</v>
      </c>
      <c r="B174" s="699" t="s">
        <v>2720</v>
      </c>
      <c r="C174" s="1068">
        <f t="shared" si="50"/>
        <v>0</v>
      </c>
      <c r="D174" s="1068">
        <f t="shared" si="50"/>
        <v>8.8166282004792211E-4</v>
      </c>
      <c r="E174" s="1068">
        <f t="shared" si="50"/>
        <v>4.0464232690772754E-2</v>
      </c>
      <c r="F174" s="1068">
        <f t="shared" si="50"/>
        <v>0.23224285915948711</v>
      </c>
      <c r="G174" s="1068">
        <f t="shared" si="50"/>
        <v>0.61436864337448138</v>
      </c>
      <c r="H174" s="1068">
        <f t="shared" si="50"/>
        <v>-2.7610769865778123E-2</v>
      </c>
      <c r="I174" s="1068">
        <f t="shared" si="50"/>
        <v>-3.8775396640088812E-2</v>
      </c>
      <c r="J174" s="1068">
        <f t="shared" si="50"/>
        <v>4.455247716399088E-4</v>
      </c>
      <c r="K174" s="1068">
        <f t="shared" si="50"/>
        <v>2.1480394567333163E-2</v>
      </c>
      <c r="L174" s="1068">
        <f t="shared" si="50"/>
        <v>4.1994040345053191E-3</v>
      </c>
      <c r="M174" s="1064"/>
    </row>
    <row r="175" spans="1:14" s="463" customFormat="1" ht="13">
      <c r="A175" s="549">
        <f t="shared" si="49"/>
        <v>101</v>
      </c>
      <c r="B175" s="699" t="s">
        <v>2721</v>
      </c>
      <c r="C175" s="1068">
        <f t="shared" si="50"/>
        <v>0</v>
      </c>
      <c r="D175" s="1068">
        <f t="shared" si="50"/>
        <v>9.2506143605108927E-3</v>
      </c>
      <c r="E175" s="1068">
        <f t="shared" si="50"/>
        <v>6.2100262145633564E-2</v>
      </c>
      <c r="F175" s="1068">
        <f t="shared" si="50"/>
        <v>6.110715994204037E-2</v>
      </c>
      <c r="G175" s="1068">
        <f t="shared" si="50"/>
        <v>-0.13789824367395812</v>
      </c>
      <c r="H175" s="1068">
        <f t="shared" si="50"/>
        <v>0.1025586815950983</v>
      </c>
      <c r="I175" s="1068">
        <f t="shared" si="50"/>
        <v>-4.9184889194723192E-4</v>
      </c>
      <c r="J175" s="1068">
        <f t="shared" si="50"/>
        <v>-1.2675697037026583E-3</v>
      </c>
      <c r="K175" s="1068">
        <f t="shared" si="50"/>
        <v>-2.5416281397134449E-2</v>
      </c>
      <c r="L175" s="1068">
        <f t="shared" si="50"/>
        <v>1.4757253963404306E-2</v>
      </c>
      <c r="M175" s="1064"/>
    </row>
    <row r="176" spans="1:14" s="463" customFormat="1" ht="13">
      <c r="A176" s="549">
        <f t="shared" si="49"/>
        <v>102</v>
      </c>
      <c r="B176" s="700" t="s">
        <v>2722</v>
      </c>
      <c r="C176" s="1068">
        <f t="shared" si="50"/>
        <v>2.1381966955887664E-13</v>
      </c>
      <c r="D176" s="1068">
        <f t="shared" si="50"/>
        <v>1.9683754399216959E-2</v>
      </c>
      <c r="E176" s="1068">
        <f t="shared" si="50"/>
        <v>3.8248924988774587E-2</v>
      </c>
      <c r="F176" s="1068">
        <f t="shared" si="50"/>
        <v>2.0358349429546049E-2</v>
      </c>
      <c r="G176" s="1068">
        <f t="shared" si="50"/>
        <v>2.8621361632769761E-3</v>
      </c>
      <c r="H176" s="1068">
        <f t="shared" si="50"/>
        <v>-2.5444232166549886E-2</v>
      </c>
      <c r="I176" s="1068">
        <f t="shared" si="50"/>
        <v>0.21047979125249755</v>
      </c>
      <c r="J176" s="1068">
        <f t="shared" si="50"/>
        <v>0.1444677874710372</v>
      </c>
      <c r="K176" s="1068">
        <f t="shared" si="50"/>
        <v>0.25402968889035982</v>
      </c>
      <c r="L176" s="1068">
        <f t="shared" si="50"/>
        <v>-4.9327526405905063E-3</v>
      </c>
      <c r="M176" s="1064"/>
    </row>
    <row r="177" spans="1:13" s="463" customFormat="1" ht="13">
      <c r="A177" s="549">
        <f t="shared" si="49"/>
        <v>103</v>
      </c>
      <c r="B177" s="700" t="s">
        <v>2723</v>
      </c>
      <c r="C177" s="1068">
        <f t="shared" si="50"/>
        <v>0</v>
      </c>
      <c r="D177" s="1068">
        <f t="shared" si="50"/>
        <v>8.0158879053100063E-15</v>
      </c>
      <c r="E177" s="1068">
        <f t="shared" si="50"/>
        <v>4.4877674396774037E-2</v>
      </c>
      <c r="F177" s="1068">
        <f t="shared" si="50"/>
        <v>8.243084495489289E-2</v>
      </c>
      <c r="G177" s="1068">
        <f t="shared" si="50"/>
        <v>3.82798266786155E-2</v>
      </c>
      <c r="H177" s="1068">
        <f t="shared" si="50"/>
        <v>3.0663698079852472E-2</v>
      </c>
      <c r="I177" s="1068">
        <f t="shared" si="50"/>
        <v>1.3229991556501274E-2</v>
      </c>
      <c r="J177" s="1068">
        <f t="shared" si="50"/>
        <v>3.8391569075777511E-3</v>
      </c>
      <c r="K177" s="1068">
        <f t="shared" si="50"/>
        <v>-1.0702386516889428E-2</v>
      </c>
      <c r="L177" s="1068">
        <f t="shared" si="50"/>
        <v>5.0529569593285003E-3</v>
      </c>
      <c r="M177" s="1064"/>
    </row>
    <row r="178" spans="1:13" s="463" customFormat="1" ht="13">
      <c r="A178" s="549">
        <f t="shared" si="49"/>
        <v>104</v>
      </c>
      <c r="B178" s="699" t="s">
        <v>2724</v>
      </c>
      <c r="C178" s="1068">
        <f t="shared" si="50"/>
        <v>-2.1381966955887664E-13</v>
      </c>
      <c r="D178" s="1068">
        <f t="shared" si="50"/>
        <v>-8.7037313347356152E-3</v>
      </c>
      <c r="E178" s="1068">
        <f t="shared" si="50"/>
        <v>1.8362877145420849E-2</v>
      </c>
      <c r="F178" s="1068">
        <f t="shared" si="50"/>
        <v>6.2052654515178794E-2</v>
      </c>
      <c r="G178" s="1068">
        <f t="shared" si="50"/>
        <v>6.9260177648678062E-2</v>
      </c>
      <c r="H178" s="1068">
        <f t="shared" si="50"/>
        <v>0.14109451764721284</v>
      </c>
      <c r="I178" s="1068">
        <f t="shared" si="50"/>
        <v>0.90882410063511099</v>
      </c>
      <c r="J178" s="1068">
        <f t="shared" si="50"/>
        <v>1.4985106203172741E-2</v>
      </c>
      <c r="K178" s="1068">
        <f t="shared" si="50"/>
        <v>2.3015811226745373E-2</v>
      </c>
      <c r="L178" s="1068">
        <f t="shared" si="50"/>
        <v>2.9730039011447626E-3</v>
      </c>
      <c r="M178" s="1064"/>
    </row>
    <row r="180" spans="1:13" ht="13">
      <c r="B180" s="1" t="s">
        <v>2677</v>
      </c>
    </row>
    <row r="181" spans="1:13">
      <c r="B181" s="467" t="s">
        <v>2353</v>
      </c>
    </row>
    <row r="182" spans="1:13" ht="13">
      <c r="B182" s="16"/>
      <c r="C182" s="84">
        <v>350.1</v>
      </c>
      <c r="D182" s="84">
        <v>350.2</v>
      </c>
      <c r="E182" s="84">
        <v>352</v>
      </c>
      <c r="F182" s="84">
        <v>353</v>
      </c>
      <c r="G182" s="84">
        <v>354</v>
      </c>
      <c r="H182" s="84">
        <v>355</v>
      </c>
      <c r="I182" s="84">
        <v>356</v>
      </c>
      <c r="J182" s="84">
        <v>357</v>
      </c>
      <c r="K182" s="84">
        <v>358</v>
      </c>
      <c r="L182" s="84">
        <v>359</v>
      </c>
      <c r="M182" s="3" t="s">
        <v>196</v>
      </c>
    </row>
    <row r="183" spans="1:13" ht="13">
      <c r="A183" s="549">
        <f>A178+1</f>
        <v>105</v>
      </c>
      <c r="B183" s="16"/>
      <c r="C183" s="7">
        <f t="shared" ref="C183:L183" si="51">C24-C12</f>
        <v>224727.08512021601</v>
      </c>
      <c r="D183" s="7">
        <f t="shared" si="51"/>
        <v>1265222.6409191489</v>
      </c>
      <c r="E183" s="7">
        <f t="shared" si="51"/>
        <v>62922495.192329884</v>
      </c>
      <c r="F183" s="7">
        <f t="shared" si="51"/>
        <v>237011398.53648376</v>
      </c>
      <c r="G183" s="7">
        <f t="shared" si="51"/>
        <v>-3001958.3631467819</v>
      </c>
      <c r="H183" s="7">
        <f t="shared" si="51"/>
        <v>23971710.111982167</v>
      </c>
      <c r="I183" s="7">
        <f t="shared" si="51"/>
        <v>41622542.051303387</v>
      </c>
      <c r="J183" s="7">
        <f t="shared" si="51"/>
        <v>44074.427919268608</v>
      </c>
      <c r="K183" s="7">
        <f t="shared" si="51"/>
        <v>10043.419502198696</v>
      </c>
      <c r="L183" s="7">
        <f t="shared" si="51"/>
        <v>12946614.432062626</v>
      </c>
      <c r="M183" s="7">
        <f>M24-M12</f>
        <v>377016869.53447533</v>
      </c>
    </row>
    <row r="184" spans="1:13">
      <c r="B184" s="16"/>
      <c r="C184" s="7"/>
      <c r="D184" s="7"/>
      <c r="E184" s="7"/>
      <c r="F184" s="7"/>
      <c r="G184" s="7"/>
      <c r="H184" s="7"/>
      <c r="I184" s="7"/>
      <c r="J184" s="7"/>
      <c r="K184" s="7"/>
      <c r="L184" s="7"/>
      <c r="M184" s="7"/>
    </row>
    <row r="185" spans="1:13">
      <c r="B185" s="467" t="s">
        <v>2354</v>
      </c>
      <c r="C185" s="7"/>
      <c r="D185" s="7"/>
      <c r="E185" s="7"/>
      <c r="F185" s="7"/>
      <c r="G185" s="7"/>
      <c r="H185" s="7"/>
      <c r="I185" s="7"/>
      <c r="J185" s="7"/>
      <c r="K185" s="7"/>
      <c r="L185" s="7"/>
      <c r="M185" s="7"/>
    </row>
    <row r="186" spans="1:13" ht="13">
      <c r="B186" s="16"/>
      <c r="C186" s="84">
        <v>350.1</v>
      </c>
      <c r="D186" s="84">
        <v>350.2</v>
      </c>
      <c r="E186" s="84">
        <v>352</v>
      </c>
      <c r="F186" s="84">
        <v>353</v>
      </c>
      <c r="G186" s="84">
        <v>354</v>
      </c>
      <c r="H186" s="84">
        <v>355</v>
      </c>
      <c r="I186" s="84">
        <v>356</v>
      </c>
      <c r="J186" s="84">
        <v>357</v>
      </c>
      <c r="K186" s="84">
        <v>358</v>
      </c>
      <c r="L186" s="84">
        <v>359</v>
      </c>
      <c r="M186" s="3" t="s">
        <v>196</v>
      </c>
    </row>
    <row r="187" spans="1:13" ht="13">
      <c r="A187" s="549">
        <f>A183+1</f>
        <v>106</v>
      </c>
      <c r="B187" s="16"/>
      <c r="C187" s="7">
        <f>C143</f>
        <v>107841.30999999866</v>
      </c>
      <c r="D187" s="7">
        <f t="shared" ref="D187:M187" si="52">D143</f>
        <v>6342.3599999845028</v>
      </c>
      <c r="E187" s="7">
        <f t="shared" si="52"/>
        <v>6283681.9026300311</v>
      </c>
      <c r="F187" s="7">
        <f t="shared" si="52"/>
        <v>9713383.3741779327</v>
      </c>
      <c r="G187" s="7">
        <f t="shared" si="52"/>
        <v>-15233391.449999809</v>
      </c>
      <c r="H187" s="7">
        <f t="shared" si="52"/>
        <v>6757666.4999999702</v>
      </c>
      <c r="I187" s="7">
        <f t="shared" si="52"/>
        <v>15469293.090000033</v>
      </c>
      <c r="J187" s="7">
        <f t="shared" si="52"/>
        <v>41631.330000013113</v>
      </c>
      <c r="K187" s="7">
        <f t="shared" si="52"/>
        <v>4962.2400000020862</v>
      </c>
      <c r="L187" s="7">
        <f t="shared" si="52"/>
        <v>12620071.379999906</v>
      </c>
      <c r="M187" s="7">
        <f t="shared" si="52"/>
        <v>35771482.036808059</v>
      </c>
    </row>
    <row r="188" spans="1:13">
      <c r="B188" s="16"/>
      <c r="C188" s="7"/>
      <c r="D188" s="7"/>
      <c r="E188" s="7"/>
      <c r="F188" s="7"/>
      <c r="G188" s="7"/>
      <c r="H188" s="7"/>
      <c r="I188" s="7"/>
      <c r="J188" s="7"/>
      <c r="K188" s="7"/>
      <c r="L188" s="7"/>
      <c r="M188" s="7"/>
    </row>
    <row r="189" spans="1:13">
      <c r="B189" s="467" t="s">
        <v>2355</v>
      </c>
      <c r="C189" s="7"/>
      <c r="D189" s="7"/>
      <c r="E189" s="7"/>
      <c r="F189" s="7"/>
      <c r="G189" s="7"/>
      <c r="H189" s="7"/>
      <c r="I189" s="7"/>
      <c r="J189" s="7"/>
      <c r="K189" s="7"/>
      <c r="L189" s="7"/>
      <c r="M189" s="7"/>
    </row>
    <row r="190" spans="1:13" ht="13">
      <c r="C190" s="84">
        <v>350.1</v>
      </c>
      <c r="D190" s="84">
        <v>350.2</v>
      </c>
      <c r="E190" s="84">
        <v>352</v>
      </c>
      <c r="F190" s="84">
        <v>353</v>
      </c>
      <c r="G190" s="84">
        <v>354</v>
      </c>
      <c r="H190" s="84">
        <v>355</v>
      </c>
      <c r="I190" s="84">
        <v>356</v>
      </c>
      <c r="J190" s="84">
        <v>357</v>
      </c>
      <c r="K190" s="84">
        <v>358</v>
      </c>
      <c r="L190" s="84">
        <v>359</v>
      </c>
      <c r="M190" s="3" t="s">
        <v>196</v>
      </c>
    </row>
    <row r="191" spans="1:13" ht="13">
      <c r="A191" s="549">
        <f>A187+1</f>
        <v>107</v>
      </c>
      <c r="C191" s="7">
        <f>C183-C187</f>
        <v>116885.77512021735</v>
      </c>
      <c r="D191" s="7">
        <f t="shared" ref="D191:M191" si="53">D183-D187</f>
        <v>1258880.2809191644</v>
      </c>
      <c r="E191" s="7">
        <f t="shared" si="53"/>
        <v>56638813.289699852</v>
      </c>
      <c r="F191" s="7">
        <f t="shared" si="53"/>
        <v>227298015.16230583</v>
      </c>
      <c r="G191" s="7">
        <f t="shared" si="53"/>
        <v>12231433.086853027</v>
      </c>
      <c r="H191" s="7">
        <f t="shared" si="53"/>
        <v>17214043.611982197</v>
      </c>
      <c r="I191" s="7">
        <f t="shared" si="53"/>
        <v>26153248.961303353</v>
      </c>
      <c r="J191" s="7">
        <f t="shared" si="53"/>
        <v>2443.0979192554951</v>
      </c>
      <c r="K191" s="7">
        <f t="shared" si="53"/>
        <v>5081.17950219661</v>
      </c>
      <c r="L191" s="7">
        <f t="shared" si="53"/>
        <v>326543.05206272006</v>
      </c>
      <c r="M191" s="7">
        <f t="shared" si="53"/>
        <v>341245387.49766725</v>
      </c>
    </row>
    <row r="193" spans="1:14" ht="13">
      <c r="B193" s="44" t="s">
        <v>2678</v>
      </c>
      <c r="C193" s="14"/>
      <c r="D193" s="14"/>
      <c r="E193" s="14"/>
      <c r="F193" s="14"/>
      <c r="G193" s="14"/>
    </row>
    <row r="194" spans="1:14" ht="13">
      <c r="A194" s="382"/>
      <c r="B194" s="351" t="s">
        <v>358</v>
      </c>
      <c r="C194" s="351" t="s">
        <v>342</v>
      </c>
      <c r="D194" s="351" t="s">
        <v>343</v>
      </c>
      <c r="E194" s="351" t="s">
        <v>344</v>
      </c>
      <c r="F194" s="351" t="s">
        <v>345</v>
      </c>
      <c r="G194" s="351" t="s">
        <v>346</v>
      </c>
      <c r="H194" s="84" t="s">
        <v>347</v>
      </c>
      <c r="I194" s="84" t="s">
        <v>534</v>
      </c>
      <c r="J194" s="84" t="s">
        <v>949</v>
      </c>
      <c r="K194" s="84" t="s">
        <v>961</v>
      </c>
      <c r="L194" s="84" t="s">
        <v>964</v>
      </c>
      <c r="M194" s="84" t="s">
        <v>982</v>
      </c>
    </row>
    <row r="195" spans="1:14" ht="13">
      <c r="A195" s="227"/>
      <c r="B195" s="438"/>
      <c r="C195" s="235"/>
      <c r="D195" s="235"/>
      <c r="E195" s="235"/>
      <c r="F195" s="500"/>
      <c r="G195" s="235"/>
      <c r="H195" s="227"/>
      <c r="I195" s="227"/>
      <c r="J195" s="227"/>
      <c r="K195" s="227"/>
      <c r="L195" s="227"/>
      <c r="M195" s="243" t="s">
        <v>1214</v>
      </c>
    </row>
    <row r="196" spans="1:14" ht="13">
      <c r="A196" s="227"/>
      <c r="B196" s="109"/>
      <c r="C196" s="351"/>
      <c r="D196" s="351"/>
      <c r="E196" s="235"/>
      <c r="F196" s="235"/>
      <c r="G196" s="235"/>
      <c r="H196" s="227"/>
      <c r="I196" s="227"/>
      <c r="J196" s="227"/>
      <c r="K196" s="227"/>
      <c r="L196" s="227"/>
    </row>
    <row r="197" spans="1:14" ht="13">
      <c r="A197" s="51"/>
      <c r="B197" s="122" t="s">
        <v>1748</v>
      </c>
      <c r="C197" s="351">
        <v>350.1</v>
      </c>
      <c r="D197" s="351">
        <v>350.2</v>
      </c>
      <c r="E197" s="351">
        <v>352</v>
      </c>
      <c r="F197" s="351">
        <v>353</v>
      </c>
      <c r="G197" s="351">
        <v>354</v>
      </c>
      <c r="H197" s="84">
        <v>355</v>
      </c>
      <c r="I197" s="84">
        <v>356</v>
      </c>
      <c r="J197" s="84">
        <v>357</v>
      </c>
      <c r="K197" s="84">
        <v>358</v>
      </c>
      <c r="L197" s="84">
        <v>359</v>
      </c>
      <c r="M197" s="3" t="s">
        <v>196</v>
      </c>
    </row>
    <row r="198" spans="1:14" ht="13">
      <c r="A198" s="549">
        <f>A191+1</f>
        <v>108</v>
      </c>
      <c r="B198" s="700" t="s">
        <v>2713</v>
      </c>
      <c r="C198" s="477">
        <f>C$191*C167</f>
        <v>8066.5406289939583</v>
      </c>
      <c r="D198" s="477">
        <f t="shared" ref="D198:L198" si="54">D$191*D167</f>
        <v>1229347.521208467</v>
      </c>
      <c r="E198" s="477">
        <f t="shared" si="54"/>
        <v>2279832.3208071603</v>
      </c>
      <c r="F198" s="477">
        <f t="shared" si="54"/>
        <v>3701658.1848165202</v>
      </c>
      <c r="G198" s="477">
        <f t="shared" si="54"/>
        <v>-608825.79286197328</v>
      </c>
      <c r="H198" s="477">
        <f t="shared" si="54"/>
        <v>1919959.4139001828</v>
      </c>
      <c r="I198" s="477">
        <f t="shared" si="54"/>
        <v>968924.37922864663</v>
      </c>
      <c r="J198" s="477">
        <f t="shared" si="54"/>
        <v>5.5431679140333354E-2</v>
      </c>
      <c r="K198" s="477">
        <f t="shared" si="54"/>
        <v>-214.30555286459298</v>
      </c>
      <c r="L198" s="477">
        <f t="shared" si="54"/>
        <v>43264.520619521456</v>
      </c>
      <c r="M198" s="477">
        <f t="shared" ref="M198:M210" si="55">SUM(C198:L198)</f>
        <v>9542012.8382263333</v>
      </c>
      <c r="N198" s="14"/>
    </row>
    <row r="199" spans="1:14" ht="13">
      <c r="A199" s="549">
        <f t="shared" ref="A199:A210" si="56">A198+1</f>
        <v>109</v>
      </c>
      <c r="B199" s="699" t="s">
        <v>2714</v>
      </c>
      <c r="C199" s="477">
        <f t="shared" ref="C199:L209" si="57">C$191*C168</f>
        <v>-4.9984955624676081E-8</v>
      </c>
      <c r="D199" s="477">
        <f t="shared" si="57"/>
        <v>0</v>
      </c>
      <c r="E199" s="477">
        <f t="shared" si="57"/>
        <v>3198406.4102099543</v>
      </c>
      <c r="F199" s="477">
        <f t="shared" si="57"/>
        <v>22067344.693999704</v>
      </c>
      <c r="G199" s="477">
        <f t="shared" si="57"/>
        <v>-132524.21144963082</v>
      </c>
      <c r="H199" s="477">
        <f t="shared" si="57"/>
        <v>1790790.4392588828</v>
      </c>
      <c r="I199" s="477">
        <f t="shared" si="57"/>
        <v>286086.01693625504</v>
      </c>
      <c r="J199" s="477">
        <f t="shared" si="57"/>
        <v>9.4102529524472232</v>
      </c>
      <c r="K199" s="477">
        <f t="shared" si="57"/>
        <v>-78.939289164775801</v>
      </c>
      <c r="L199" s="477">
        <f t="shared" si="57"/>
        <v>4964.5893563269547</v>
      </c>
      <c r="M199" s="477">
        <f t="shared" si="55"/>
        <v>27214998.409275226</v>
      </c>
      <c r="N199" s="14"/>
    </row>
    <row r="200" spans="1:14" ht="13">
      <c r="A200" s="549">
        <f t="shared" si="56"/>
        <v>110</v>
      </c>
      <c r="B200" s="699" t="s">
        <v>2715</v>
      </c>
      <c r="C200" s="477">
        <f t="shared" si="57"/>
        <v>8622.6386293927262</v>
      </c>
      <c r="D200" s="477">
        <f t="shared" si="57"/>
        <v>5486.4586575733829</v>
      </c>
      <c r="E200" s="477">
        <f t="shared" si="57"/>
        <v>2684022.7530439692</v>
      </c>
      <c r="F200" s="477">
        <f t="shared" si="57"/>
        <v>9713659.8837221991</v>
      </c>
      <c r="G200" s="477">
        <f t="shared" si="57"/>
        <v>768928.43013433833</v>
      </c>
      <c r="H200" s="477">
        <f t="shared" si="57"/>
        <v>2290235.4605956017</v>
      </c>
      <c r="I200" s="477">
        <f t="shared" si="57"/>
        <v>715713.9873132254</v>
      </c>
      <c r="J200" s="477">
        <f t="shared" si="57"/>
        <v>0.10663720997603707</v>
      </c>
      <c r="K200" s="477">
        <f t="shared" si="57"/>
        <v>400.8935815684095</v>
      </c>
      <c r="L200" s="477">
        <f t="shared" si="57"/>
        <v>903.63526424777297</v>
      </c>
      <c r="M200" s="477">
        <f t="shared" si="55"/>
        <v>16187974.247579327</v>
      </c>
      <c r="N200" s="14"/>
    </row>
    <row r="201" spans="1:14" ht="13">
      <c r="A201" s="549">
        <f t="shared" si="56"/>
        <v>111</v>
      </c>
      <c r="B201" s="700" t="s">
        <v>2716</v>
      </c>
      <c r="C201" s="477">
        <f t="shared" si="57"/>
        <v>47274.032570606731</v>
      </c>
      <c r="D201" s="477">
        <f t="shared" si="57"/>
        <v>863.36707198388262</v>
      </c>
      <c r="E201" s="477">
        <f t="shared" si="57"/>
        <v>7281610.7936385451</v>
      </c>
      <c r="F201" s="477">
        <f t="shared" si="57"/>
        <v>5844240.7126195757</v>
      </c>
      <c r="G201" s="477">
        <f t="shared" si="57"/>
        <v>3751251.4057292873</v>
      </c>
      <c r="H201" s="477">
        <f t="shared" si="57"/>
        <v>1121613.8879962703</v>
      </c>
      <c r="I201" s="477">
        <f t="shared" si="57"/>
        <v>1092137.0754221268</v>
      </c>
      <c r="J201" s="477">
        <f t="shared" si="57"/>
        <v>-18.235336431864727</v>
      </c>
      <c r="K201" s="477">
        <f t="shared" si="57"/>
        <v>-157.44090712058104</v>
      </c>
      <c r="L201" s="477">
        <f t="shared" si="57"/>
        <v>716.79062447654735</v>
      </c>
      <c r="M201" s="477">
        <f t="shared" si="55"/>
        <v>19139532.389429323</v>
      </c>
      <c r="N201" s="14"/>
    </row>
    <row r="202" spans="1:14" ht="13">
      <c r="A202" s="549">
        <f t="shared" si="56"/>
        <v>112</v>
      </c>
      <c r="B202" s="699" t="s">
        <v>2717</v>
      </c>
      <c r="C202" s="477">
        <f t="shared" si="57"/>
        <v>52922.563291348903</v>
      </c>
      <c r="D202" s="477">
        <f t="shared" si="57"/>
        <v>-3384.0080432479886</v>
      </c>
      <c r="E202" s="477">
        <f t="shared" si="57"/>
        <v>18688721.761377562</v>
      </c>
      <c r="F202" s="477">
        <f t="shared" si="57"/>
        <v>28148772.551658172</v>
      </c>
      <c r="G202" s="477">
        <f t="shared" si="57"/>
        <v>103710.50903891018</v>
      </c>
      <c r="H202" s="477">
        <f t="shared" si="57"/>
        <v>577640.23213822918</v>
      </c>
      <c r="I202" s="477">
        <f t="shared" si="57"/>
        <v>195936.04765199887</v>
      </c>
      <c r="J202" s="477">
        <f t="shared" si="57"/>
        <v>8.2466862972601605E-3</v>
      </c>
      <c r="K202" s="477">
        <f t="shared" si="57"/>
        <v>244.54860557173922</v>
      </c>
      <c r="L202" s="477">
        <f t="shared" si="57"/>
        <v>970.93722037062048</v>
      </c>
      <c r="M202" s="477">
        <f t="shared" si="55"/>
        <v>47765535.151185602</v>
      </c>
      <c r="N202" s="14"/>
    </row>
    <row r="203" spans="1:14" ht="13">
      <c r="A203" s="549">
        <f t="shared" si="56"/>
        <v>113</v>
      </c>
      <c r="B203" s="699" t="s">
        <v>2718</v>
      </c>
      <c r="C203" s="477">
        <f t="shared" si="57"/>
        <v>0</v>
      </c>
      <c r="D203" s="477">
        <f t="shared" si="57"/>
        <v>-10.916438947694928</v>
      </c>
      <c r="E203" s="477">
        <f t="shared" si="57"/>
        <v>-7189166.9286951609</v>
      </c>
      <c r="F203" s="477">
        <f t="shared" si="57"/>
        <v>37503970.936209477</v>
      </c>
      <c r="G203" s="477">
        <f t="shared" si="57"/>
        <v>218605.53761489663</v>
      </c>
      <c r="H203" s="477">
        <f t="shared" si="57"/>
        <v>4725096.6331133461</v>
      </c>
      <c r="I203" s="477">
        <f t="shared" si="57"/>
        <v>-6962360.7104292549</v>
      </c>
      <c r="J203" s="477">
        <f t="shared" si="57"/>
        <v>1874.3642367998368</v>
      </c>
      <c r="K203" s="477">
        <f t="shared" si="57"/>
        <v>3750.4541533552074</v>
      </c>
      <c r="L203" s="477">
        <f t="shared" si="57"/>
        <v>256671.05573828332</v>
      </c>
      <c r="M203" s="477">
        <f t="shared" si="55"/>
        <v>28558430.425502792</v>
      </c>
      <c r="N203" s="14"/>
    </row>
    <row r="204" spans="1:14" ht="13">
      <c r="A204" s="549">
        <f t="shared" si="56"/>
        <v>114</v>
      </c>
      <c r="B204" s="700" t="s">
        <v>2719</v>
      </c>
      <c r="C204" s="477">
        <f t="shared" si="57"/>
        <v>-7.4977433437014122E-8</v>
      </c>
      <c r="D204" s="477">
        <f t="shared" si="57"/>
        <v>0</v>
      </c>
      <c r="E204" s="477">
        <f t="shared" si="57"/>
        <v>18138011.394019268</v>
      </c>
      <c r="F204" s="477">
        <f t="shared" si="57"/>
        <v>16172266.03911064</v>
      </c>
      <c r="G204" s="477">
        <f t="shared" si="57"/>
        <v>951995.00278837106</v>
      </c>
      <c r="H204" s="477">
        <f t="shared" si="57"/>
        <v>979895.62979061529</v>
      </c>
      <c r="I204" s="477">
        <f t="shared" si="57"/>
        <v>1264337.6027788038</v>
      </c>
      <c r="J204" s="477">
        <f t="shared" si="57"/>
        <v>180.4583176153906</v>
      </c>
      <c r="K204" s="477">
        <f t="shared" si="57"/>
        <v>-197.36931104288362</v>
      </c>
      <c r="L204" s="477">
        <f t="shared" si="57"/>
        <v>11851.29262716079</v>
      </c>
      <c r="M204" s="477">
        <f t="shared" si="55"/>
        <v>37518340.05012136</v>
      </c>
      <c r="N204" s="14"/>
    </row>
    <row r="205" spans="1:14" ht="13">
      <c r="A205" s="549">
        <f t="shared" si="56"/>
        <v>115</v>
      </c>
      <c r="B205" s="699" t="s">
        <v>2720</v>
      </c>
      <c r="C205" s="477">
        <f t="shared" si="57"/>
        <v>0</v>
      </c>
      <c r="D205" s="477">
        <f t="shared" si="57"/>
        <v>1109.907938577911</v>
      </c>
      <c r="E205" s="477">
        <f t="shared" si="57"/>
        <v>2291846.120283647</v>
      </c>
      <c r="F205" s="477">
        <f t="shared" si="57"/>
        <v>52788340.922570363</v>
      </c>
      <c r="G205" s="477">
        <f t="shared" si="57"/>
        <v>7514608.9520956399</v>
      </c>
      <c r="H205" s="477">
        <f t="shared" si="57"/>
        <v>-475292.99662990845</v>
      </c>
      <c r="I205" s="477">
        <f t="shared" si="57"/>
        <v>-1014102.6019015283</v>
      </c>
      <c r="J205" s="477">
        <f t="shared" si="57"/>
        <v>1.0884606425702408</v>
      </c>
      <c r="K205" s="477">
        <f t="shared" si="57"/>
        <v>109.14574057462869</v>
      </c>
      <c r="L205" s="477">
        <f t="shared" si="57"/>
        <v>1371.286210271867</v>
      </c>
      <c r="M205" s="477">
        <f t="shared" si="55"/>
        <v>61107991.824768275</v>
      </c>
      <c r="N205" s="14"/>
    </row>
    <row r="206" spans="1:14" ht="13">
      <c r="A206" s="549">
        <f t="shared" si="56"/>
        <v>116</v>
      </c>
      <c r="B206" s="699" t="s">
        <v>2721</v>
      </c>
      <c r="C206" s="477">
        <f t="shared" si="57"/>
        <v>0</v>
      </c>
      <c r="D206" s="477">
        <f t="shared" si="57"/>
        <v>11645.416004834809</v>
      </c>
      <c r="E206" s="477">
        <f t="shared" si="57"/>
        <v>3517285.152907955</v>
      </c>
      <c r="F206" s="477">
        <f t="shared" si="57"/>
        <v>13889536.16703134</v>
      </c>
      <c r="G206" s="477">
        <f t="shared" si="57"/>
        <v>-1686693.1402925726</v>
      </c>
      <c r="H206" s="477">
        <f t="shared" si="57"/>
        <v>1765449.617765418</v>
      </c>
      <c r="I206" s="477">
        <f t="shared" si="57"/>
        <v>-12863.446522437149</v>
      </c>
      <c r="J206" s="477">
        <f t="shared" si="57"/>
        <v>-3.0967969056272691</v>
      </c>
      <c r="K206" s="477">
        <f t="shared" si="57"/>
        <v>-129.14468805718059</v>
      </c>
      <c r="L206" s="477">
        <f t="shared" si="57"/>
        <v>4818.8787492747142</v>
      </c>
      <c r="M206" s="477">
        <f t="shared" si="55"/>
        <v>17489046.404158846</v>
      </c>
      <c r="N206" s="14"/>
    </row>
    <row r="207" spans="1:14" ht="13">
      <c r="A207" s="549">
        <f t="shared" si="56"/>
        <v>117</v>
      </c>
      <c r="B207" s="700" t="s">
        <v>2722</v>
      </c>
      <c r="C207" s="477">
        <f t="shared" si="57"/>
        <v>2.4992477812338041E-8</v>
      </c>
      <c r="D207" s="477">
        <f t="shared" si="57"/>
        <v>24779.490267630084</v>
      </c>
      <c r="E207" s="477">
        <f t="shared" si="57"/>
        <v>2166373.7209709389</v>
      </c>
      <c r="F207" s="477">
        <f t="shared" si="57"/>
        <v>4627412.4173164777</v>
      </c>
      <c r="G207" s="477">
        <f t="shared" si="57"/>
        <v>35008.026966584584</v>
      </c>
      <c r="H207" s="477">
        <f t="shared" si="57"/>
        <v>-437998.12218839</v>
      </c>
      <c r="I207" s="477">
        <f t="shared" si="57"/>
        <v>5504730.3819497284</v>
      </c>
      <c r="J207" s="477">
        <f t="shared" si="57"/>
        <v>352.94895096993605</v>
      </c>
      <c r="K207" s="477">
        <f t="shared" si="57"/>
        <v>1290.7704481390781</v>
      </c>
      <c r="L207" s="477">
        <f t="shared" si="57"/>
        <v>-1610.7561023288656</v>
      </c>
      <c r="M207" s="477">
        <f t="shared" si="55"/>
        <v>11920338.878579775</v>
      </c>
      <c r="N207" s="14"/>
    </row>
    <row r="208" spans="1:14" ht="13">
      <c r="A208" s="549">
        <f t="shared" si="56"/>
        <v>118</v>
      </c>
      <c r="B208" s="700" t="s">
        <v>2723</v>
      </c>
      <c r="C208" s="477">
        <f t="shared" si="57"/>
        <v>0</v>
      </c>
      <c r="D208" s="477">
        <f t="shared" si="57"/>
        <v>1.0091043218053193E-8</v>
      </c>
      <c r="E208" s="477">
        <f t="shared" si="57"/>
        <v>2541818.2210348281</v>
      </c>
      <c r="F208" s="477">
        <f t="shared" si="57"/>
        <v>18736367.446398925</v>
      </c>
      <c r="G208" s="477">
        <f t="shared" si="57"/>
        <v>468217.13859581685</v>
      </c>
      <c r="H208" s="477">
        <f t="shared" si="57"/>
        <v>527846.23605123523</v>
      </c>
      <c r="I208" s="477">
        <f t="shared" si="57"/>
        <v>346007.26293311908</v>
      </c>
      <c r="J208" s="477">
        <f t="shared" si="57"/>
        <v>9.3794362525985644</v>
      </c>
      <c r="K208" s="477">
        <f t="shared" si="57"/>
        <v>-54.380746994203939</v>
      </c>
      <c r="L208" s="477">
        <f t="shared" si="57"/>
        <v>1650.0079874406902</v>
      </c>
      <c r="M208" s="477">
        <f t="shared" si="55"/>
        <v>22621861.311690632</v>
      </c>
      <c r="N208" s="14"/>
    </row>
    <row r="209" spans="1:44" ht="13">
      <c r="A209" s="549">
        <f t="shared" si="56"/>
        <v>119</v>
      </c>
      <c r="B209" s="699" t="s">
        <v>2724</v>
      </c>
      <c r="C209" s="110">
        <f t="shared" si="57"/>
        <v>-2.4992477812338041E-8</v>
      </c>
      <c r="D209" s="110">
        <f t="shared" si="57"/>
        <v>-10956.955747716906</v>
      </c>
      <c r="E209" s="110">
        <f t="shared" si="57"/>
        <v>1040051.570101188</v>
      </c>
      <c r="F209" s="110">
        <f t="shared" si="57"/>
        <v>14104445.206852434</v>
      </c>
      <c r="G209" s="110">
        <f t="shared" si="57"/>
        <v>847151.22849335941</v>
      </c>
      <c r="H209" s="110">
        <f t="shared" si="57"/>
        <v>2428807.1801907136</v>
      </c>
      <c r="I209" s="110">
        <f t="shared" si="57"/>
        <v>23768702.96594267</v>
      </c>
      <c r="J209" s="110">
        <f t="shared" si="57"/>
        <v>36.610081784793934</v>
      </c>
      <c r="K209" s="110">
        <f t="shared" si="57"/>
        <v>116.9474682317652</v>
      </c>
      <c r="L209" s="110">
        <f t="shared" si="57"/>
        <v>970.81376767418408</v>
      </c>
      <c r="M209" s="110">
        <f t="shared" si="55"/>
        <v>42179325.56715031</v>
      </c>
      <c r="N209" s="14"/>
    </row>
    <row r="210" spans="1:44" ht="13">
      <c r="A210" s="549">
        <f t="shared" si="56"/>
        <v>120</v>
      </c>
      <c r="B210" s="1049" t="s">
        <v>4</v>
      </c>
      <c r="C210" s="229">
        <f t="shared" ref="C210:L210" si="58">SUM(C198:C209)</f>
        <v>116885.77512021735</v>
      </c>
      <c r="D210" s="229">
        <f t="shared" si="58"/>
        <v>1258880.2809191644</v>
      </c>
      <c r="E210" s="229">
        <f t="shared" si="58"/>
        <v>56638813.289699845</v>
      </c>
      <c r="F210" s="229">
        <f t="shared" si="58"/>
        <v>227298015.16230583</v>
      </c>
      <c r="G210" s="229">
        <f t="shared" si="58"/>
        <v>12231433.086853029</v>
      </c>
      <c r="H210" s="229">
        <f t="shared" si="58"/>
        <v>17214043.611982197</v>
      </c>
      <c r="I210" s="229">
        <f t="shared" si="58"/>
        <v>26153248.961303353</v>
      </c>
      <c r="J210" s="229">
        <f t="shared" si="58"/>
        <v>2443.0979192554955</v>
      </c>
      <c r="K210" s="229">
        <f t="shared" si="58"/>
        <v>5081.17950219661</v>
      </c>
      <c r="L210" s="229">
        <f t="shared" si="58"/>
        <v>326543.05206272006</v>
      </c>
      <c r="M210" s="477">
        <f t="shared" si="55"/>
        <v>341245387.49766779</v>
      </c>
      <c r="N210" s="14"/>
    </row>
    <row r="211" spans="1:44">
      <c r="C211" s="14"/>
      <c r="D211" s="14"/>
      <c r="E211" s="14"/>
      <c r="F211" s="14"/>
      <c r="G211" s="14"/>
      <c r="H211" s="14"/>
      <c r="I211" s="14"/>
      <c r="J211" s="14"/>
      <c r="K211" s="14"/>
      <c r="L211" s="14"/>
      <c r="M211" s="14"/>
    </row>
    <row r="212" spans="1:44" ht="13">
      <c r="B212" s="385" t="s">
        <v>230</v>
      </c>
    </row>
    <row r="213" spans="1:44">
      <c r="B213" s="465" t="s">
        <v>1844</v>
      </c>
      <c r="C213" s="14"/>
      <c r="D213" s="14"/>
      <c r="E213" s="14"/>
      <c r="F213" s="14"/>
      <c r="G213" s="14"/>
      <c r="H213" s="14"/>
      <c r="I213" s="14"/>
      <c r="J213" s="14"/>
      <c r="K213" s="14"/>
      <c r="L213" s="14"/>
    </row>
    <row r="214" spans="1:44">
      <c r="B214" s="859" t="s">
        <v>1867</v>
      </c>
      <c r="C214" s="465"/>
      <c r="D214" s="465"/>
      <c r="E214" s="465"/>
      <c r="F214" s="465"/>
      <c r="G214" s="465"/>
      <c r="H214" s="465"/>
      <c r="I214" s="14"/>
      <c r="J214" s="465"/>
      <c r="K214" s="465"/>
      <c r="L214" s="465"/>
      <c r="M214" s="465"/>
      <c r="N214" s="463"/>
      <c r="O214" s="463"/>
      <c r="P214" s="463"/>
      <c r="Q214" s="463"/>
      <c r="R214" s="463"/>
      <c r="S214" s="463"/>
      <c r="T214" s="463"/>
      <c r="U214" s="463"/>
      <c r="V214" s="463"/>
      <c r="W214" s="463"/>
      <c r="X214" s="463"/>
      <c r="Y214" s="463"/>
      <c r="Z214" s="463"/>
      <c r="AA214" s="463"/>
      <c r="AB214" s="463"/>
      <c r="AC214" s="463"/>
      <c r="AD214" s="463"/>
      <c r="AE214" s="463"/>
      <c r="AF214" s="463"/>
      <c r="AG214" s="463"/>
      <c r="AH214" s="463"/>
      <c r="AI214" s="463"/>
      <c r="AJ214" s="463"/>
      <c r="AK214" s="463"/>
      <c r="AL214" s="463"/>
      <c r="AM214" s="463"/>
      <c r="AN214" s="463"/>
      <c r="AO214" s="463"/>
      <c r="AP214" s="463"/>
      <c r="AQ214" s="463"/>
      <c r="AR214" s="463"/>
    </row>
    <row r="215" spans="1:44">
      <c r="B215" s="1044" t="s">
        <v>1845</v>
      </c>
      <c r="C215" s="14"/>
      <c r="D215" s="14"/>
      <c r="E215" s="14"/>
      <c r="F215" s="14"/>
      <c r="G215" s="14"/>
      <c r="H215" s="14"/>
      <c r="I215" s="14"/>
      <c r="J215" s="14"/>
      <c r="K215" s="14"/>
      <c r="L215" s="14"/>
      <c r="M215" s="14"/>
    </row>
    <row r="216" spans="1:44">
      <c r="B216" s="462" t="s">
        <v>2356</v>
      </c>
      <c r="C216" s="14"/>
      <c r="D216" s="14"/>
      <c r="E216" s="14"/>
      <c r="F216" s="14"/>
      <c r="G216" s="14"/>
      <c r="H216" s="14"/>
      <c r="I216" s="14"/>
      <c r="J216" s="14"/>
      <c r="K216" s="14"/>
      <c r="L216" s="14"/>
      <c r="M216" s="14"/>
    </row>
    <row r="217" spans="1:44">
      <c r="B217" s="462" t="s">
        <v>2357</v>
      </c>
      <c r="C217" s="14"/>
      <c r="D217" s="14"/>
      <c r="E217" s="14"/>
      <c r="F217" s="14"/>
      <c r="G217" s="14"/>
      <c r="H217" s="14"/>
      <c r="I217" s="14"/>
      <c r="J217" s="14"/>
      <c r="K217" s="14"/>
      <c r="L217" s="14"/>
      <c r="M217" s="14"/>
    </row>
    <row r="218" spans="1:44">
      <c r="B218" s="112" t="s">
        <v>1846</v>
      </c>
      <c r="C218" s="14"/>
      <c r="D218" s="14"/>
      <c r="E218" s="14"/>
      <c r="F218" s="14"/>
      <c r="G218" s="14"/>
      <c r="H218" s="14"/>
      <c r="I218" s="14"/>
      <c r="J218" s="14"/>
      <c r="K218" s="14"/>
      <c r="L218" s="14"/>
      <c r="M218" s="14"/>
    </row>
    <row r="219" spans="1:44">
      <c r="B219" s="465" t="s">
        <v>1847</v>
      </c>
      <c r="C219" s="14"/>
      <c r="D219" s="14"/>
      <c r="E219" s="14"/>
      <c r="F219" s="14"/>
      <c r="G219" s="14"/>
      <c r="H219" s="14"/>
      <c r="I219" s="14"/>
      <c r="J219" s="14"/>
      <c r="K219" s="14"/>
      <c r="L219" s="14"/>
      <c r="M219" s="14"/>
    </row>
    <row r="220" spans="1:44">
      <c r="B220" s="462" t="s">
        <v>2358</v>
      </c>
      <c r="C220" s="14"/>
      <c r="D220" s="14"/>
      <c r="E220" s="14"/>
      <c r="F220" s="14"/>
      <c r="G220" s="14"/>
      <c r="H220" s="14"/>
      <c r="I220" s="14"/>
      <c r="J220" s="14"/>
      <c r="K220" s="14"/>
      <c r="L220" s="14"/>
      <c r="M220" s="14"/>
    </row>
    <row r="221" spans="1:44">
      <c r="B221" s="462" t="s">
        <v>2359</v>
      </c>
      <c r="C221" s="14"/>
      <c r="D221" s="14"/>
      <c r="E221" s="14"/>
      <c r="F221" s="14"/>
      <c r="G221" s="14"/>
      <c r="H221" s="14"/>
      <c r="I221" s="14"/>
      <c r="J221" s="14"/>
      <c r="K221" s="14"/>
      <c r="L221" s="14"/>
      <c r="M221" s="14"/>
    </row>
    <row r="222" spans="1:44">
      <c r="B222" s="462" t="s">
        <v>2360</v>
      </c>
      <c r="C222" s="14"/>
      <c r="D222" s="14"/>
      <c r="E222" s="14"/>
      <c r="F222" s="14"/>
      <c r="G222" s="14"/>
      <c r="H222" s="14"/>
      <c r="I222" s="14"/>
      <c r="J222" s="14"/>
      <c r="K222" s="14"/>
      <c r="L222" s="14"/>
      <c r="M222" s="14"/>
    </row>
    <row r="223" spans="1:44">
      <c r="B223" s="465" t="str">
        <f>"2) Amounts on Line "&amp;A35&amp;" must match 6-Plant Study amounts for Distribution Plant - ISO for previous year."</f>
        <v>2) Amounts on Line 15 must match 6-Plant Study amounts for Distribution Plant - ISO for previous year.</v>
      </c>
      <c r="C223" s="14"/>
      <c r="D223" s="14"/>
      <c r="E223" s="14"/>
      <c r="F223" s="14"/>
      <c r="G223" s="14"/>
      <c r="H223" s="14"/>
      <c r="I223" s="14"/>
      <c r="J223" s="14"/>
      <c r="K223" s="14"/>
      <c r="L223" s="14"/>
    </row>
    <row r="224" spans="1:44">
      <c r="B224" s="462" t="str">
        <f>"Amounts on Line "&amp;A36&amp;" must match amounts on 6-PlantStudy for Distribution Plant - ISO."</f>
        <v>Amounts on Line 16 must match amounts on 6-PlantStudy for Distribution Plant - ISO.</v>
      </c>
      <c r="C224" s="14"/>
      <c r="D224" s="14"/>
      <c r="E224" s="14"/>
      <c r="F224" s="14"/>
      <c r="G224" s="14"/>
      <c r="H224" s="14"/>
      <c r="I224" s="14"/>
      <c r="J224" s="14"/>
      <c r="K224" s="14"/>
      <c r="L224" s="14"/>
    </row>
    <row r="225" spans="2:12">
      <c r="B225" s="1066" t="s">
        <v>2547</v>
      </c>
      <c r="C225" s="14"/>
      <c r="D225" s="14"/>
      <c r="E225" s="14"/>
      <c r="F225" s="14"/>
      <c r="G225" s="14"/>
      <c r="H225" s="961" t="s">
        <v>2710</v>
      </c>
      <c r="I225" s="1231"/>
      <c r="J225" s="14"/>
      <c r="K225" s="14"/>
      <c r="L225" s="14"/>
    </row>
    <row r="226" spans="2:12">
      <c r="B226" s="465" t="s">
        <v>2545</v>
      </c>
      <c r="C226" s="14"/>
      <c r="D226" s="14"/>
      <c r="E226" s="14"/>
      <c r="F226" s="14"/>
      <c r="G226" s="14"/>
      <c r="H226" s="14"/>
      <c r="I226" s="14"/>
      <c r="J226" s="14"/>
      <c r="K226" s="14"/>
      <c r="L226" s="14"/>
    </row>
    <row r="227" spans="2:12">
      <c r="B227" s="465" t="s">
        <v>2361</v>
      </c>
      <c r="C227" s="14"/>
      <c r="D227" s="14"/>
      <c r="E227" s="14"/>
      <c r="F227" s="14"/>
      <c r="G227" s="14"/>
      <c r="H227" s="14"/>
      <c r="I227" s="14"/>
      <c r="J227" s="14"/>
      <c r="K227" s="14"/>
      <c r="L227" s="14"/>
    </row>
    <row r="228" spans="2:12">
      <c r="B228" s="465" t="s">
        <v>2546</v>
      </c>
      <c r="C228" s="14"/>
      <c r="D228" s="14"/>
      <c r="E228" s="14"/>
      <c r="F228" s="14"/>
      <c r="G228" s="14"/>
      <c r="H228" s="14"/>
      <c r="I228" s="14"/>
      <c r="J228" s="14"/>
      <c r="L228" s="14"/>
    </row>
    <row r="229" spans="2:12">
      <c r="B229" s="463" t="s">
        <v>2362</v>
      </c>
      <c r="C229" s="14"/>
      <c r="D229" s="14"/>
      <c r="E229" s="14"/>
      <c r="F229" s="14"/>
      <c r="G229" s="14"/>
      <c r="H229" s="14"/>
      <c r="I229" s="14"/>
      <c r="J229" s="14"/>
      <c r="K229" s="14"/>
      <c r="L229" s="14"/>
    </row>
    <row r="230" spans="2:12">
      <c r="B230" s="463" t="s">
        <v>2363</v>
      </c>
      <c r="C230" s="14"/>
      <c r="D230" s="14"/>
      <c r="E230" s="14"/>
      <c r="F230" s="14"/>
      <c r="G230" s="14"/>
      <c r="H230" s="14"/>
      <c r="I230" s="14"/>
      <c r="J230" s="14"/>
      <c r="K230" s="14"/>
      <c r="L230" s="14"/>
    </row>
    <row r="231" spans="2:12">
      <c r="B231" s="955" t="str">
        <f>"9) Amount on Line "&amp;A24&amp;" less amount on Line "&amp;A12&amp;" for each account."</f>
        <v>9) Amount on Line 13 less amount on Line 1 for each account.</v>
      </c>
      <c r="C231" s="14"/>
      <c r="D231" s="14"/>
      <c r="E231" s="14"/>
      <c r="F231" s="14"/>
      <c r="G231" s="14"/>
      <c r="H231" s="14"/>
      <c r="I231" s="14"/>
      <c r="J231" s="14"/>
      <c r="K231" s="14"/>
      <c r="L231" s="14"/>
    </row>
    <row r="232" spans="2:12">
      <c r="B232" s="955" t="str">
        <f>"10) Line "&amp;A143&amp;""</f>
        <v>10) Line 79</v>
      </c>
      <c r="C232" s="14"/>
      <c r="D232" s="14"/>
      <c r="E232" s="14"/>
      <c r="F232" s="14"/>
      <c r="G232" s="14"/>
      <c r="H232" s="14"/>
      <c r="I232" s="14"/>
      <c r="J232" s="14"/>
      <c r="K232" s="14"/>
      <c r="L232" s="14"/>
    </row>
    <row r="233" spans="2:12">
      <c r="B233" s="955" t="str">
        <f>"11) Amount on Line "&amp;A183&amp;" less amount on Line "&amp;A187&amp;" for each account."</f>
        <v>11) Amount on Line 105 less amount on Line 106 for each account.</v>
      </c>
      <c r="C233" s="14"/>
      <c r="D233" s="14"/>
      <c r="E233" s="14"/>
      <c r="F233" s="14"/>
      <c r="G233" s="14"/>
      <c r="H233" s="14"/>
      <c r="I233" s="14"/>
      <c r="J233" s="14"/>
      <c r="K233" s="14"/>
      <c r="L233" s="14"/>
    </row>
    <row r="234" spans="2:12">
      <c r="B234" s="465" t="str">
        <f>"12) For each column (FERC Account) divide Line "&amp;A191&amp;" by Line "&amp;A162&amp;" to arrive at a ratio for each column."</f>
        <v>12) For each column (FERC Account) divide Line 107 by Line 92 to arrive at a ratio for each column.</v>
      </c>
    </row>
    <row r="235" spans="2:12">
      <c r="B235" s="462" t="str">
        <f>"Apply the ratio of each column to each monthly value from Lines "&amp;A150&amp;"-"&amp;A161&amp;" to calculate the values for"</f>
        <v>Apply the ratio of each column to each monthly value from Lines 80-91 to calculate the values for</v>
      </c>
    </row>
    <row r="236" spans="2:12">
      <c r="B236" s="462" t="str">
        <f>"the corresponsing months listed in Lines "&amp;A198&amp;"-"&amp;A209&amp;"."</f>
        <v>the corresponsing months listed in Lines 108-119.</v>
      </c>
    </row>
  </sheetData>
  <phoneticPr fontId="23" type="noConversion"/>
  <pageMargins left="0.75" right="0.75" top="1" bottom="1" header="0.5" footer="0.5"/>
  <pageSetup scale="62" orientation="landscape" cellComments="asDisplayed" r:id="rId1"/>
  <headerFooter alignWithMargins="0">
    <oddHeader>&amp;CSchedule 6
Plant In Service
&amp;RTO2022 Annual Update 
Attachment 1</oddHeader>
    <oddFooter>&amp;R&amp;A</oddFooter>
  </headerFooter>
  <rowBreaks count="4" manualBreakCount="4">
    <brk id="38" max="16383" man="1"/>
    <brk id="87" max="12" man="1"/>
    <brk id="125" max="12" man="1"/>
    <brk id="17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zoomScaleNormal="100" zoomScalePageLayoutView="90" workbookViewId="0"/>
  </sheetViews>
  <sheetFormatPr defaultRowHeight="13"/>
  <cols>
    <col min="1" max="1" width="4.54296875" customWidth="1"/>
    <col min="2" max="2" width="25.54296875" style="124" customWidth="1"/>
    <col min="3" max="5" width="15.54296875" style="124" customWidth="1"/>
    <col min="6" max="6" width="12.453125" style="124" customWidth="1"/>
    <col min="8" max="8" width="15.54296875" customWidth="1"/>
  </cols>
  <sheetData>
    <row r="1" spans="1:8">
      <c r="A1" s="1" t="s">
        <v>426</v>
      </c>
      <c r="B1" s="169"/>
      <c r="C1" s="169"/>
      <c r="D1" s="169"/>
      <c r="E1" s="170" t="s">
        <v>446</v>
      </c>
      <c r="F1" s="183"/>
      <c r="G1" s="12"/>
    </row>
    <row r="2" spans="1:8">
      <c r="B2" s="1246" t="s">
        <v>2531</v>
      </c>
      <c r="C2" s="1445" t="s">
        <v>2725</v>
      </c>
      <c r="G2" s="12"/>
    </row>
    <row r="3" spans="1:8">
      <c r="A3" s="860" t="s">
        <v>1718</v>
      </c>
      <c r="B3" s="861"/>
      <c r="C3" s="861"/>
      <c r="D3" s="861"/>
      <c r="E3" s="862" t="s">
        <v>1713</v>
      </c>
      <c r="F3" s="1482">
        <v>2020</v>
      </c>
      <c r="G3" s="12"/>
    </row>
    <row r="4" spans="1:8">
      <c r="A4" s="167"/>
      <c r="B4" s="169"/>
      <c r="C4" s="169"/>
      <c r="D4" s="169"/>
      <c r="E4" s="169"/>
      <c r="F4" s="169"/>
      <c r="G4" s="12"/>
    </row>
    <row r="5" spans="1:8">
      <c r="B5" s="167"/>
      <c r="C5" s="84" t="s">
        <v>358</v>
      </c>
      <c r="E5" s="84" t="s">
        <v>342</v>
      </c>
      <c r="F5" s="84" t="s">
        <v>343</v>
      </c>
      <c r="G5" s="12"/>
    </row>
    <row r="6" spans="1:8">
      <c r="B6" s="167"/>
      <c r="C6" s="84"/>
      <c r="E6" s="84"/>
      <c r="F6" s="84"/>
      <c r="G6" s="12"/>
    </row>
    <row r="7" spans="1:8">
      <c r="A7" s="51" t="s">
        <v>329</v>
      </c>
      <c r="B7" s="167"/>
      <c r="C7" s="168" t="s">
        <v>196</v>
      </c>
      <c r="D7" s="168"/>
      <c r="E7" s="168" t="s">
        <v>1116</v>
      </c>
      <c r="F7" s="168" t="s">
        <v>428</v>
      </c>
      <c r="G7" s="12"/>
    </row>
    <row r="8" spans="1:8">
      <c r="A8" s="2">
        <v>1</v>
      </c>
      <c r="B8" s="160" t="s">
        <v>99</v>
      </c>
      <c r="C8" s="160" t="s">
        <v>371</v>
      </c>
      <c r="D8" s="160" t="s">
        <v>432</v>
      </c>
      <c r="E8" s="160" t="s">
        <v>1117</v>
      </c>
      <c r="F8" s="160" t="s">
        <v>429</v>
      </c>
      <c r="G8" s="171" t="s">
        <v>168</v>
      </c>
    </row>
    <row r="9" spans="1:8" ht="12.75" customHeight="1">
      <c r="A9" s="2">
        <f>A8+1</f>
        <v>2</v>
      </c>
      <c r="B9" s="161" t="s">
        <v>422</v>
      </c>
      <c r="C9" s="172"/>
      <c r="D9" s="172"/>
      <c r="E9" s="172"/>
      <c r="F9" s="173"/>
      <c r="G9" s="12"/>
    </row>
    <row r="10" spans="1:8">
      <c r="A10" s="2">
        <f t="shared" ref="A10:A28" si="0">A9+1</f>
        <v>3</v>
      </c>
      <c r="B10" s="162">
        <v>352</v>
      </c>
      <c r="C10" s="493">
        <v>1253582423</v>
      </c>
      <c r="D10" s="154" t="s">
        <v>433</v>
      </c>
      <c r="E10" s="1453">
        <v>804153066.44668055</v>
      </c>
      <c r="F10" s="156">
        <f>E10/C10</f>
        <v>0.64148399953010549</v>
      </c>
      <c r="G10" s="12"/>
      <c r="H10" s="935"/>
    </row>
    <row r="11" spans="1:8">
      <c r="A11" s="2">
        <f t="shared" si="0"/>
        <v>4</v>
      </c>
      <c r="B11" s="162">
        <v>353</v>
      </c>
      <c r="C11" s="115">
        <v>6970450866</v>
      </c>
      <c r="D11" s="154" t="s">
        <v>434</v>
      </c>
      <c r="E11" s="384">
        <v>3951945554.2101927</v>
      </c>
      <c r="F11" s="157">
        <f>E11/C11</f>
        <v>0.56695694872289093</v>
      </c>
      <c r="G11" s="12"/>
      <c r="H11" s="463"/>
    </row>
    <row r="12" spans="1:8">
      <c r="A12" s="2">
        <f t="shared" si="0"/>
        <v>5</v>
      </c>
      <c r="B12" s="164" t="s">
        <v>417</v>
      </c>
      <c r="C12" s="152">
        <f>SUM(C10:C11)</f>
        <v>8224033289</v>
      </c>
      <c r="D12" s="13" t="str">
        <f>"L "&amp;A10&amp;" + L "&amp;A11&amp;""</f>
        <v>L 3 + L 4</v>
      </c>
      <c r="E12" s="152">
        <f>SUM(E10:E11)</f>
        <v>4756098620.6568737</v>
      </c>
      <c r="F12" s="156">
        <f>E12/C12</f>
        <v>0.57831704390330729</v>
      </c>
      <c r="G12" s="15"/>
    </row>
    <row r="13" spans="1:8">
      <c r="A13" s="2">
        <f t="shared" si="0"/>
        <v>6</v>
      </c>
      <c r="B13" s="174"/>
      <c r="C13" s="175"/>
      <c r="D13" s="175"/>
      <c r="E13" s="175"/>
      <c r="F13" s="156"/>
      <c r="G13" s="12"/>
    </row>
    <row r="14" spans="1:8">
      <c r="A14" s="2">
        <f t="shared" si="0"/>
        <v>7</v>
      </c>
      <c r="B14" s="163" t="s">
        <v>418</v>
      </c>
      <c r="C14" s="176"/>
      <c r="D14" s="176"/>
      <c r="E14" s="176"/>
      <c r="F14" s="177"/>
      <c r="G14" s="12"/>
    </row>
    <row r="15" spans="1:8">
      <c r="A15" s="2">
        <f t="shared" si="0"/>
        <v>8</v>
      </c>
      <c r="B15" s="162">
        <v>350</v>
      </c>
      <c r="C15" s="696">
        <v>347032204</v>
      </c>
      <c r="D15" s="154" t="s">
        <v>435</v>
      </c>
      <c r="E15" s="1454">
        <v>255945465.84704</v>
      </c>
      <c r="F15" s="156">
        <f>E15/C15</f>
        <v>0.73752655487569674</v>
      </c>
      <c r="G15" s="12"/>
      <c r="H15" s="463"/>
    </row>
    <row r="16" spans="1:8">
      <c r="A16" s="2">
        <f t="shared" si="0"/>
        <v>9</v>
      </c>
      <c r="B16" s="162"/>
      <c r="C16" s="152"/>
      <c r="D16" s="152"/>
      <c r="E16" s="152"/>
      <c r="F16" s="156"/>
      <c r="G16" s="12"/>
    </row>
    <row r="17" spans="1:8">
      <c r="A17" s="2">
        <f t="shared" si="0"/>
        <v>10</v>
      </c>
      <c r="B17" s="163" t="s">
        <v>419</v>
      </c>
      <c r="C17" s="152">
        <f>C12+C15</f>
        <v>8571065493</v>
      </c>
      <c r="D17" s="13" t="str">
        <f>"L "&amp;A12&amp;" + L "&amp;A15&amp;""</f>
        <v>L 5 + L 8</v>
      </c>
      <c r="E17" s="152">
        <f>E12+E15</f>
        <v>5012044086.5039139</v>
      </c>
      <c r="F17" s="156">
        <f>E17/C17</f>
        <v>0.58476324683287706</v>
      </c>
      <c r="G17" s="15"/>
    </row>
    <row r="18" spans="1:8">
      <c r="A18" s="2">
        <f t="shared" si="0"/>
        <v>11</v>
      </c>
      <c r="B18" s="174"/>
      <c r="C18" s="175"/>
      <c r="D18" s="175"/>
      <c r="E18" s="175"/>
      <c r="F18" s="156"/>
      <c r="G18" s="12"/>
    </row>
    <row r="19" spans="1:8">
      <c r="A19" s="2">
        <f t="shared" si="0"/>
        <v>12</v>
      </c>
      <c r="B19" s="163" t="s">
        <v>420</v>
      </c>
      <c r="C19" s="175"/>
      <c r="D19" s="175"/>
      <c r="E19" s="175"/>
      <c r="F19" s="156"/>
      <c r="G19" s="12"/>
    </row>
    <row r="20" spans="1:8">
      <c r="A20" s="2">
        <f t="shared" si="0"/>
        <v>13</v>
      </c>
      <c r="B20" s="162">
        <v>354</v>
      </c>
      <c r="C20" s="703">
        <v>2396538521</v>
      </c>
      <c r="D20" s="154" t="s">
        <v>436</v>
      </c>
      <c r="E20" s="1455">
        <v>2302122819.4770331</v>
      </c>
      <c r="F20" s="178">
        <f>E20/C20</f>
        <v>0.96060330318263765</v>
      </c>
      <c r="G20" s="12"/>
      <c r="H20" s="463"/>
    </row>
    <row r="21" spans="1:8">
      <c r="A21" s="2">
        <f t="shared" si="0"/>
        <v>14</v>
      </c>
      <c r="B21" s="162">
        <v>355</v>
      </c>
      <c r="C21" s="703">
        <v>1828031265</v>
      </c>
      <c r="D21" s="154" t="s">
        <v>437</v>
      </c>
      <c r="E21" s="1455">
        <v>431972729.20086581</v>
      </c>
      <c r="F21" s="178">
        <f t="shared" ref="F21:F26" si="1">E21/C21</f>
        <v>0.23630489120811934</v>
      </c>
      <c r="G21" s="12"/>
      <c r="H21" s="463"/>
    </row>
    <row r="22" spans="1:8">
      <c r="A22" s="2">
        <f t="shared" si="0"/>
        <v>15</v>
      </c>
      <c r="B22" s="162">
        <v>356</v>
      </c>
      <c r="C22" s="703">
        <v>1891498739</v>
      </c>
      <c r="D22" s="154" t="s">
        <v>438</v>
      </c>
      <c r="E22" s="1455">
        <v>1449635757.7995038</v>
      </c>
      <c r="F22" s="178">
        <f t="shared" si="1"/>
        <v>0.76639530754638463</v>
      </c>
      <c r="G22" s="12"/>
      <c r="H22" s="463"/>
    </row>
    <row r="23" spans="1:8">
      <c r="A23" s="2">
        <f t="shared" si="0"/>
        <v>16</v>
      </c>
      <c r="B23" s="162">
        <v>357</v>
      </c>
      <c r="C23" s="703">
        <v>325221172</v>
      </c>
      <c r="D23" s="154" t="s">
        <v>439</v>
      </c>
      <c r="E23" s="1455">
        <v>215412775.95431966</v>
      </c>
      <c r="F23" s="178">
        <f t="shared" si="1"/>
        <v>0.66235778756224284</v>
      </c>
      <c r="G23" s="12"/>
      <c r="H23" s="463"/>
    </row>
    <row r="24" spans="1:8">
      <c r="A24" s="2">
        <f t="shared" si="0"/>
        <v>17</v>
      </c>
      <c r="B24" s="162">
        <v>358</v>
      </c>
      <c r="C24" s="703">
        <v>406147584</v>
      </c>
      <c r="D24" s="154" t="s">
        <v>440</v>
      </c>
      <c r="E24" s="1455">
        <v>59261609.025810957</v>
      </c>
      <c r="F24" s="178">
        <f t="shared" si="1"/>
        <v>0.14591151433714045</v>
      </c>
      <c r="G24" s="12"/>
      <c r="H24" s="463"/>
    </row>
    <row r="25" spans="1:8">
      <c r="A25" s="2">
        <f t="shared" si="0"/>
        <v>18</v>
      </c>
      <c r="B25" s="162">
        <v>359</v>
      </c>
      <c r="C25" s="179">
        <v>215837806</v>
      </c>
      <c r="D25" s="154" t="s">
        <v>441</v>
      </c>
      <c r="E25" s="1456">
        <v>192098212.92509732</v>
      </c>
      <c r="F25" s="180">
        <f t="shared" si="1"/>
        <v>0.89001188663443564</v>
      </c>
      <c r="G25" s="12"/>
      <c r="H25" s="463"/>
    </row>
    <row r="26" spans="1:8">
      <c r="A26" s="2">
        <f t="shared" si="0"/>
        <v>19</v>
      </c>
      <c r="B26" s="164" t="s">
        <v>421</v>
      </c>
      <c r="C26" s="152">
        <f>SUM(C20:C25)</f>
        <v>7063275087</v>
      </c>
      <c r="D26" s="155" t="str">
        <f>"Sum L"&amp;A20&amp;" to L"&amp;A25&amp;""</f>
        <v>Sum L13 to L18</v>
      </c>
      <c r="E26" s="152">
        <f>SUM(E20:E25)</f>
        <v>4650503904.3826313</v>
      </c>
      <c r="F26" s="156">
        <f t="shared" si="1"/>
        <v>0.65840617094779608</v>
      </c>
      <c r="G26" s="15"/>
    </row>
    <row r="27" spans="1:8">
      <c r="A27" s="2">
        <f t="shared" si="0"/>
        <v>20</v>
      </c>
      <c r="B27" s="181"/>
      <c r="C27" s="152"/>
      <c r="D27" s="152"/>
      <c r="E27" s="152"/>
      <c r="F27" s="156"/>
      <c r="G27" s="12"/>
    </row>
    <row r="28" spans="1:8">
      <c r="A28" s="2">
        <f t="shared" si="0"/>
        <v>21</v>
      </c>
      <c r="B28" s="182" t="s">
        <v>431</v>
      </c>
      <c r="C28" s="158">
        <f>C17+C26</f>
        <v>15634340580</v>
      </c>
      <c r="D28" s="13" t="str">
        <f>"L "&amp;A17&amp;" + L "&amp;A26&amp;""</f>
        <v>L 10 + L 19</v>
      </c>
      <c r="E28" s="158">
        <f>E17+E26</f>
        <v>9662547990.8865452</v>
      </c>
      <c r="F28" s="159">
        <f>E28/C28</f>
        <v>0.61803361270300183</v>
      </c>
      <c r="G28" s="12" t="s">
        <v>359</v>
      </c>
      <c r="H28" s="14"/>
    </row>
    <row r="29" spans="1:8">
      <c r="A29" s="2"/>
      <c r="B29" s="129"/>
      <c r="C29" s="125"/>
      <c r="D29" s="125"/>
      <c r="E29" s="125"/>
      <c r="F29" s="128"/>
    </row>
    <row r="30" spans="1:8">
      <c r="A30" s="2"/>
      <c r="B30" s="126"/>
      <c r="C30" s="127"/>
      <c r="D30" s="127"/>
      <c r="E30" s="566"/>
      <c r="F30" s="127"/>
    </row>
    <row r="31" spans="1:8">
      <c r="A31" s="167" t="s">
        <v>430</v>
      </c>
      <c r="C31" s="127"/>
      <c r="D31" s="127"/>
      <c r="E31" s="127"/>
      <c r="F31" s="127"/>
    </row>
    <row r="32" spans="1:8">
      <c r="A32" s="2"/>
      <c r="B32" s="132"/>
      <c r="C32" s="127"/>
      <c r="D32" s="127"/>
      <c r="E32" s="127"/>
      <c r="F32" s="127"/>
    </row>
    <row r="33" spans="1:9">
      <c r="A33" s="51" t="s">
        <v>329</v>
      </c>
      <c r="B33" s="167"/>
      <c r="C33" s="168" t="s">
        <v>196</v>
      </c>
      <c r="D33" s="168"/>
      <c r="E33" s="168" t="s">
        <v>305</v>
      </c>
      <c r="F33" s="168" t="s">
        <v>428</v>
      </c>
    </row>
    <row r="34" spans="1:9">
      <c r="A34" s="2">
        <f>A28+1</f>
        <v>22</v>
      </c>
      <c r="B34" s="160" t="s">
        <v>99</v>
      </c>
      <c r="C34" s="160" t="s">
        <v>371</v>
      </c>
      <c r="D34" s="160" t="s">
        <v>432</v>
      </c>
      <c r="E34" s="160" t="s">
        <v>1117</v>
      </c>
      <c r="F34" s="160" t="s">
        <v>429</v>
      </c>
    </row>
    <row r="35" spans="1:9">
      <c r="A35" s="2">
        <f t="shared" ref="A35:A42" si="2">A34+1</f>
        <v>23</v>
      </c>
      <c r="B35" s="161" t="s">
        <v>423</v>
      </c>
      <c r="C35" s="125"/>
      <c r="D35" s="125"/>
      <c r="E35" s="125"/>
      <c r="F35" s="128"/>
    </row>
    <row r="36" spans="1:9">
      <c r="A36" s="2">
        <f t="shared" si="2"/>
        <v>24</v>
      </c>
      <c r="B36" s="162">
        <v>360</v>
      </c>
      <c r="C36" s="696">
        <v>129613197</v>
      </c>
      <c r="D36" s="154" t="s">
        <v>442</v>
      </c>
      <c r="E36" s="936">
        <v>0</v>
      </c>
      <c r="F36" s="156">
        <f>E36/C36</f>
        <v>0</v>
      </c>
      <c r="H36" s="463"/>
    </row>
    <row r="37" spans="1:9">
      <c r="A37" s="2">
        <f t="shared" si="2"/>
        <v>25</v>
      </c>
      <c r="B37" s="163" t="s">
        <v>424</v>
      </c>
      <c r="C37" s="152"/>
      <c r="D37" s="152"/>
      <c r="E37" s="152"/>
      <c r="F37" s="156"/>
    </row>
    <row r="38" spans="1:9">
      <c r="A38" s="2">
        <f t="shared" si="2"/>
        <v>26</v>
      </c>
      <c r="B38" s="162">
        <v>361</v>
      </c>
      <c r="C38" s="696">
        <v>844613530</v>
      </c>
      <c r="D38" s="154" t="s">
        <v>443</v>
      </c>
      <c r="E38" s="151">
        <v>0</v>
      </c>
      <c r="F38" s="156">
        <f>E38/C38</f>
        <v>0</v>
      </c>
      <c r="H38" s="463"/>
    </row>
    <row r="39" spans="1:9">
      <c r="A39" s="2">
        <f t="shared" si="2"/>
        <v>27</v>
      </c>
      <c r="B39" s="162">
        <v>362</v>
      </c>
      <c r="C39" s="153">
        <v>3106963772</v>
      </c>
      <c r="D39" s="154" t="s">
        <v>444</v>
      </c>
      <c r="E39" s="153">
        <v>0</v>
      </c>
      <c r="F39" s="157">
        <f>E39/C39</f>
        <v>0</v>
      </c>
      <c r="H39" s="463"/>
    </row>
    <row r="40" spans="1:9">
      <c r="A40" s="2">
        <f t="shared" si="2"/>
        <v>28</v>
      </c>
      <c r="B40" s="164" t="s">
        <v>425</v>
      </c>
      <c r="C40" s="152">
        <f>SUM(C38:C39)</f>
        <v>3951577302</v>
      </c>
      <c r="D40" s="13" t="str">
        <f>"L "&amp;A38&amp;" + L "&amp;A39&amp;""</f>
        <v>L 26 + L 27</v>
      </c>
      <c r="E40" s="152">
        <f>SUM(E38:E39)</f>
        <v>0</v>
      </c>
      <c r="F40" s="156">
        <f>E40/C40</f>
        <v>0</v>
      </c>
      <c r="G40" s="14"/>
    </row>
    <row r="41" spans="1:9">
      <c r="A41" s="2">
        <f t="shared" si="2"/>
        <v>29</v>
      </c>
      <c r="B41" s="165"/>
      <c r="C41" s="136"/>
      <c r="D41" s="152"/>
      <c r="E41" s="152"/>
      <c r="F41" s="156"/>
    </row>
    <row r="42" spans="1:9">
      <c r="A42" s="2">
        <f t="shared" si="2"/>
        <v>30</v>
      </c>
      <c r="B42" s="166" t="s">
        <v>1215</v>
      </c>
      <c r="C42" s="158">
        <f>C36+C40</f>
        <v>4081190499</v>
      </c>
      <c r="D42" s="13" t="str">
        <f>"L "&amp;A36&amp;" + L "&amp;A40&amp;""</f>
        <v>L 24 + L 28</v>
      </c>
      <c r="E42" s="158">
        <f>E36+E40</f>
        <v>0</v>
      </c>
      <c r="F42" s="159">
        <f>E42/C42</f>
        <v>0</v>
      </c>
      <c r="G42" s="12" t="s">
        <v>360</v>
      </c>
      <c r="H42" s="15"/>
    </row>
    <row r="43" spans="1:9">
      <c r="A43" s="2"/>
      <c r="B43" s="133"/>
      <c r="C43" s="134"/>
      <c r="D43" s="134"/>
      <c r="E43" s="134"/>
      <c r="F43" s="135"/>
      <c r="H43" s="137"/>
      <c r="I43" s="12"/>
    </row>
    <row r="44" spans="1:9">
      <c r="A44" s="61"/>
      <c r="E44" s="130"/>
    </row>
    <row r="45" spans="1:9">
      <c r="A45" s="83" t="s">
        <v>230</v>
      </c>
    </row>
    <row r="46" spans="1:9">
      <c r="A46" s="13" t="s">
        <v>445</v>
      </c>
      <c r="E46" s="130"/>
    </row>
    <row r="47" spans="1:9">
      <c r="A47" s="13" t="s">
        <v>450</v>
      </c>
    </row>
    <row r="48" spans="1:9">
      <c r="A48" s="13" t="s">
        <v>447</v>
      </c>
      <c r="C48" s="130"/>
      <c r="D48" s="130"/>
    </row>
    <row r="49" spans="1:4">
      <c r="A49" s="13" t="s">
        <v>449</v>
      </c>
      <c r="C49" s="131"/>
      <c r="D49" s="131"/>
    </row>
    <row r="50" spans="1:4">
      <c r="A50" s="61"/>
      <c r="C50" s="130"/>
      <c r="D50" s="130"/>
    </row>
    <row r="51" spans="1:4">
      <c r="A51" s="83" t="s">
        <v>377</v>
      </c>
    </row>
    <row r="52" spans="1:4">
      <c r="A52" s="13" t="s">
        <v>448</v>
      </c>
    </row>
    <row r="53" spans="1:4">
      <c r="A53" s="13" t="s">
        <v>1419</v>
      </c>
    </row>
    <row r="54" spans="1:4">
      <c r="A54" s="467" t="s">
        <v>2009</v>
      </c>
    </row>
  </sheetData>
  <pageMargins left="0.7" right="0.7" top="0.75" bottom="0.75" header="0.3" footer="0.3"/>
  <pageSetup scale="90" orientation="portrait" cellComments="asDisplayed" r:id="rId1"/>
  <headerFooter>
    <oddHeader>&amp;CSchedule 7
Transmission Plant Study Summary
&amp;RTO2022 Annual Update 
Attachment 1</oddHeader>
    <oddFooter>&amp;R7-PlantStudy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154"/>
  <sheetViews>
    <sheetView zoomScaleNormal="100" zoomScalePageLayoutView="60" workbookViewId="0"/>
  </sheetViews>
  <sheetFormatPr defaultColWidth="8.54296875" defaultRowHeight="12.5"/>
  <cols>
    <col min="1" max="1" width="4.54296875" style="955" customWidth="1"/>
    <col min="2" max="2" width="7.54296875" style="955" customWidth="1"/>
    <col min="3" max="3" width="10.54296875" style="955" customWidth="1"/>
    <col min="4" max="4" width="13.54296875" style="955" customWidth="1"/>
    <col min="5" max="6" width="14.54296875" style="955" customWidth="1"/>
    <col min="7" max="10" width="13.54296875" style="955" customWidth="1"/>
    <col min="11" max="12" width="11.54296875" style="955" customWidth="1"/>
    <col min="13" max="13" width="13.54296875" style="955" customWidth="1"/>
    <col min="14" max="14" width="14.54296875" style="955" customWidth="1"/>
    <col min="15" max="15" width="13.54296875" style="14" customWidth="1"/>
    <col min="16" max="23" width="8.54296875" style="14"/>
    <col min="24" max="16384" width="8.54296875" style="955"/>
  </cols>
  <sheetData>
    <row r="1" spans="1:18" ht="13">
      <c r="A1" s="83" t="s">
        <v>163</v>
      </c>
      <c r="B1" s="1"/>
      <c r="C1" s="227"/>
      <c r="D1" s="227"/>
      <c r="E1" s="227"/>
      <c r="F1" s="227"/>
      <c r="G1" s="227"/>
      <c r="H1" s="227"/>
      <c r="I1" s="227"/>
      <c r="J1" s="501" t="s">
        <v>446</v>
      </c>
      <c r="K1" s="183"/>
      <c r="L1" s="227"/>
      <c r="M1" s="227"/>
      <c r="N1" s="227"/>
      <c r="O1" s="235"/>
      <c r="P1" s="235"/>
      <c r="Q1" s="235"/>
      <c r="R1" s="235"/>
    </row>
    <row r="2" spans="1:18" ht="13">
      <c r="A2" s="227"/>
      <c r="B2" s="227"/>
      <c r="C2" s="1246" t="s">
        <v>2531</v>
      </c>
      <c r="D2" s="1445" t="s">
        <v>2710</v>
      </c>
      <c r="E2" s="958"/>
      <c r="F2" s="227"/>
      <c r="G2" s="227"/>
      <c r="H2" s="227"/>
      <c r="I2" s="227"/>
      <c r="L2" s="227"/>
      <c r="M2" s="227"/>
      <c r="N2" s="227"/>
      <c r="O2" s="235"/>
      <c r="P2" s="235"/>
      <c r="Q2" s="235"/>
      <c r="R2" s="235"/>
    </row>
    <row r="3" spans="1:18" ht="13">
      <c r="A3" s="227"/>
      <c r="B3" s="1" t="s">
        <v>327</v>
      </c>
      <c r="C3" s="227"/>
      <c r="D3" s="227"/>
      <c r="E3" s="227"/>
      <c r="F3" s="227"/>
      <c r="G3" s="858" t="s">
        <v>1713</v>
      </c>
      <c r="H3" s="1481">
        <v>2020</v>
      </c>
      <c r="I3" s="227"/>
      <c r="J3" s="227"/>
      <c r="K3" s="227"/>
      <c r="L3" s="227"/>
      <c r="M3" s="227"/>
      <c r="N3" s="227"/>
      <c r="O3" s="235"/>
      <c r="P3" s="235"/>
      <c r="Q3" s="235"/>
      <c r="R3" s="235"/>
    </row>
    <row r="4" spans="1:18">
      <c r="A4" s="227"/>
      <c r="B4" s="227"/>
      <c r="C4" s="227"/>
      <c r="D4" s="227"/>
      <c r="E4" s="227"/>
      <c r="F4" s="227"/>
      <c r="G4" s="227"/>
      <c r="H4" s="227"/>
      <c r="I4" s="227"/>
      <c r="J4" s="227"/>
      <c r="K4" s="227"/>
      <c r="L4" s="227"/>
      <c r="M4" s="227"/>
      <c r="N4" s="227"/>
      <c r="O4" s="235"/>
      <c r="P4" s="235"/>
      <c r="Q4" s="235"/>
      <c r="R4" s="235"/>
    </row>
    <row r="5" spans="1:18">
      <c r="A5" s="227"/>
      <c r="B5" s="227"/>
      <c r="C5" s="463" t="s">
        <v>1529</v>
      </c>
      <c r="D5" s="227"/>
      <c r="E5" s="227"/>
      <c r="F5" s="227"/>
      <c r="G5" s="227"/>
      <c r="H5" s="227"/>
      <c r="I5" s="227"/>
      <c r="J5" s="463"/>
      <c r="K5" s="227"/>
      <c r="L5" s="227"/>
      <c r="M5" s="227"/>
      <c r="N5" s="227"/>
      <c r="O5" s="235"/>
      <c r="P5" s="235"/>
      <c r="Q5" s="235"/>
      <c r="R5" s="235"/>
    </row>
    <row r="6" spans="1:18">
      <c r="A6" s="227"/>
      <c r="B6" s="227"/>
      <c r="C6" s="227"/>
      <c r="D6" s="227"/>
      <c r="E6" s="227"/>
      <c r="F6" s="227"/>
      <c r="G6" s="227"/>
      <c r="H6" s="227"/>
      <c r="I6" s="227"/>
      <c r="J6" s="227"/>
      <c r="K6" s="227"/>
      <c r="L6" s="227"/>
      <c r="M6" s="227"/>
      <c r="N6" s="227"/>
      <c r="O6" s="235"/>
      <c r="P6" s="235"/>
      <c r="Q6" s="235"/>
      <c r="R6" s="235"/>
    </row>
    <row r="7" spans="1:18" ht="13">
      <c r="A7" s="227"/>
      <c r="B7" s="227"/>
      <c r="C7" s="84" t="s">
        <v>358</v>
      </c>
      <c r="D7" s="84" t="s">
        <v>342</v>
      </c>
      <c r="E7" s="84" t="s">
        <v>343</v>
      </c>
      <c r="F7" s="84" t="s">
        <v>344</v>
      </c>
      <c r="G7" s="84" t="s">
        <v>345</v>
      </c>
      <c r="H7" s="84" t="s">
        <v>346</v>
      </c>
      <c r="I7" s="84" t="s">
        <v>347</v>
      </c>
      <c r="J7" s="84" t="s">
        <v>534</v>
      </c>
      <c r="K7" s="84" t="s">
        <v>949</v>
      </c>
      <c r="L7" s="84" t="s">
        <v>961</v>
      </c>
      <c r="M7" s="84" t="s">
        <v>964</v>
      </c>
      <c r="N7" s="84" t="s">
        <v>982</v>
      </c>
      <c r="O7" s="235"/>
      <c r="P7" s="235"/>
      <c r="Q7" s="235"/>
      <c r="R7" s="235"/>
    </row>
    <row r="8" spans="1:18">
      <c r="A8" s="227"/>
      <c r="B8" s="227"/>
      <c r="C8" s="243"/>
      <c r="D8" s="227"/>
      <c r="E8" s="227"/>
      <c r="F8" s="227"/>
      <c r="G8" s="227"/>
      <c r="H8" s="227"/>
      <c r="I8" s="227"/>
      <c r="J8" s="227"/>
      <c r="K8" s="227"/>
      <c r="L8" s="227"/>
      <c r="M8" s="227"/>
      <c r="N8" s="446" t="s">
        <v>1640</v>
      </c>
      <c r="O8" s="235"/>
      <c r="P8" s="235"/>
      <c r="Q8" s="235"/>
      <c r="R8" s="235"/>
    </row>
    <row r="9" spans="1:18" ht="13">
      <c r="A9" s="227"/>
      <c r="B9" s="227"/>
      <c r="C9" s="438"/>
      <c r="D9" s="502" t="s">
        <v>12</v>
      </c>
      <c r="E9" s="227"/>
      <c r="F9" s="227"/>
      <c r="G9" s="227"/>
      <c r="H9" s="227"/>
      <c r="I9" s="227"/>
      <c r="J9" s="227"/>
      <c r="K9" s="227"/>
      <c r="L9" s="227"/>
      <c r="M9" s="227"/>
      <c r="N9" s="227"/>
      <c r="O9" s="235"/>
      <c r="P9" s="235"/>
      <c r="Q9" s="235"/>
      <c r="R9" s="235"/>
    </row>
    <row r="10" spans="1:18" ht="13">
      <c r="A10" s="227"/>
      <c r="B10" s="227"/>
      <c r="C10" s="109"/>
      <c r="D10" s="502" t="s">
        <v>962</v>
      </c>
      <c r="E10" s="227"/>
      <c r="F10" s="227"/>
      <c r="G10" s="227"/>
      <c r="H10" s="227"/>
      <c r="I10" s="227"/>
      <c r="J10" s="227"/>
      <c r="K10" s="227"/>
      <c r="L10" s="227"/>
      <c r="M10" s="227"/>
      <c r="N10" s="227"/>
      <c r="O10" s="235"/>
      <c r="P10" s="235"/>
      <c r="Q10" s="235"/>
      <c r="R10" s="235"/>
    </row>
    <row r="11" spans="1:18" ht="12.75" customHeight="1">
      <c r="A11" s="51" t="s">
        <v>329</v>
      </c>
      <c r="B11" s="51"/>
      <c r="C11" s="122" t="s">
        <v>1748</v>
      </c>
      <c r="D11" s="84">
        <v>350.1</v>
      </c>
      <c r="E11" s="84">
        <v>350.2</v>
      </c>
      <c r="F11" s="84">
        <v>352</v>
      </c>
      <c r="G11" s="84">
        <v>353</v>
      </c>
      <c r="H11" s="84">
        <v>354</v>
      </c>
      <c r="I11" s="84">
        <v>355</v>
      </c>
      <c r="J11" s="84">
        <v>356</v>
      </c>
      <c r="K11" s="84">
        <v>357</v>
      </c>
      <c r="L11" s="84">
        <v>358</v>
      </c>
      <c r="M11" s="84">
        <v>359</v>
      </c>
      <c r="N11" s="3" t="s">
        <v>196</v>
      </c>
      <c r="O11" s="235"/>
      <c r="P11" s="235"/>
      <c r="Q11" s="235"/>
      <c r="R11" s="235"/>
    </row>
    <row r="12" spans="1:18" ht="12.75" customHeight="1">
      <c r="A12" s="549">
        <v>1</v>
      </c>
      <c r="B12" s="549"/>
      <c r="C12" s="931" t="s">
        <v>2712</v>
      </c>
      <c r="D12" s="493">
        <v>0</v>
      </c>
      <c r="E12" s="493">
        <v>26094240.982190136</v>
      </c>
      <c r="F12" s="493">
        <v>117949869.25554368</v>
      </c>
      <c r="G12" s="493">
        <v>600933059.71191561</v>
      </c>
      <c r="H12" s="493">
        <v>591191848.46649885</v>
      </c>
      <c r="I12" s="493">
        <v>52246029.772206806</v>
      </c>
      <c r="J12" s="493">
        <v>474012550.00490808</v>
      </c>
      <c r="K12" s="493">
        <v>10012744.632312972</v>
      </c>
      <c r="L12" s="493">
        <v>14787191.383395158</v>
      </c>
      <c r="M12" s="493">
        <v>23224783.891074482</v>
      </c>
      <c r="N12" s="229">
        <f t="shared" ref="N12:N24" si="0">SUM(D12:M12)</f>
        <v>1910452318.1000457</v>
      </c>
      <c r="O12" s="235"/>
      <c r="P12" s="235"/>
      <c r="Q12" s="235"/>
      <c r="R12" s="235"/>
    </row>
    <row r="13" spans="1:18" ht="12.75" customHeight="1">
      <c r="A13" s="549">
        <f>A12+1</f>
        <v>2</v>
      </c>
      <c r="B13" s="549"/>
      <c r="C13" s="700" t="s">
        <v>2713</v>
      </c>
      <c r="D13" s="231">
        <f>D12+D70+D119</f>
        <v>0</v>
      </c>
      <c r="E13" s="231">
        <f>E12+E70+E119</f>
        <v>26339190.699950088</v>
      </c>
      <c r="F13" s="231">
        <f t="shared" ref="F13:M23" si="1">F12+F70+F119</f>
        <v>119401945.46026421</v>
      </c>
      <c r="G13" s="231">
        <f t="shared" si="1"/>
        <v>607904330.47456205</v>
      </c>
      <c r="H13" s="231">
        <f t="shared" si="1"/>
        <v>597199651.93563056</v>
      </c>
      <c r="I13" s="231">
        <f t="shared" si="1"/>
        <v>52016607.931544326</v>
      </c>
      <c r="J13" s="231">
        <f t="shared" si="1"/>
        <v>476189465.65874499</v>
      </c>
      <c r="K13" s="231">
        <f t="shared" si="1"/>
        <v>10308871.129448604</v>
      </c>
      <c r="L13" s="231">
        <f t="shared" si="1"/>
        <v>14934127.450146116</v>
      </c>
      <c r="M13" s="231">
        <f t="shared" si="1"/>
        <v>23420396.346953478</v>
      </c>
      <c r="N13" s="229">
        <f t="shared" si="0"/>
        <v>1927714587.0872445</v>
      </c>
      <c r="O13" s="235"/>
      <c r="P13" s="235"/>
      <c r="Q13" s="235"/>
      <c r="R13" s="235"/>
    </row>
    <row r="14" spans="1:18" ht="12.75" customHeight="1">
      <c r="A14" s="549">
        <f t="shared" ref="A14:A25" si="2">A13+1</f>
        <v>3</v>
      </c>
      <c r="B14" s="549"/>
      <c r="C14" s="699" t="s">
        <v>2714</v>
      </c>
      <c r="D14" s="231">
        <f t="shared" ref="D14:E23" si="3">D13+D71+D120</f>
        <v>0</v>
      </c>
      <c r="E14" s="231">
        <f t="shared" si="3"/>
        <v>26570155.703266509</v>
      </c>
      <c r="F14" s="231">
        <f t="shared" si="1"/>
        <v>120805360.70481561</v>
      </c>
      <c r="G14" s="231">
        <f t="shared" si="1"/>
        <v>611535308.10887337</v>
      </c>
      <c r="H14" s="231">
        <f t="shared" si="1"/>
        <v>602172526.62594521</v>
      </c>
      <c r="I14" s="231">
        <f t="shared" si="1"/>
        <v>51891604.35456413</v>
      </c>
      <c r="J14" s="231">
        <f t="shared" si="1"/>
        <v>479359135.42140597</v>
      </c>
      <c r="K14" s="231">
        <f t="shared" si="1"/>
        <v>10604080.350918384</v>
      </c>
      <c r="L14" s="231">
        <f t="shared" si="1"/>
        <v>15108954.428467976</v>
      </c>
      <c r="M14" s="231">
        <f t="shared" si="1"/>
        <v>23648659.967761688</v>
      </c>
      <c r="N14" s="229">
        <f t="shared" si="0"/>
        <v>1941695785.666019</v>
      </c>
      <c r="O14" s="235"/>
      <c r="P14" s="235"/>
      <c r="Q14" s="235"/>
      <c r="R14" s="235"/>
    </row>
    <row r="15" spans="1:18" ht="12.75" customHeight="1">
      <c r="A15" s="549">
        <f t="shared" si="2"/>
        <v>4</v>
      </c>
      <c r="B15" s="549"/>
      <c r="C15" s="699" t="s">
        <v>2715</v>
      </c>
      <c r="D15" s="231">
        <f t="shared" si="3"/>
        <v>0</v>
      </c>
      <c r="E15" s="231">
        <f t="shared" si="3"/>
        <v>26801191.526323117</v>
      </c>
      <c r="F15" s="231">
        <f t="shared" si="1"/>
        <v>122248063.80876411</v>
      </c>
      <c r="G15" s="231">
        <f t="shared" si="1"/>
        <v>617478161.90471649</v>
      </c>
      <c r="H15" s="231">
        <f t="shared" si="1"/>
        <v>605189792.96607113</v>
      </c>
      <c r="I15" s="231">
        <f t="shared" si="1"/>
        <v>51388031.030265324</v>
      </c>
      <c r="J15" s="231">
        <f t="shared" si="1"/>
        <v>481909444.27956307</v>
      </c>
      <c r="K15" s="231">
        <f t="shared" si="1"/>
        <v>10900213.338201715</v>
      </c>
      <c r="L15" s="231">
        <f t="shared" si="1"/>
        <v>15382638.027776225</v>
      </c>
      <c r="M15" s="231">
        <f t="shared" si="1"/>
        <v>23880563.050380401</v>
      </c>
      <c r="N15" s="229">
        <f t="shared" si="0"/>
        <v>1955178099.9320617</v>
      </c>
      <c r="O15" s="235"/>
      <c r="P15" s="235"/>
      <c r="Q15" s="235"/>
      <c r="R15" s="235"/>
    </row>
    <row r="16" spans="1:18" ht="12.75" customHeight="1">
      <c r="A16" s="549">
        <f t="shared" si="2"/>
        <v>5</v>
      </c>
      <c r="B16" s="549"/>
      <c r="C16" s="700" t="s">
        <v>2716</v>
      </c>
      <c r="D16" s="231">
        <f t="shared" si="3"/>
        <v>0</v>
      </c>
      <c r="E16" s="231">
        <f t="shared" si="3"/>
        <v>27032175.948857438</v>
      </c>
      <c r="F16" s="231">
        <f t="shared" si="1"/>
        <v>123423842.22939259</v>
      </c>
      <c r="G16" s="231">
        <f t="shared" si="1"/>
        <v>624148810.06534445</v>
      </c>
      <c r="H16" s="231">
        <f t="shared" si="1"/>
        <v>601739092.96983743</v>
      </c>
      <c r="I16" s="231">
        <f t="shared" si="1"/>
        <v>51790550.546963669</v>
      </c>
      <c r="J16" s="231">
        <f t="shared" si="1"/>
        <v>483917923.90683949</v>
      </c>
      <c r="K16" s="231">
        <f t="shared" si="1"/>
        <v>11198167.094120789</v>
      </c>
      <c r="L16" s="231">
        <f t="shared" si="1"/>
        <v>15541317.517551547</v>
      </c>
      <c r="M16" s="231">
        <f t="shared" si="1"/>
        <v>24112584.402078331</v>
      </c>
      <c r="N16" s="229">
        <f t="shared" si="0"/>
        <v>1962904464.6809857</v>
      </c>
      <c r="O16" s="235"/>
      <c r="P16" s="235"/>
      <c r="Q16" s="235"/>
      <c r="R16" s="235"/>
    </row>
    <row r="17" spans="1:18" ht="12.75" customHeight="1">
      <c r="A17" s="549">
        <f t="shared" si="2"/>
        <v>6</v>
      </c>
      <c r="B17" s="549"/>
      <c r="C17" s="699" t="s">
        <v>2717</v>
      </c>
      <c r="D17" s="231">
        <f t="shared" si="3"/>
        <v>0</v>
      </c>
      <c r="E17" s="231">
        <f t="shared" si="3"/>
        <v>27263107.375917256</v>
      </c>
      <c r="F17" s="231">
        <f t="shared" si="1"/>
        <v>123937750.73298448</v>
      </c>
      <c r="G17" s="231">
        <f t="shared" si="1"/>
        <v>626770809.97331643</v>
      </c>
      <c r="H17" s="231">
        <f t="shared" si="1"/>
        <v>606208556.70888543</v>
      </c>
      <c r="I17" s="231">
        <f t="shared" si="1"/>
        <v>52614894.313107707</v>
      </c>
      <c r="J17" s="231">
        <f t="shared" si="1"/>
        <v>487226229.02627105</v>
      </c>
      <c r="K17" s="231">
        <f t="shared" si="1"/>
        <v>11494334.407204568</v>
      </c>
      <c r="L17" s="231">
        <f t="shared" si="1"/>
        <v>15782806.375495147</v>
      </c>
      <c r="M17" s="231">
        <f t="shared" si="1"/>
        <v>24344347.001384705</v>
      </c>
      <c r="N17" s="229">
        <f t="shared" si="0"/>
        <v>1975642835.914567</v>
      </c>
      <c r="O17" s="235"/>
      <c r="P17" s="235"/>
      <c r="Q17" s="235"/>
      <c r="R17" s="235"/>
    </row>
    <row r="18" spans="1:18" ht="12.75" customHeight="1">
      <c r="A18" s="549">
        <f t="shared" si="2"/>
        <v>7</v>
      </c>
      <c r="B18" s="549"/>
      <c r="C18" s="699" t="s">
        <v>2718</v>
      </c>
      <c r="D18" s="231">
        <f t="shared" si="3"/>
        <v>0</v>
      </c>
      <c r="E18" s="231">
        <f t="shared" si="3"/>
        <v>27494079.231733456</v>
      </c>
      <c r="F18" s="231">
        <f t="shared" si="1"/>
        <v>126028681.34545654</v>
      </c>
      <c r="G18" s="231">
        <f t="shared" si="1"/>
        <v>627746450.38145995</v>
      </c>
      <c r="H18" s="231">
        <f t="shared" si="1"/>
        <v>610429017.75311637</v>
      </c>
      <c r="I18" s="231">
        <f t="shared" si="1"/>
        <v>50249942.865539446</v>
      </c>
      <c r="J18" s="231">
        <f t="shared" si="1"/>
        <v>500891475.29264033</v>
      </c>
      <c r="K18" s="231">
        <f t="shared" si="1"/>
        <v>11605627.942092679</v>
      </c>
      <c r="L18" s="231">
        <f t="shared" si="1"/>
        <v>16746566.966750391</v>
      </c>
      <c r="M18" s="231">
        <f t="shared" si="1"/>
        <v>24355765.095255338</v>
      </c>
      <c r="N18" s="229">
        <f t="shared" si="0"/>
        <v>1995547606.8740444</v>
      </c>
      <c r="O18" s="235"/>
      <c r="P18" s="235"/>
      <c r="Q18" s="235"/>
      <c r="R18" s="235"/>
    </row>
    <row r="19" spans="1:18" ht="12.75" customHeight="1">
      <c r="A19" s="549">
        <f t="shared" si="2"/>
        <v>8</v>
      </c>
      <c r="B19" s="549"/>
      <c r="C19" s="700" t="s">
        <v>2719</v>
      </c>
      <c r="D19" s="231">
        <f t="shared" si="3"/>
        <v>0</v>
      </c>
      <c r="E19" s="231">
        <f t="shared" si="3"/>
        <v>27725052.18652077</v>
      </c>
      <c r="F19" s="231">
        <f t="shared" si="1"/>
        <v>126600088.51022694</v>
      </c>
      <c r="G19" s="231">
        <f t="shared" si="1"/>
        <v>632691000.42653596</v>
      </c>
      <c r="H19" s="231">
        <f t="shared" si="1"/>
        <v>613066393.3964355</v>
      </c>
      <c r="I19" s="231">
        <f t="shared" si="1"/>
        <v>50793695.280476049</v>
      </c>
      <c r="J19" s="231">
        <f t="shared" si="1"/>
        <v>502654920.10904509</v>
      </c>
      <c r="K19" s="231">
        <f t="shared" si="1"/>
        <v>11884004.588189311</v>
      </c>
      <c r="L19" s="231">
        <f t="shared" si="1"/>
        <v>16897031.712727383</v>
      </c>
      <c r="M19" s="231">
        <f t="shared" si="1"/>
        <v>24578489.806354027</v>
      </c>
      <c r="N19" s="229">
        <f t="shared" si="0"/>
        <v>2006890676.016511</v>
      </c>
      <c r="O19" s="235"/>
      <c r="P19" s="235"/>
      <c r="Q19" s="235"/>
      <c r="R19" s="235"/>
    </row>
    <row r="20" spans="1:18" ht="12.75" customHeight="1">
      <c r="A20" s="549">
        <f t="shared" si="2"/>
        <v>9</v>
      </c>
      <c r="B20" s="549"/>
      <c r="C20" s="699" t="s">
        <v>2720</v>
      </c>
      <c r="D20" s="231">
        <f t="shared" si="3"/>
        <v>0</v>
      </c>
      <c r="E20" s="231">
        <f t="shared" si="3"/>
        <v>27956040.366615959</v>
      </c>
      <c r="F20" s="231">
        <f t="shared" si="1"/>
        <v>128164847.98485751</v>
      </c>
      <c r="G20" s="231">
        <f t="shared" si="1"/>
        <v>630976359.38603711</v>
      </c>
      <c r="H20" s="231">
        <f t="shared" si="1"/>
        <v>601469639.56740761</v>
      </c>
      <c r="I20" s="231">
        <f t="shared" si="1"/>
        <v>52460228.861021526</v>
      </c>
      <c r="J20" s="231">
        <f t="shared" si="1"/>
        <v>507718099.9155333</v>
      </c>
      <c r="K20" s="231">
        <f t="shared" si="1"/>
        <v>12180076.935437417</v>
      </c>
      <c r="L20" s="231">
        <f t="shared" si="1"/>
        <v>17110644.379259165</v>
      </c>
      <c r="M20" s="231">
        <f t="shared" si="1"/>
        <v>24810334.229858577</v>
      </c>
      <c r="N20" s="229">
        <f t="shared" si="0"/>
        <v>2002846271.6260283</v>
      </c>
      <c r="O20" s="235"/>
      <c r="P20" s="235"/>
      <c r="Q20" s="235"/>
      <c r="R20" s="235"/>
    </row>
    <row r="21" spans="1:18" ht="12.75" customHeight="1">
      <c r="A21" s="549">
        <f t="shared" si="2"/>
        <v>10</v>
      </c>
      <c r="B21" s="549"/>
      <c r="C21" s="699" t="s">
        <v>2721</v>
      </c>
      <c r="D21" s="231">
        <f t="shared" si="3"/>
        <v>0</v>
      </c>
      <c r="E21" s="231">
        <f t="shared" si="3"/>
        <v>28187165.344232678</v>
      </c>
      <c r="F21" s="231">
        <f t="shared" si="1"/>
        <v>129661807.1146021</v>
      </c>
      <c r="G21" s="231">
        <f t="shared" si="1"/>
        <v>636467001.04997838</v>
      </c>
      <c r="H21" s="231">
        <f t="shared" si="1"/>
        <v>609848353.48308802</v>
      </c>
      <c r="I21" s="231">
        <f t="shared" si="1"/>
        <v>52401259.115711078</v>
      </c>
      <c r="J21" s="231">
        <f t="shared" si="1"/>
        <v>511330760.14918178</v>
      </c>
      <c r="K21" s="231">
        <f t="shared" si="1"/>
        <v>12476565.817254797</v>
      </c>
      <c r="L21" s="231">
        <f t="shared" si="1"/>
        <v>17275170.095995754</v>
      </c>
      <c r="M21" s="231">
        <f t="shared" si="1"/>
        <v>25039153.8891101</v>
      </c>
      <c r="N21" s="229">
        <f t="shared" si="0"/>
        <v>2022687236.0591545</v>
      </c>
      <c r="O21" s="235"/>
      <c r="P21" s="235"/>
      <c r="Q21" s="235"/>
      <c r="R21" s="235"/>
    </row>
    <row r="22" spans="1:18" ht="12.75" customHeight="1">
      <c r="A22" s="549">
        <f t="shared" si="2"/>
        <v>11</v>
      </c>
      <c r="B22" s="549"/>
      <c r="C22" s="700" t="s">
        <v>2722</v>
      </c>
      <c r="D22" s="231">
        <f t="shared" si="3"/>
        <v>0</v>
      </c>
      <c r="E22" s="231">
        <f t="shared" si="3"/>
        <v>28418474.020484887</v>
      </c>
      <c r="F22" s="231">
        <f t="shared" si="1"/>
        <v>131246274.26058561</v>
      </c>
      <c r="G22" s="231">
        <f t="shared" si="1"/>
        <v>643675359.42276359</v>
      </c>
      <c r="H22" s="231">
        <f t="shared" si="1"/>
        <v>614487240.18811512</v>
      </c>
      <c r="I22" s="231">
        <f t="shared" si="1"/>
        <v>54041910.321437471</v>
      </c>
      <c r="J22" s="231">
        <f t="shared" si="1"/>
        <v>506960008.64278173</v>
      </c>
      <c r="K22" s="231">
        <f t="shared" si="1"/>
        <v>12737942.554607626</v>
      </c>
      <c r="L22" s="231">
        <f t="shared" si="1"/>
        <v>17732225.058351904</v>
      </c>
      <c r="M22" s="231">
        <f t="shared" si="1"/>
        <v>25273387.538031269</v>
      </c>
      <c r="N22" s="229">
        <f t="shared" si="0"/>
        <v>2034572822.0071592</v>
      </c>
      <c r="O22" s="235"/>
      <c r="P22" s="235"/>
      <c r="Q22" s="235"/>
      <c r="R22" s="235"/>
    </row>
    <row r="23" spans="1:18" ht="12.75" customHeight="1">
      <c r="A23" s="549">
        <f t="shared" si="2"/>
        <v>12</v>
      </c>
      <c r="B23" s="549"/>
      <c r="C23" s="700" t="s">
        <v>2723</v>
      </c>
      <c r="D23" s="231">
        <f t="shared" si="3"/>
        <v>0</v>
      </c>
      <c r="E23" s="231">
        <f t="shared" si="3"/>
        <v>28649500.791551191</v>
      </c>
      <c r="F23" s="231">
        <f t="shared" si="1"/>
        <v>132813453.18474336</v>
      </c>
      <c r="G23" s="231">
        <f t="shared" si="1"/>
        <v>648320322.01361954</v>
      </c>
      <c r="H23" s="231">
        <f t="shared" si="1"/>
        <v>618145554.58670592</v>
      </c>
      <c r="I23" s="231">
        <f t="shared" si="1"/>
        <v>54946368.581471264</v>
      </c>
      <c r="J23" s="231">
        <f t="shared" si="1"/>
        <v>510080696.63185525</v>
      </c>
      <c r="K23" s="231">
        <f t="shared" si="1"/>
        <v>13033215.936380411</v>
      </c>
      <c r="L23" s="231">
        <f t="shared" si="1"/>
        <v>17912169.320473753</v>
      </c>
      <c r="M23" s="231">
        <f t="shared" si="1"/>
        <v>25521934.371216051</v>
      </c>
      <c r="N23" s="229">
        <f t="shared" si="0"/>
        <v>2049423215.4180167</v>
      </c>
      <c r="O23" s="235"/>
      <c r="P23" s="235"/>
      <c r="Q23" s="235"/>
      <c r="R23" s="235"/>
    </row>
    <row r="24" spans="1:18" ht="13">
      <c r="A24" s="549">
        <f t="shared" si="2"/>
        <v>13</v>
      </c>
      <c r="B24" s="549"/>
      <c r="C24" s="699" t="s">
        <v>2724</v>
      </c>
      <c r="D24" s="115">
        <v>0</v>
      </c>
      <c r="E24" s="115">
        <v>28880389.381055076</v>
      </c>
      <c r="F24" s="115">
        <v>134475287.4323706</v>
      </c>
      <c r="G24" s="115">
        <v>653865732.64135075</v>
      </c>
      <c r="H24" s="115">
        <v>620983160.14470828</v>
      </c>
      <c r="I24" s="115">
        <v>54390209.365536593</v>
      </c>
      <c r="J24" s="115">
        <v>479315985.10377091</v>
      </c>
      <c r="K24" s="115">
        <v>13325808.691317508</v>
      </c>
      <c r="L24" s="115">
        <v>18127406.997765709</v>
      </c>
      <c r="M24" s="115">
        <v>25770800.917941991</v>
      </c>
      <c r="N24" s="360">
        <f t="shared" si="0"/>
        <v>2029134780.6758177</v>
      </c>
      <c r="O24" s="235"/>
      <c r="P24" s="235"/>
      <c r="Q24" s="235"/>
      <c r="R24" s="235"/>
    </row>
    <row r="25" spans="1:18" ht="13">
      <c r="A25" s="549">
        <f t="shared" si="2"/>
        <v>14</v>
      </c>
      <c r="B25" s="227"/>
      <c r="C25" s="1049" t="s">
        <v>1180</v>
      </c>
      <c r="D25" s="229">
        <f t="shared" ref="D25:M25" si="4">AVERAGE(D12:D24)</f>
        <v>0</v>
      </c>
      <c r="E25" s="229">
        <f t="shared" si="4"/>
        <v>27493135.65836142</v>
      </c>
      <c r="F25" s="229">
        <f t="shared" si="4"/>
        <v>125904405.54035442</v>
      </c>
      <c r="G25" s="229">
        <f t="shared" si="4"/>
        <v>627885592.73542106</v>
      </c>
      <c r="H25" s="229">
        <f t="shared" si="4"/>
        <v>607086986.83018827</v>
      </c>
      <c r="I25" s="229">
        <f t="shared" si="4"/>
        <v>52402410.179988101</v>
      </c>
      <c r="J25" s="229">
        <f t="shared" si="4"/>
        <v>492428207.24173385</v>
      </c>
      <c r="K25" s="229">
        <f t="shared" si="4"/>
        <v>11673973.339806674</v>
      </c>
      <c r="L25" s="229">
        <f t="shared" si="4"/>
        <v>16410634.593396634</v>
      </c>
      <c r="M25" s="229">
        <f t="shared" si="4"/>
        <v>24460092.346723113</v>
      </c>
      <c r="N25" s="229">
        <f>SUM(D25:M25)</f>
        <v>1985745438.4659734</v>
      </c>
      <c r="O25" s="235"/>
      <c r="P25" s="235"/>
      <c r="Q25" s="235"/>
      <c r="R25" s="235"/>
    </row>
    <row r="26" spans="1:18">
      <c r="A26" s="227"/>
      <c r="B26" s="227"/>
      <c r="C26" s="227"/>
      <c r="D26" s="235"/>
      <c r="E26" s="235"/>
      <c r="F26" s="235"/>
      <c r="G26" s="235"/>
      <c r="H26" s="235"/>
      <c r="I26" s="235"/>
      <c r="J26" s="235"/>
      <c r="K26" s="235"/>
      <c r="L26" s="235"/>
      <c r="M26" s="235"/>
      <c r="N26" s="235"/>
      <c r="O26" s="235"/>
      <c r="P26" s="235"/>
      <c r="Q26" s="235"/>
      <c r="R26" s="235"/>
    </row>
    <row r="27" spans="1:18" ht="13">
      <c r="A27" s="227"/>
      <c r="B27" s="382" t="s">
        <v>1530</v>
      </c>
      <c r="C27" s="227"/>
      <c r="D27" s="227"/>
      <c r="E27" s="227"/>
      <c r="F27" s="227"/>
      <c r="G27" s="227"/>
      <c r="H27" s="227"/>
      <c r="I27" s="227"/>
      <c r="J27" s="227"/>
      <c r="K27" s="227"/>
      <c r="L27" s="227"/>
      <c r="M27" s="227"/>
      <c r="N27" s="227"/>
      <c r="O27" s="235"/>
      <c r="P27" s="235"/>
      <c r="Q27" s="235"/>
      <c r="R27" s="235"/>
    </row>
    <row r="28" spans="1:18" ht="13">
      <c r="A28" s="227"/>
      <c r="B28" s="382"/>
      <c r="C28" s="227"/>
      <c r="D28" s="227"/>
      <c r="E28" s="227"/>
      <c r="F28" s="227"/>
      <c r="G28" s="227"/>
      <c r="H28" s="227"/>
      <c r="I28" s="227"/>
      <c r="J28" s="227"/>
      <c r="K28" s="227"/>
      <c r="L28" s="227"/>
      <c r="M28" s="227"/>
      <c r="N28" s="227"/>
      <c r="O28" s="235"/>
      <c r="P28" s="235"/>
      <c r="Q28" s="235"/>
      <c r="R28" s="235"/>
    </row>
    <row r="29" spans="1:18" ht="13">
      <c r="A29" s="227"/>
      <c r="B29" s="227"/>
      <c r="C29" s="84" t="s">
        <v>358</v>
      </c>
      <c r="D29" s="84" t="s">
        <v>342</v>
      </c>
      <c r="E29" s="84" t="s">
        <v>343</v>
      </c>
      <c r="F29" s="84" t="s">
        <v>344</v>
      </c>
      <c r="G29" s="84" t="s">
        <v>345</v>
      </c>
      <c r="H29" s="227"/>
      <c r="I29" s="227"/>
      <c r="J29" s="227"/>
      <c r="K29" s="227"/>
      <c r="L29" s="227"/>
      <c r="M29" s="227"/>
      <c r="N29" s="227"/>
      <c r="O29" s="235"/>
      <c r="P29" s="235"/>
      <c r="Q29" s="235"/>
      <c r="R29" s="235"/>
    </row>
    <row r="30" spans="1:18" ht="13">
      <c r="A30" s="227"/>
      <c r="B30" s="227"/>
      <c r="C30" s="227"/>
      <c r="D30" s="502" t="s">
        <v>12</v>
      </c>
      <c r="E30" s="227"/>
      <c r="F30" s="227"/>
      <c r="G30" s="446" t="s">
        <v>1639</v>
      </c>
      <c r="H30" s="227"/>
      <c r="I30" s="227"/>
      <c r="J30" s="227"/>
      <c r="K30" s="227"/>
      <c r="L30" s="227"/>
      <c r="M30" s="227"/>
      <c r="N30" s="227"/>
      <c r="O30" s="503"/>
      <c r="P30" s="235"/>
      <c r="Q30" s="235"/>
      <c r="R30" s="235"/>
    </row>
    <row r="31" spans="1:18">
      <c r="A31" s="227"/>
      <c r="B31" s="227"/>
      <c r="C31" s="227"/>
      <c r="D31" s="502" t="s">
        <v>962</v>
      </c>
      <c r="E31" s="227"/>
      <c r="F31" s="227"/>
      <c r="G31" s="227"/>
      <c r="H31" s="227"/>
      <c r="I31" s="227"/>
      <c r="J31" s="227"/>
      <c r="K31" s="227"/>
      <c r="L31" s="227"/>
      <c r="M31" s="227"/>
      <c r="N31" s="227"/>
      <c r="O31" s="450"/>
      <c r="P31" s="235"/>
      <c r="Q31" s="235"/>
      <c r="R31" s="235"/>
    </row>
    <row r="32" spans="1:18" ht="13">
      <c r="A32" s="227"/>
      <c r="B32" s="227"/>
      <c r="C32" s="122" t="s">
        <v>1748</v>
      </c>
      <c r="D32" s="84">
        <v>360</v>
      </c>
      <c r="E32" s="84">
        <v>361</v>
      </c>
      <c r="F32" s="84">
        <v>362</v>
      </c>
      <c r="G32" s="3" t="s">
        <v>196</v>
      </c>
      <c r="H32" s="863" t="s">
        <v>168</v>
      </c>
      <c r="I32" s="235"/>
      <c r="J32" s="235"/>
      <c r="K32" s="227"/>
      <c r="L32" s="227"/>
      <c r="M32" s="227"/>
      <c r="N32" s="227"/>
      <c r="O32" s="450"/>
      <c r="P32" s="235"/>
      <c r="Q32" s="235"/>
      <c r="R32" s="235"/>
    </row>
    <row r="33" spans="1:18" ht="13">
      <c r="A33" s="549">
        <f>A25+1</f>
        <v>15</v>
      </c>
      <c r="C33" s="699" t="s">
        <v>2712</v>
      </c>
      <c r="D33" s="963">
        <v>0</v>
      </c>
      <c r="E33" s="963">
        <v>0</v>
      </c>
      <c r="F33" s="963">
        <v>0</v>
      </c>
      <c r="G33" s="229">
        <f>SUM(D33:F33)</f>
        <v>0</v>
      </c>
      <c r="H33" s="462" t="s">
        <v>1749</v>
      </c>
      <c r="I33" s="235"/>
      <c r="J33" s="235"/>
      <c r="K33" s="227"/>
      <c r="L33" s="227"/>
      <c r="M33" s="227"/>
      <c r="N33" s="227"/>
      <c r="O33" s="450"/>
      <c r="P33" s="235"/>
      <c r="Q33" s="235"/>
      <c r="R33" s="235"/>
    </row>
    <row r="34" spans="1:18" ht="13">
      <c r="A34" s="549">
        <v>16</v>
      </c>
      <c r="C34" s="699" t="s">
        <v>2724</v>
      </c>
      <c r="D34" s="384">
        <v>0</v>
      </c>
      <c r="E34" s="384">
        <v>0</v>
      </c>
      <c r="F34" s="384">
        <v>0</v>
      </c>
      <c r="G34" s="360">
        <f>SUM(D34:F34)</f>
        <v>0</v>
      </c>
      <c r="H34" s="462" t="s">
        <v>89</v>
      </c>
      <c r="I34" s="235"/>
      <c r="J34" s="235"/>
      <c r="K34" s="227"/>
      <c r="L34" s="227"/>
      <c r="O34" s="450"/>
      <c r="P34" s="235"/>
      <c r="Q34" s="235"/>
      <c r="R34" s="235"/>
    </row>
    <row r="35" spans="1:18" ht="13">
      <c r="A35" s="549">
        <f>A34+1</f>
        <v>17</v>
      </c>
      <c r="C35" s="228" t="s">
        <v>1310</v>
      </c>
      <c r="D35" s="229">
        <f>AVERAGE(D33:D34)</f>
        <v>0</v>
      </c>
      <c r="E35" s="229">
        <f>AVERAGE(E33:E34)</f>
        <v>0</v>
      </c>
      <c r="F35" s="229">
        <f>AVERAGE(F33:F34)</f>
        <v>0</v>
      </c>
      <c r="G35" s="229">
        <f>AVERAGE(G33:G34)</f>
        <v>0</v>
      </c>
      <c r="H35" s="241" t="str">
        <f>"Average of Line "&amp;A33&amp;" and Line "&amp;A34&amp;""</f>
        <v>Average of Line 15 and Line 16</v>
      </c>
      <c r="I35" s="227"/>
      <c r="J35" s="235"/>
      <c r="K35" s="227"/>
      <c r="M35" s="611"/>
      <c r="N35" s="581"/>
      <c r="O35" s="450"/>
      <c r="P35" s="235"/>
      <c r="Q35" s="235"/>
      <c r="R35" s="235"/>
    </row>
    <row r="36" spans="1:18">
      <c r="C36" s="228"/>
      <c r="D36" s="14"/>
      <c r="E36" s="14"/>
      <c r="F36" s="14"/>
      <c r="G36" s="14"/>
      <c r="I36" s="227"/>
      <c r="J36" s="227"/>
      <c r="K36" s="227"/>
      <c r="M36" s="604"/>
      <c r="N36" s="1060"/>
      <c r="O36" s="450"/>
      <c r="P36" s="235"/>
      <c r="Q36" s="235"/>
      <c r="R36" s="235"/>
    </row>
    <row r="37" spans="1:18" ht="13">
      <c r="B37" s="382" t="s">
        <v>1527</v>
      </c>
      <c r="I37" s="227"/>
      <c r="J37" s="227"/>
      <c r="K37" s="227"/>
      <c r="L37" s="227"/>
      <c r="M37" s="611"/>
      <c r="N37" s="1060"/>
      <c r="O37" s="450"/>
      <c r="P37" s="235"/>
      <c r="Q37" s="235"/>
      <c r="R37" s="235"/>
    </row>
    <row r="38" spans="1:18" ht="14.5">
      <c r="B38" s="363"/>
      <c r="C38" s="351" t="s">
        <v>358</v>
      </c>
      <c r="D38" s="351" t="s">
        <v>342</v>
      </c>
      <c r="E38" s="351" t="s">
        <v>343</v>
      </c>
      <c r="F38" s="351" t="s">
        <v>344</v>
      </c>
      <c r="G38" s="351" t="s">
        <v>345</v>
      </c>
      <c r="J38" s="227"/>
      <c r="K38" s="230"/>
      <c r="L38" s="227"/>
      <c r="O38" s="235"/>
      <c r="P38" s="235"/>
      <c r="Q38" s="235"/>
      <c r="R38" s="235"/>
    </row>
    <row r="39" spans="1:18" ht="14.5">
      <c r="B39" s="363"/>
      <c r="C39" s="351"/>
      <c r="D39" s="351"/>
      <c r="E39" s="525" t="s">
        <v>1775</v>
      </c>
      <c r="F39" s="351"/>
      <c r="G39" s="351"/>
      <c r="J39" s="227"/>
      <c r="K39" s="230"/>
      <c r="L39" s="227"/>
      <c r="O39" s="235"/>
      <c r="P39" s="235"/>
      <c r="Q39" s="235"/>
      <c r="R39" s="235"/>
    </row>
    <row r="40" spans="1:18" ht="13">
      <c r="C40" s="14"/>
      <c r="D40" s="14"/>
      <c r="E40" s="438" t="s">
        <v>196</v>
      </c>
      <c r="F40" s="14"/>
      <c r="G40" s="14"/>
      <c r="J40" s="227"/>
      <c r="K40" s="230"/>
      <c r="L40" s="227"/>
      <c r="O40" s="235"/>
      <c r="P40" s="235"/>
      <c r="Q40" s="235"/>
      <c r="R40" s="235"/>
    </row>
    <row r="41" spans="1:18" ht="13">
      <c r="B41" s="227"/>
      <c r="C41" s="14"/>
      <c r="D41" s="235"/>
      <c r="E41" s="438" t="s">
        <v>1774</v>
      </c>
      <c r="F41" s="109" t="s">
        <v>1201</v>
      </c>
      <c r="G41" s="109" t="s">
        <v>1202</v>
      </c>
      <c r="J41" s="227"/>
      <c r="K41" s="230"/>
      <c r="L41" s="227"/>
      <c r="O41" s="235"/>
      <c r="P41" s="235"/>
      <c r="Q41" s="235"/>
      <c r="R41" s="235"/>
    </row>
    <row r="42" spans="1:18" ht="13">
      <c r="B42" s="227"/>
      <c r="C42" s="14"/>
      <c r="D42" s="235"/>
      <c r="E42" s="438" t="s">
        <v>1311</v>
      </c>
      <c r="F42" s="438" t="s">
        <v>1311</v>
      </c>
      <c r="G42" s="438" t="s">
        <v>1311</v>
      </c>
      <c r="J42" s="227"/>
      <c r="K42" s="230"/>
      <c r="L42" s="227"/>
      <c r="Q42" s="235"/>
      <c r="R42" s="235"/>
    </row>
    <row r="43" spans="1:18" ht="13">
      <c r="B43" s="227"/>
      <c r="C43" s="122" t="s">
        <v>1748</v>
      </c>
      <c r="D43" s="235"/>
      <c r="E43" s="439" t="s">
        <v>1312</v>
      </c>
      <c r="F43" s="439" t="s">
        <v>1312</v>
      </c>
      <c r="G43" s="439" t="s">
        <v>1312</v>
      </c>
      <c r="H43" s="385" t="s">
        <v>179</v>
      </c>
      <c r="J43" s="227"/>
      <c r="K43" s="361"/>
      <c r="L43" s="227"/>
      <c r="O43" s="235"/>
      <c r="P43" s="235"/>
      <c r="Q43" s="235"/>
      <c r="R43" s="235"/>
    </row>
    <row r="44" spans="1:18" ht="13">
      <c r="A44" s="549">
        <f>A35+1</f>
        <v>18</v>
      </c>
      <c r="B44" s="227"/>
      <c r="C44" s="699" t="s">
        <v>2712</v>
      </c>
      <c r="D44" s="1050" t="s">
        <v>1308</v>
      </c>
      <c r="E44" s="231">
        <f>SUM(F44:G44)</f>
        <v>1609893450</v>
      </c>
      <c r="F44" s="963">
        <v>1089877633</v>
      </c>
      <c r="G44" s="569">
        <v>520015817</v>
      </c>
      <c r="H44" s="462" t="s">
        <v>1776</v>
      </c>
      <c r="I44" s="14"/>
      <c r="J44" s="235"/>
      <c r="L44" s="227"/>
      <c r="O44" s="235"/>
      <c r="P44" s="235"/>
      <c r="Q44" s="235"/>
      <c r="R44" s="235"/>
    </row>
    <row r="45" spans="1:18" ht="13">
      <c r="A45" s="549">
        <f>A44+1</f>
        <v>19</v>
      </c>
      <c r="B45" s="227"/>
      <c r="C45" s="699" t="s">
        <v>2724</v>
      </c>
      <c r="D45" s="228" t="s">
        <v>1309</v>
      </c>
      <c r="E45" s="445">
        <f>SUM(F45:G45)</f>
        <v>1926796980</v>
      </c>
      <c r="F45" s="963">
        <v>1251064280</v>
      </c>
      <c r="G45" s="569">
        <v>675732700</v>
      </c>
      <c r="H45" s="462" t="s">
        <v>1777</v>
      </c>
      <c r="I45" s="14"/>
      <c r="J45" s="235"/>
      <c r="K45" s="1069"/>
      <c r="L45" s="227"/>
      <c r="O45" s="235"/>
      <c r="P45" s="235"/>
      <c r="Q45" s="235"/>
      <c r="R45" s="235"/>
    </row>
    <row r="46" spans="1:18" ht="13">
      <c r="A46" s="549">
        <f>A45+1</f>
        <v>20</v>
      </c>
      <c r="B46" s="227"/>
      <c r="D46" s="228" t="s">
        <v>1310</v>
      </c>
      <c r="E46" s="229">
        <f>AVERAGE(E44:E45)</f>
        <v>1768345215</v>
      </c>
      <c r="H46" s="241" t="str">
        <f>"Average of Line "&amp;A44&amp;" and Line "&amp;A45&amp;""</f>
        <v>Average of Line 18 and Line 19</v>
      </c>
      <c r="J46" s="227"/>
      <c r="K46" s="1069"/>
      <c r="L46" s="227"/>
      <c r="O46" s="235"/>
      <c r="P46" s="235"/>
      <c r="Q46" s="235"/>
      <c r="R46" s="235"/>
    </row>
    <row r="47" spans="1:18">
      <c r="E47" s="14"/>
      <c r="I47" s="227"/>
      <c r="J47" s="227"/>
      <c r="K47" s="227"/>
      <c r="L47" s="227"/>
      <c r="O47" s="235"/>
      <c r="P47" s="235"/>
      <c r="Q47" s="235"/>
      <c r="R47" s="235"/>
    </row>
    <row r="48" spans="1:18" ht="13">
      <c r="B48" s="1" t="s">
        <v>1313</v>
      </c>
      <c r="C48" s="615"/>
      <c r="D48" s="1056"/>
      <c r="E48" s="227"/>
      <c r="F48" s="227"/>
      <c r="G48" s="227"/>
      <c r="H48" s="227"/>
      <c r="I48" s="227"/>
      <c r="J48" s="227"/>
      <c r="K48" s="227"/>
      <c r="L48" s="227"/>
      <c r="M48" s="227"/>
      <c r="N48" s="227"/>
      <c r="O48" s="235"/>
      <c r="P48" s="235"/>
      <c r="Q48" s="235"/>
      <c r="R48" s="235"/>
    </row>
    <row r="49" spans="1:18" ht="13">
      <c r="B49" s="1"/>
      <c r="C49" s="615"/>
      <c r="D49" s="1056"/>
      <c r="E49" s="227"/>
      <c r="F49" s="227"/>
      <c r="G49" s="227"/>
      <c r="H49" s="227"/>
      <c r="I49" s="227"/>
      <c r="J49" s="227"/>
      <c r="K49" s="227"/>
      <c r="L49" s="227"/>
      <c r="M49" s="227"/>
      <c r="N49" s="227"/>
      <c r="O49" s="235"/>
      <c r="P49" s="235"/>
      <c r="Q49" s="235"/>
      <c r="R49" s="235"/>
    </row>
    <row r="50" spans="1:18" ht="13">
      <c r="B50" s="227"/>
      <c r="C50" s="1"/>
      <c r="D50" s="615"/>
      <c r="E50" s="1056"/>
      <c r="F50" s="361" t="s">
        <v>175</v>
      </c>
      <c r="G50" s="385" t="s">
        <v>179</v>
      </c>
      <c r="H50" s="227"/>
      <c r="I50" s="227"/>
      <c r="J50" s="227"/>
      <c r="K50" s="227"/>
      <c r="L50" s="227"/>
      <c r="M50" s="227"/>
      <c r="N50" s="227"/>
      <c r="O50" s="235"/>
      <c r="P50" s="235"/>
      <c r="Q50" s="235"/>
      <c r="R50" s="235"/>
    </row>
    <row r="51" spans="1:18" ht="13">
      <c r="A51" s="549">
        <f>A46+1</f>
        <v>21</v>
      </c>
      <c r="B51" s="227"/>
      <c r="C51" s="615"/>
      <c r="D51" s="615"/>
      <c r="E51" s="1050" t="s">
        <v>1314</v>
      </c>
      <c r="F51" s="1051">
        <f>E46</f>
        <v>1768345215</v>
      </c>
      <c r="G51" s="241" t="str">
        <f>"Line "&amp;A46&amp;""</f>
        <v>Line 20</v>
      </c>
      <c r="H51" s="235"/>
      <c r="I51" s="235"/>
      <c r="J51" s="227"/>
      <c r="K51" s="227"/>
      <c r="L51" s="227"/>
      <c r="M51" s="227"/>
      <c r="N51" s="227"/>
      <c r="O51" s="235"/>
      <c r="P51" s="235"/>
      <c r="Q51" s="235"/>
      <c r="R51" s="235"/>
    </row>
    <row r="52" spans="1:18" ht="13">
      <c r="A52" s="549">
        <f>A51+1</f>
        <v>22</v>
      </c>
      <c r="B52" s="227"/>
      <c r="C52" s="615"/>
      <c r="D52" s="615"/>
      <c r="E52" s="585" t="s">
        <v>239</v>
      </c>
      <c r="F52" s="1069">
        <f>'27-Allocators'!G15</f>
        <v>6.982260642173875E-2</v>
      </c>
      <c r="G52" s="450" t="str">
        <f>"27-Allocators, Line "&amp;'27-Allocators'!A15&amp;""</f>
        <v>27-Allocators, Line 9</v>
      </c>
      <c r="H52" s="235"/>
      <c r="I52" s="235"/>
      <c r="J52" s="227"/>
      <c r="K52" s="227"/>
      <c r="L52" s="227"/>
      <c r="M52" s="227"/>
      <c r="N52" s="227"/>
      <c r="O52" s="235"/>
      <c r="P52" s="235"/>
      <c r="Q52" s="235"/>
      <c r="R52" s="235"/>
    </row>
    <row r="53" spans="1:18" ht="13">
      <c r="A53" s="549">
        <f>A52+1</f>
        <v>23</v>
      </c>
      <c r="B53" s="227"/>
      <c r="C53" s="615"/>
      <c r="D53" s="615"/>
      <c r="E53" s="585" t="s">
        <v>1315</v>
      </c>
      <c r="F53" s="1051">
        <f>F51*F52</f>
        <v>123470471.96471</v>
      </c>
      <c r="G53" s="450" t="str">
        <f>"Line "&amp;A51&amp;" * Line "&amp;A52&amp;""</f>
        <v>Line 21 * Line 22</v>
      </c>
      <c r="H53" s="235"/>
      <c r="I53" s="235"/>
      <c r="J53" s="227"/>
      <c r="K53" s="227"/>
      <c r="L53" s="227"/>
      <c r="M53" s="227"/>
      <c r="O53" s="235"/>
      <c r="P53" s="235"/>
      <c r="Q53" s="235"/>
      <c r="R53" s="235"/>
    </row>
    <row r="54" spans="1:18" ht="13">
      <c r="B54" s="615"/>
      <c r="C54" s="615"/>
      <c r="D54" s="585"/>
      <c r="E54" s="1051"/>
      <c r="F54" s="227"/>
      <c r="G54" s="235"/>
      <c r="H54" s="227"/>
      <c r="I54" s="227"/>
      <c r="J54" s="227"/>
      <c r="K54" s="227"/>
      <c r="L54" s="227"/>
      <c r="M54" s="227"/>
      <c r="O54" s="235"/>
      <c r="P54" s="235"/>
      <c r="Q54" s="235"/>
      <c r="R54" s="235"/>
    </row>
    <row r="55" spans="1:18" ht="13">
      <c r="B55" s="1" t="s">
        <v>2152</v>
      </c>
      <c r="C55" s="615"/>
      <c r="D55" s="1056"/>
      <c r="E55" s="227"/>
      <c r="F55" s="227"/>
      <c r="G55" s="235"/>
      <c r="H55" s="227"/>
      <c r="I55" s="227"/>
      <c r="J55" s="227"/>
      <c r="K55" s="227"/>
      <c r="L55" s="227"/>
      <c r="M55" s="227"/>
      <c r="O55" s="235"/>
      <c r="P55" s="235"/>
      <c r="Q55" s="235"/>
      <c r="R55" s="235"/>
    </row>
    <row r="56" spans="1:18" ht="13">
      <c r="B56" s="227"/>
      <c r="C56" s="227"/>
      <c r="D56" s="227"/>
      <c r="E56" s="227"/>
      <c r="F56" s="227"/>
      <c r="G56" s="235"/>
      <c r="H56" s="227"/>
      <c r="I56" s="227"/>
      <c r="J56" s="227"/>
      <c r="K56" s="227"/>
      <c r="L56" s="227"/>
      <c r="M56" s="227"/>
      <c r="O56" s="869"/>
      <c r="P56" s="1038"/>
      <c r="Q56" s="235"/>
      <c r="R56" s="235"/>
    </row>
    <row r="57" spans="1:18" ht="13">
      <c r="B57" s="227"/>
      <c r="C57" s="227"/>
      <c r="D57" s="227"/>
      <c r="E57" s="227"/>
      <c r="F57" s="361" t="s">
        <v>175</v>
      </c>
      <c r="G57" s="503" t="s">
        <v>179</v>
      </c>
      <c r="H57" s="227"/>
      <c r="I57" s="227"/>
      <c r="J57" s="227"/>
      <c r="K57" s="227"/>
      <c r="L57" s="227"/>
      <c r="M57" s="227"/>
      <c r="O57" s="623"/>
      <c r="P57" s="623"/>
      <c r="Q57" s="235"/>
      <c r="R57" s="235"/>
    </row>
    <row r="58" spans="1:18" ht="13">
      <c r="A58" s="549">
        <f>A53+1</f>
        <v>24</v>
      </c>
      <c r="B58" s="615"/>
      <c r="C58" s="615"/>
      <c r="E58" s="1050" t="s">
        <v>1316</v>
      </c>
      <c r="F58" s="1051">
        <f>E45</f>
        <v>1926796980</v>
      </c>
      <c r="G58" s="450" t="str">
        <f>"Line "&amp;A45&amp;""</f>
        <v>Line 19</v>
      </c>
      <c r="H58" s="235"/>
      <c r="I58" s="235"/>
      <c r="J58" s="227"/>
      <c r="K58" s="227"/>
      <c r="L58" s="227"/>
      <c r="M58" s="227"/>
      <c r="O58" s="1070"/>
      <c r="P58" s="625"/>
      <c r="Q58" s="235"/>
      <c r="R58" s="235"/>
    </row>
    <row r="59" spans="1:18" ht="13">
      <c r="A59" s="549">
        <f>A58+1</f>
        <v>25</v>
      </c>
      <c r="B59" s="615"/>
      <c r="C59" s="615"/>
      <c r="E59" s="585" t="s">
        <v>239</v>
      </c>
      <c r="F59" s="1069">
        <f>'27-Allocators'!G15</f>
        <v>6.982260642173875E-2</v>
      </c>
      <c r="G59" s="450" t="str">
        <f>"27-Allocators, Line "&amp;'27-Allocators'!A15&amp;""</f>
        <v>27-Allocators, Line 9</v>
      </c>
      <c r="H59" s="235"/>
      <c r="I59" s="235"/>
      <c r="J59" s="227"/>
      <c r="K59" s="227"/>
      <c r="L59" s="227"/>
      <c r="M59" s="227"/>
      <c r="O59" s="1070"/>
      <c r="P59" s="625"/>
      <c r="Q59" s="235"/>
      <c r="R59" s="235"/>
    </row>
    <row r="60" spans="1:18" ht="13">
      <c r="A60" s="549">
        <f>A59+1</f>
        <v>26</v>
      </c>
      <c r="B60" s="615"/>
      <c r="C60" s="615"/>
      <c r="E60" s="585" t="s">
        <v>1317</v>
      </c>
      <c r="F60" s="1051">
        <f>F58*F59</f>
        <v>134533987.18913484</v>
      </c>
      <c r="G60" s="241" t="str">
        <f>"Line "&amp;A58&amp;" * Line "&amp;A59&amp;""</f>
        <v>Line 24 * Line 25</v>
      </c>
      <c r="H60" s="235"/>
      <c r="I60" s="235"/>
      <c r="J60" s="227"/>
      <c r="K60" s="227"/>
      <c r="L60" s="227"/>
      <c r="M60" s="227"/>
      <c r="Q60" s="235"/>
      <c r="R60" s="235"/>
    </row>
    <row r="61" spans="1:18">
      <c r="B61" s="227"/>
      <c r="C61" s="227"/>
      <c r="D61" s="227"/>
      <c r="E61" s="227"/>
      <c r="F61" s="227"/>
      <c r="G61" s="227"/>
      <c r="H61" s="227"/>
      <c r="I61" s="227"/>
      <c r="J61" s="227"/>
      <c r="K61" s="227"/>
      <c r="L61" s="227"/>
      <c r="M61" s="227"/>
      <c r="Q61" s="235"/>
      <c r="R61" s="235"/>
    </row>
    <row r="62" spans="1:18">
      <c r="Q62" s="235"/>
      <c r="R62" s="235"/>
    </row>
    <row r="63" spans="1:18" ht="13">
      <c r="B63" s="1" t="s">
        <v>1528</v>
      </c>
      <c r="Q63" s="235"/>
      <c r="R63" s="235"/>
    </row>
    <row r="64" spans="1:18">
      <c r="Q64" s="235"/>
      <c r="R64" s="235"/>
    </row>
    <row r="65" spans="1:14" ht="13">
      <c r="C65" s="1" t="s">
        <v>2364</v>
      </c>
      <c r="D65" s="463"/>
      <c r="E65" s="463"/>
      <c r="F65" s="463"/>
      <c r="G65" s="463"/>
      <c r="H65" s="463"/>
      <c r="I65" s="463"/>
      <c r="J65" s="463"/>
      <c r="K65" s="463"/>
      <c r="L65" s="463"/>
    </row>
    <row r="66" spans="1:14">
      <c r="A66" s="463"/>
      <c r="C66" s="463"/>
      <c r="D66" s="463"/>
      <c r="E66" s="463"/>
      <c r="F66" s="463"/>
      <c r="G66" s="463"/>
      <c r="H66" s="463"/>
      <c r="I66" s="463"/>
      <c r="J66" s="463"/>
      <c r="K66" s="463"/>
      <c r="L66" s="463"/>
    </row>
    <row r="67" spans="1:14" ht="13">
      <c r="A67" s="382"/>
      <c r="C67" s="84" t="s">
        <v>358</v>
      </c>
      <c r="D67" s="84" t="s">
        <v>342</v>
      </c>
      <c r="E67" s="84" t="s">
        <v>343</v>
      </c>
      <c r="F67" s="84" t="s">
        <v>344</v>
      </c>
      <c r="G67" s="84" t="s">
        <v>345</v>
      </c>
      <c r="H67" s="84" t="s">
        <v>346</v>
      </c>
      <c r="I67" s="84" t="s">
        <v>347</v>
      </c>
      <c r="J67" s="84" t="s">
        <v>534</v>
      </c>
      <c r="K67" s="84" t="s">
        <v>949</v>
      </c>
      <c r="L67" s="84" t="s">
        <v>961</v>
      </c>
      <c r="M67" s="84" t="s">
        <v>964</v>
      </c>
      <c r="N67" s="84" t="s">
        <v>982</v>
      </c>
    </row>
    <row r="68" spans="1:14">
      <c r="A68" s="227"/>
      <c r="C68" s="243"/>
      <c r="D68" s="227"/>
      <c r="E68" s="227"/>
      <c r="F68" s="227"/>
      <c r="G68" s="227"/>
      <c r="H68" s="227"/>
      <c r="I68" s="227"/>
      <c r="J68" s="227"/>
      <c r="K68" s="227"/>
      <c r="L68" s="227"/>
      <c r="N68" s="243" t="s">
        <v>1214</v>
      </c>
    </row>
    <row r="69" spans="1:14" ht="13">
      <c r="A69" s="51"/>
      <c r="C69" s="122" t="s">
        <v>1748</v>
      </c>
      <c r="D69" s="84">
        <v>350.1</v>
      </c>
      <c r="E69" s="84">
        <v>350.2</v>
      </c>
      <c r="F69" s="84">
        <v>352</v>
      </c>
      <c r="G69" s="84">
        <v>353</v>
      </c>
      <c r="H69" s="84">
        <v>354</v>
      </c>
      <c r="I69" s="84">
        <v>355</v>
      </c>
      <c r="J69" s="84">
        <v>356</v>
      </c>
      <c r="K69" s="84">
        <v>357</v>
      </c>
      <c r="L69" s="84">
        <v>358</v>
      </c>
      <c r="M69" s="84">
        <v>359</v>
      </c>
      <c r="N69" s="3" t="s">
        <v>196</v>
      </c>
    </row>
    <row r="70" spans="1:14" ht="13">
      <c r="A70" s="549">
        <f>A60+1</f>
        <v>27</v>
      </c>
      <c r="C70" s="700" t="s">
        <v>2713</v>
      </c>
      <c r="D70" s="477">
        <f>'17-Depreciation'!C48</f>
        <v>0</v>
      </c>
      <c r="E70" s="477">
        <f>'17-Depreciation'!D48</f>
        <v>229263.38304774932</v>
      </c>
      <c r="F70" s="477">
        <f>'17-Depreciation'!E48</f>
        <v>1587468.8067697342</v>
      </c>
      <c r="G70" s="477">
        <f>'17-Depreciation'!F48</f>
        <v>7646572.8037617169</v>
      </c>
      <c r="H70" s="477">
        <f>'17-Depreciation'!G48</f>
        <v>4687087.048275033</v>
      </c>
      <c r="I70" s="477">
        <f>'17-Depreciation'!H48</f>
        <v>1247803.1167135027</v>
      </c>
      <c r="J70" s="477">
        <f>'17-Depreciation'!I48</f>
        <v>3578700.2566933427</v>
      </c>
      <c r="K70" s="477">
        <f>'17-Depreciation'!J48</f>
        <v>296131.96459880058</v>
      </c>
      <c r="L70" s="477">
        <f>'17-Depreciation'!K48</f>
        <v>191086.29908034575</v>
      </c>
      <c r="M70" s="477">
        <f>'17-Depreciation'!L48</f>
        <v>232897.07804094508</v>
      </c>
      <c r="N70" s="229">
        <f t="shared" ref="N70:N82" si="5">SUM(D70:M70)</f>
        <v>19697010.756981175</v>
      </c>
    </row>
    <row r="71" spans="1:14" ht="13">
      <c r="A71" s="549">
        <f t="shared" ref="A71:A82" si="6">A70+1</f>
        <v>28</v>
      </c>
      <c r="C71" s="699" t="s">
        <v>2714</v>
      </c>
      <c r="D71" s="477">
        <f>'17-Depreciation'!C49</f>
        <v>0</v>
      </c>
      <c r="E71" s="477">
        <f>'17-Depreciation'!D49</f>
        <v>230965.00331642103</v>
      </c>
      <c r="F71" s="477">
        <f>'17-Depreciation'!E49</f>
        <v>1593359.286635984</v>
      </c>
      <c r="G71" s="477">
        <f>'17-Depreciation'!F49</f>
        <v>7656774.2286531264</v>
      </c>
      <c r="H71" s="477">
        <f>'17-Depreciation'!G49</f>
        <v>4685391.9583498808</v>
      </c>
      <c r="I71" s="477">
        <f>'17-Depreciation'!H49</f>
        <v>1252838.2206907638</v>
      </c>
      <c r="J71" s="477">
        <f>'17-Depreciation'!I49</f>
        <v>3583562.7167767989</v>
      </c>
      <c r="K71" s="477">
        <f>'17-Depreciation'!J49</f>
        <v>296137.39489376912</v>
      </c>
      <c r="L71" s="477">
        <f>'17-Depreciation'!K49</f>
        <v>191089.68318393777</v>
      </c>
      <c r="M71" s="477">
        <f>'17-Depreciation'!L49</f>
        <v>232542.01880475049</v>
      </c>
      <c r="N71" s="229">
        <f t="shared" si="5"/>
        <v>19722660.511305436</v>
      </c>
    </row>
    <row r="72" spans="1:14" ht="13">
      <c r="A72" s="549">
        <f t="shared" si="6"/>
        <v>29</v>
      </c>
      <c r="C72" s="699" t="s">
        <v>2715</v>
      </c>
      <c r="D72" s="477">
        <f>'17-Depreciation'!C50</f>
        <v>0</v>
      </c>
      <c r="E72" s="477">
        <f>'17-Depreciation'!D50</f>
        <v>230965.81646742101</v>
      </c>
      <c r="F72" s="477">
        <f>'17-Depreciation'!E50</f>
        <v>1602099.3986572511</v>
      </c>
      <c r="G72" s="477">
        <f>'17-Depreciation'!F50</f>
        <v>7714939.1745210299</v>
      </c>
      <c r="H72" s="477">
        <f>'17-Depreciation'!G50</f>
        <v>4685290.9475725992</v>
      </c>
      <c r="I72" s="477">
        <f>'17-Depreciation'!H50</f>
        <v>1258543.6018015805</v>
      </c>
      <c r="J72" s="477">
        <f>'17-Depreciation'!I50</f>
        <v>3585763.0886135953</v>
      </c>
      <c r="K72" s="477">
        <f>'17-Depreciation'!J50</f>
        <v>296143.50536661694</v>
      </c>
      <c r="L72" s="477">
        <f>'17-Depreciation'!K50</f>
        <v>191093.36994173017</v>
      </c>
      <c r="M72" s="477">
        <f>'17-Depreciation'!L50</f>
        <v>232681.81999791367</v>
      </c>
      <c r="N72" s="229">
        <f t="shared" si="5"/>
        <v>19797520.722939737</v>
      </c>
    </row>
    <row r="73" spans="1:14" ht="13">
      <c r="A73" s="549">
        <f t="shared" si="6"/>
        <v>30</v>
      </c>
      <c r="C73" s="700" t="s">
        <v>2716</v>
      </c>
      <c r="D73" s="477">
        <f>'17-Depreciation'!C51</f>
        <v>0</v>
      </c>
      <c r="E73" s="477">
        <f>'17-Depreciation'!D51</f>
        <v>230973.40606856401</v>
      </c>
      <c r="F73" s="477">
        <f>'17-Depreciation'!E51</f>
        <v>1608212.0796579414</v>
      </c>
      <c r="G73" s="477">
        <f>'17-Depreciation'!F51</f>
        <v>7736826.4744952666</v>
      </c>
      <c r="H73" s="477">
        <f>'17-Depreciation'!G51</f>
        <v>4686831.9355508713</v>
      </c>
      <c r="I73" s="477">
        <f>'17-Depreciation'!H51</f>
        <v>1265494.0232905687</v>
      </c>
      <c r="J73" s="477">
        <f>'17-Depreciation'!I51</f>
        <v>3588521.3409075998</v>
      </c>
      <c r="K73" s="477">
        <f>'17-Depreciation'!J51</f>
        <v>296155.12683449307</v>
      </c>
      <c r="L73" s="477">
        <f>'17-Depreciation'!K51</f>
        <v>191114.73251453074</v>
      </c>
      <c r="M73" s="477">
        <f>'17-Depreciation'!L51</f>
        <v>232639.06956975721</v>
      </c>
      <c r="N73" s="229">
        <f t="shared" si="5"/>
        <v>19836768.188889593</v>
      </c>
    </row>
    <row r="74" spans="1:14" ht="13">
      <c r="A74" s="549">
        <f t="shared" si="6"/>
        <v>31</v>
      </c>
      <c r="C74" s="699" t="s">
        <v>2717</v>
      </c>
      <c r="D74" s="477">
        <f>'17-Depreciation'!C52</f>
        <v>0</v>
      </c>
      <c r="E74" s="477">
        <f>'17-Depreciation'!D52</f>
        <v>230974.60661801358</v>
      </c>
      <c r="F74" s="477">
        <f>'17-Depreciation'!E52</f>
        <v>1623777.2624270357</v>
      </c>
      <c r="G74" s="477">
        <f>'17-Depreciation'!F52</f>
        <v>7757245.414160124</v>
      </c>
      <c r="H74" s="477">
        <f>'17-Depreciation'!G52</f>
        <v>4694441.3498998545</v>
      </c>
      <c r="I74" s="477">
        <f>'17-Depreciation'!H52</f>
        <v>1268782.6230913573</v>
      </c>
      <c r="J74" s="477">
        <f>'17-Depreciation'!I52</f>
        <v>3591774.2328434647</v>
      </c>
      <c r="K74" s="477">
        <f>'17-Depreciation'!J52</f>
        <v>296168.12648965552</v>
      </c>
      <c r="L74" s="477">
        <f>'17-Depreciation'!K52</f>
        <v>191108.09268810527</v>
      </c>
      <c r="M74" s="477">
        <f>'17-Depreciation'!L52</f>
        <v>232599.33635756897</v>
      </c>
      <c r="N74" s="229">
        <f t="shared" si="5"/>
        <v>19886871.044575177</v>
      </c>
    </row>
    <row r="75" spans="1:14" ht="13">
      <c r="A75" s="549">
        <f t="shared" si="6"/>
        <v>32</v>
      </c>
      <c r="C75" s="699" t="s">
        <v>2718</v>
      </c>
      <c r="D75" s="477">
        <f>'17-Depreciation'!C53</f>
        <v>0</v>
      </c>
      <c r="E75" s="477">
        <f>'17-Depreciation'!D53</f>
        <v>230971.99510872041</v>
      </c>
      <c r="F75" s="477">
        <f>'17-Depreciation'!E53</f>
        <v>1663986.9253602254</v>
      </c>
      <c r="G75" s="477">
        <f>'17-Depreciation'!F53</f>
        <v>7817576.3348678453</v>
      </c>
      <c r="H75" s="477">
        <f>'17-Depreciation'!G53</f>
        <v>4694678.6720042331</v>
      </c>
      <c r="I75" s="477">
        <f>'17-Depreciation'!H53</f>
        <v>1270558.04388973</v>
      </c>
      <c r="J75" s="477">
        <f>'17-Depreciation'!I53</f>
        <v>3592499.3599674962</v>
      </c>
      <c r="K75" s="477">
        <f>'17-Depreciation'!J53</f>
        <v>296170.08180599468</v>
      </c>
      <c r="L75" s="477">
        <f>'17-Depreciation'!K53</f>
        <v>191109.48633510826</v>
      </c>
      <c r="M75" s="477">
        <f>'17-Depreciation'!L53</f>
        <v>232612.80944995544</v>
      </c>
      <c r="N75" s="229">
        <f t="shared" si="5"/>
        <v>19990163.708789311</v>
      </c>
    </row>
    <row r="76" spans="1:14" ht="13">
      <c r="A76" s="549">
        <f t="shared" si="6"/>
        <v>33</v>
      </c>
      <c r="C76" s="700" t="s">
        <v>2719</v>
      </c>
      <c r="D76" s="477">
        <f>'17-Depreciation'!C54</f>
        <v>0</v>
      </c>
      <c r="E76" s="477">
        <f>'17-Depreciation'!D54</f>
        <v>230972.95478731324</v>
      </c>
      <c r="F76" s="477">
        <f>'17-Depreciation'!E54</f>
        <v>1648570.8387045001</v>
      </c>
      <c r="G76" s="477">
        <f>'17-Depreciation'!F54</f>
        <v>7894893.8424764797</v>
      </c>
      <c r="H76" s="477">
        <f>'17-Depreciation'!G54</f>
        <v>4702523.7488973839</v>
      </c>
      <c r="I76" s="477">
        <f>'17-Depreciation'!H54</f>
        <v>1297688.2895548351</v>
      </c>
      <c r="J76" s="477">
        <f>'17-Depreciation'!I54</f>
        <v>3592616.444637239</v>
      </c>
      <c r="K76" s="477">
        <f>'17-Depreciation'!J54</f>
        <v>296176.02039557032</v>
      </c>
      <c r="L76" s="477">
        <f>'17-Depreciation'!K54</f>
        <v>191125.8526107528</v>
      </c>
      <c r="M76" s="477">
        <f>'17-Depreciation'!L54</f>
        <v>232937.95191141521</v>
      </c>
      <c r="N76" s="229">
        <f t="shared" si="5"/>
        <v>20087505.94397549</v>
      </c>
    </row>
    <row r="77" spans="1:14" ht="13">
      <c r="A77" s="549">
        <f t="shared" si="6"/>
        <v>34</v>
      </c>
      <c r="C77" s="699" t="s">
        <v>2720</v>
      </c>
      <c r="D77" s="477">
        <f>'17-Depreciation'!C55</f>
        <v>0</v>
      </c>
      <c r="E77" s="477">
        <f>'17-Depreciation'!D55</f>
        <v>230974.01779597989</v>
      </c>
      <c r="F77" s="477">
        <f>'17-Depreciation'!E55</f>
        <v>1700865.5412432819</v>
      </c>
      <c r="G77" s="477">
        <f>'17-Depreciation'!F55</f>
        <v>7915657.7586503075</v>
      </c>
      <c r="H77" s="477">
        <f>'17-Depreciation'!G55</f>
        <v>4704571.6990767196</v>
      </c>
      <c r="I77" s="477">
        <f>'17-Depreciation'!H55</f>
        <v>1300841.1228796947</v>
      </c>
      <c r="J77" s="477">
        <f>'17-Depreciation'!I55</f>
        <v>3596033.9243772184</v>
      </c>
      <c r="K77" s="477">
        <f>'17-Depreciation'!J55</f>
        <v>296179.70676825702</v>
      </c>
      <c r="L77" s="477">
        <f>'17-Depreciation'!K55</f>
        <v>191126.9691724747</v>
      </c>
      <c r="M77" s="477">
        <f>'17-Depreciation'!L55</f>
        <v>233026.17445183048</v>
      </c>
      <c r="N77" s="229">
        <f t="shared" si="5"/>
        <v>20169276.914415766</v>
      </c>
    </row>
    <row r="78" spans="1:14" ht="13">
      <c r="A78" s="549">
        <f t="shared" si="6"/>
        <v>35</v>
      </c>
      <c r="C78" s="699" t="s">
        <v>2721</v>
      </c>
      <c r="D78" s="477">
        <f>'17-Depreciation'!C56</f>
        <v>0</v>
      </c>
      <c r="E78" s="477">
        <f>'17-Depreciation'!D56</f>
        <v>230976.38343146155</v>
      </c>
      <c r="F78" s="477">
        <f>'17-Depreciation'!E56</f>
        <v>1705840.4516975258</v>
      </c>
      <c r="G78" s="477">
        <f>'17-Depreciation'!F56</f>
        <v>8024541.7853014292</v>
      </c>
      <c r="H78" s="477">
        <f>'17-Depreciation'!G56</f>
        <v>4719796.4495543148</v>
      </c>
      <c r="I78" s="477">
        <f>'17-Depreciation'!H56</f>
        <v>1299374.7162816683</v>
      </c>
      <c r="J78" s="477">
        <f>'17-Depreciation'!I56</f>
        <v>3594050.1319094687</v>
      </c>
      <c r="K78" s="477">
        <f>'17-Depreciation'!J56</f>
        <v>296183.43151739042</v>
      </c>
      <c r="L78" s="477">
        <f>'17-Depreciation'!K56</f>
        <v>191131.50415373803</v>
      </c>
      <c r="M78" s="477">
        <f>'17-Depreciation'!L56</f>
        <v>232972.48634490382</v>
      </c>
      <c r="N78" s="229">
        <f t="shared" si="5"/>
        <v>20294867.340191901</v>
      </c>
    </row>
    <row r="79" spans="1:14" ht="13">
      <c r="A79" s="549">
        <f t="shared" si="6"/>
        <v>36</v>
      </c>
      <c r="C79" s="700" t="s">
        <v>2722</v>
      </c>
      <c r="D79" s="477">
        <f>'17-Depreciation'!C57</f>
        <v>0</v>
      </c>
      <c r="E79" s="477">
        <f>'17-Depreciation'!D57</f>
        <v>230992.49277143492</v>
      </c>
      <c r="F79" s="477">
        <f>'17-Depreciation'!E57</f>
        <v>1713121.7722103309</v>
      </c>
      <c r="G79" s="477">
        <f>'17-Depreciation'!F57</f>
        <v>8052547.8939337367</v>
      </c>
      <c r="H79" s="477">
        <f>'17-Depreciation'!G57</f>
        <v>4714829.0790503873</v>
      </c>
      <c r="I79" s="477">
        <f>'17-Depreciation'!H57</f>
        <v>1303653.5834349175</v>
      </c>
      <c r="J79" s="477">
        <f>'17-Depreciation'!I57</f>
        <v>3593178.8659953908</v>
      </c>
      <c r="K79" s="477">
        <f>'17-Depreciation'!J57</f>
        <v>296189.59923554468</v>
      </c>
      <c r="L79" s="477">
        <f>'17-Depreciation'!K57</f>
        <v>191136.44364536906</v>
      </c>
      <c r="M79" s="477">
        <f>'17-Depreciation'!L57</f>
        <v>232845.5269262779</v>
      </c>
      <c r="N79" s="229">
        <f t="shared" si="5"/>
        <v>20328495.257203393</v>
      </c>
    </row>
    <row r="80" spans="1:14" ht="13">
      <c r="A80" s="549">
        <f t="shared" si="6"/>
        <v>37</v>
      </c>
      <c r="C80" s="700" t="s">
        <v>2723</v>
      </c>
      <c r="D80" s="477">
        <f>'17-Depreciation'!C58</f>
        <v>0</v>
      </c>
      <c r="E80" s="477">
        <f>'17-Depreciation'!D58</f>
        <v>231026.77106630514</v>
      </c>
      <c r="F80" s="477">
        <f>'17-Depreciation'!E58</f>
        <v>1718130.1058482239</v>
      </c>
      <c r="G80" s="477">
        <f>'17-Depreciation'!F58</f>
        <v>8063081.3224928705</v>
      </c>
      <c r="H80" s="477">
        <f>'17-Depreciation'!G58</f>
        <v>4674010.6301238863</v>
      </c>
      <c r="I80" s="477">
        <f>'17-Depreciation'!H58</f>
        <v>1310585.4041320579</v>
      </c>
      <c r="J80" s="477">
        <f>'17-Depreciation'!I58</f>
        <v>3621271.5888403463</v>
      </c>
      <c r="K80" s="477">
        <f>'17-Depreciation'!J58</f>
        <v>296198.5156141023</v>
      </c>
      <c r="L80" s="477">
        <f>'17-Depreciation'!K58</f>
        <v>191147.53045506435</v>
      </c>
      <c r="M80" s="477">
        <f>'17-Depreciation'!L58</f>
        <v>249968.78178134488</v>
      </c>
      <c r="N80" s="229">
        <f t="shared" si="5"/>
        <v>20355420.650354203</v>
      </c>
    </row>
    <row r="81" spans="1:14" ht="13">
      <c r="A81" s="549">
        <f t="shared" si="6"/>
        <v>38</v>
      </c>
      <c r="C81" s="699" t="s">
        <v>2724</v>
      </c>
      <c r="D81" s="110">
        <f>'17-Depreciation'!C59</f>
        <v>0</v>
      </c>
      <c r="E81" s="110">
        <f>'17-Depreciation'!D59</f>
        <v>231028.39901447183</v>
      </c>
      <c r="F81" s="110">
        <f>'17-Depreciation'!E59</f>
        <v>1723599.8814662741</v>
      </c>
      <c r="G81" s="110">
        <f>'17-Depreciation'!F59</f>
        <v>8118517.1009473912</v>
      </c>
      <c r="H81" s="110">
        <f>'17-Depreciation'!G59</f>
        <v>4675317.6778530302</v>
      </c>
      <c r="I81" s="110">
        <f>'17-Depreciation'!H59</f>
        <v>1312575.3819198147</v>
      </c>
      <c r="J81" s="110">
        <f>'17-Depreciation'!I59</f>
        <v>3622494.080316551</v>
      </c>
      <c r="K81" s="110">
        <f>'17-Depreciation'!J59</f>
        <v>296203.76360332716</v>
      </c>
      <c r="L81" s="110">
        <f>'17-Depreciation'!K59</f>
        <v>191144.70432065529</v>
      </c>
      <c r="M81" s="110">
        <f>'17-Depreciation'!L59</f>
        <v>249703.1773877285</v>
      </c>
      <c r="N81" s="360">
        <f t="shared" si="5"/>
        <v>20420584.16682924</v>
      </c>
    </row>
    <row r="82" spans="1:14" ht="13">
      <c r="A82" s="549">
        <f t="shared" si="6"/>
        <v>39</v>
      </c>
      <c r="C82" s="1049" t="s">
        <v>4</v>
      </c>
      <c r="D82" s="229">
        <f t="shared" ref="D82:M82" si="7">SUM(D70:D81)</f>
        <v>0</v>
      </c>
      <c r="E82" s="229">
        <f t="shared" si="7"/>
        <v>2770085.2294938564</v>
      </c>
      <c r="F82" s="229">
        <f t="shared" si="7"/>
        <v>19889032.35067831</v>
      </c>
      <c r="G82" s="229">
        <f t="shared" si="7"/>
        <v>94399174.134261325</v>
      </c>
      <c r="H82" s="229">
        <f t="shared" si="7"/>
        <v>56324771.196208194</v>
      </c>
      <c r="I82" s="229">
        <f t="shared" si="7"/>
        <v>15388738.12768049</v>
      </c>
      <c r="J82" s="229">
        <f t="shared" si="7"/>
        <v>43140466.031878509</v>
      </c>
      <c r="K82" s="229">
        <f t="shared" si="7"/>
        <v>3554037.237123522</v>
      </c>
      <c r="L82" s="229">
        <f t="shared" si="7"/>
        <v>2293414.6681018118</v>
      </c>
      <c r="M82" s="229">
        <f t="shared" si="7"/>
        <v>2827426.231024391</v>
      </c>
      <c r="N82" s="229">
        <f t="shared" si="5"/>
        <v>240587145.20645037</v>
      </c>
    </row>
    <row r="83" spans="1:14">
      <c r="D83" s="14"/>
      <c r="E83" s="14"/>
      <c r="F83" s="14"/>
      <c r="G83" s="14"/>
      <c r="H83" s="14"/>
      <c r="I83" s="14"/>
      <c r="J83" s="14"/>
      <c r="K83" s="14"/>
      <c r="L83" s="14"/>
      <c r="M83" s="14"/>
    </row>
    <row r="84" spans="1:14" ht="13">
      <c r="C84" s="1" t="s">
        <v>2365</v>
      </c>
      <c r="D84" s="463"/>
      <c r="E84" s="463"/>
      <c r="F84" s="463"/>
      <c r="G84" s="463"/>
      <c r="H84" s="463"/>
      <c r="I84" s="463"/>
      <c r="J84" s="463"/>
      <c r="K84" s="463"/>
      <c r="L84" s="463"/>
    </row>
    <row r="85" spans="1:14">
      <c r="C85" s="463"/>
      <c r="D85" s="463"/>
      <c r="E85" s="463"/>
      <c r="F85" s="463"/>
      <c r="G85" s="463"/>
      <c r="H85" s="463"/>
      <c r="I85" s="463"/>
      <c r="J85" s="463"/>
      <c r="K85" s="463"/>
      <c r="L85" s="463"/>
    </row>
    <row r="86" spans="1:14" ht="13">
      <c r="C86" s="84" t="s">
        <v>358</v>
      </c>
      <c r="D86" s="84" t="s">
        <v>342</v>
      </c>
      <c r="E86" s="84" t="s">
        <v>343</v>
      </c>
      <c r="F86" s="84" t="s">
        <v>344</v>
      </c>
      <c r="G86" s="84" t="s">
        <v>345</v>
      </c>
      <c r="H86" s="84" t="s">
        <v>346</v>
      </c>
      <c r="I86" s="84" t="s">
        <v>347</v>
      </c>
      <c r="J86" s="84" t="s">
        <v>534</v>
      </c>
      <c r="K86" s="84" t="s">
        <v>949</v>
      </c>
      <c r="L86" s="84" t="s">
        <v>961</v>
      </c>
      <c r="M86" s="84" t="s">
        <v>964</v>
      </c>
      <c r="N86" s="84"/>
    </row>
    <row r="87" spans="1:14">
      <c r="C87" s="243"/>
      <c r="D87" s="227"/>
      <c r="E87" s="227"/>
      <c r="F87" s="227"/>
      <c r="G87" s="227"/>
      <c r="H87" s="227"/>
      <c r="I87" s="227"/>
      <c r="J87" s="227"/>
      <c r="K87" s="227"/>
      <c r="L87" s="227"/>
      <c r="N87" s="243"/>
    </row>
    <row r="88" spans="1:14" ht="13">
      <c r="C88" s="122" t="s">
        <v>1748</v>
      </c>
      <c r="D88" s="84">
        <v>350.1</v>
      </c>
      <c r="E88" s="84">
        <v>350.2</v>
      </c>
      <c r="F88" s="84">
        <v>352</v>
      </c>
      <c r="G88" s="84">
        <v>353</v>
      </c>
      <c r="H88" s="84">
        <v>354</v>
      </c>
      <c r="I88" s="84">
        <v>355</v>
      </c>
      <c r="J88" s="84">
        <v>356</v>
      </c>
      <c r="K88" s="84">
        <v>357</v>
      </c>
      <c r="L88" s="84">
        <v>358</v>
      </c>
      <c r="M88" s="84">
        <v>359</v>
      </c>
      <c r="N88" s="3"/>
    </row>
    <row r="89" spans="1:14" ht="13">
      <c r="A89" s="549">
        <f>A82+1</f>
        <v>40</v>
      </c>
      <c r="C89" s="700" t="s">
        <v>2713</v>
      </c>
      <c r="D89" s="1072">
        <f>'6-PlantInService'!C167</f>
        <v>6.9012166969825872E-2</v>
      </c>
      <c r="E89" s="1072">
        <f>'6-PlantInService'!D167</f>
        <v>0.9765404541175795</v>
      </c>
      <c r="F89" s="1072">
        <f>'6-PlantInService'!E167</f>
        <v>4.0252120205028434E-2</v>
      </c>
      <c r="G89" s="1072">
        <f>'6-PlantInService'!F167</f>
        <v>1.6285483980901863E-2</v>
      </c>
      <c r="H89" s="1072">
        <f>'6-PlantInService'!G167</f>
        <v>-4.9775507787094102E-2</v>
      </c>
      <c r="I89" s="1072">
        <f>'6-PlantInService'!H167</f>
        <v>0.11153448063555241</v>
      </c>
      <c r="J89" s="1072">
        <f>'6-PlantInService'!I167</f>
        <v>3.7047954564355591E-2</v>
      </c>
      <c r="K89" s="1072">
        <f>'6-PlantInService'!J167</f>
        <v>2.2689094327101508E-5</v>
      </c>
      <c r="L89" s="1072">
        <f>'6-PlantInService'!K167</f>
        <v>-4.2176339720324391E-2</v>
      </c>
      <c r="M89" s="1072">
        <f>'6-PlantInService'!L167</f>
        <v>0.13249254683640158</v>
      </c>
      <c r="N89" s="229"/>
    </row>
    <row r="90" spans="1:14" ht="13">
      <c r="A90" s="549">
        <f t="shared" ref="A90:A100" si="8">A89+1</f>
        <v>41</v>
      </c>
      <c r="C90" s="699" t="s">
        <v>2714</v>
      </c>
      <c r="D90" s="1072">
        <f>'6-PlantInService'!C168</f>
        <v>-4.2763933911775329E-13</v>
      </c>
      <c r="E90" s="1072">
        <f>'6-PlantInService'!D168</f>
        <v>0</v>
      </c>
      <c r="F90" s="1072">
        <f>'6-PlantInService'!E168</f>
        <v>5.6470222881445958E-2</v>
      </c>
      <c r="G90" s="1072">
        <f>'6-PlantInService'!F168</f>
        <v>9.7085514267435016E-2</v>
      </c>
      <c r="H90" s="1072">
        <f>'6-PlantInService'!G168</f>
        <v>-1.0834724803594327E-2</v>
      </c>
      <c r="I90" s="1072">
        <f>'6-PlantInService'!H168</f>
        <v>0.10403078321541868</v>
      </c>
      <c r="J90" s="1072">
        <f>'6-PlantInService'!I168</f>
        <v>1.0938832775979427E-2</v>
      </c>
      <c r="K90" s="1072">
        <f>'6-PlantInService'!J168</f>
        <v>3.8517706876500819E-3</v>
      </c>
      <c r="L90" s="1072">
        <f>'6-PlantInService'!K168</f>
        <v>-1.5535623004589799E-2</v>
      </c>
      <c r="M90" s="1072">
        <f>'6-PlantInService'!L168</f>
        <v>1.5203475697818223E-2</v>
      </c>
      <c r="N90" s="229"/>
    </row>
    <row r="91" spans="1:14" ht="13">
      <c r="A91" s="549">
        <f t="shared" si="8"/>
        <v>42</v>
      </c>
      <c r="C91" s="699" t="s">
        <v>2715</v>
      </c>
      <c r="D91" s="1072">
        <f>'6-PlantInService'!C169</f>
        <v>7.3769786105489038E-2</v>
      </c>
      <c r="E91" s="1072">
        <f>'6-PlantInService'!D169</f>
        <v>4.3582052564740117E-3</v>
      </c>
      <c r="F91" s="1072">
        <f>'6-PlantInService'!E169</f>
        <v>4.7388400235639762E-2</v>
      </c>
      <c r="G91" s="1072">
        <f>'6-PlantInService'!F169</f>
        <v>4.273534846657593E-2</v>
      </c>
      <c r="H91" s="1072">
        <f>'6-PlantInService'!G169</f>
        <v>6.2864950057309479E-2</v>
      </c>
      <c r="I91" s="1072">
        <f>'6-PlantInService'!H169</f>
        <v>0.13304459499576468</v>
      </c>
      <c r="J91" s="1072">
        <f>'6-PlantInService'!I169</f>
        <v>2.7366159683341981E-2</v>
      </c>
      <c r="K91" s="1072">
        <f>'6-PlantInService'!J169</f>
        <v>4.3648356922400184E-5</v>
      </c>
      <c r="L91" s="1072">
        <f>'6-PlantInService'!K169</f>
        <v>7.8897740454770771E-2</v>
      </c>
      <c r="M91" s="1072">
        <f>'6-PlantInService'!L169</f>
        <v>2.7672775719454266E-3</v>
      </c>
      <c r="N91" s="229"/>
    </row>
    <row r="92" spans="1:14" ht="13">
      <c r="A92" s="549">
        <f t="shared" si="8"/>
        <v>43</v>
      </c>
      <c r="C92" s="700" t="s">
        <v>2716</v>
      </c>
      <c r="D92" s="1072">
        <f>'6-PlantInService'!C170</f>
        <v>0.40444641379145796</v>
      </c>
      <c r="E92" s="1072">
        <f>'6-PlantInService'!D170</f>
        <v>6.8582142803404623E-4</v>
      </c>
      <c r="F92" s="1072">
        <f>'6-PlantInService'!E170</f>
        <v>0.12856220620997288</v>
      </c>
      <c r="G92" s="1072">
        <f>'6-PlantInService'!F170</f>
        <v>2.5711798268218053E-2</v>
      </c>
      <c r="H92" s="1072">
        <f>'6-PlantInService'!G170</f>
        <v>0.30668944342763277</v>
      </c>
      <c r="I92" s="1072">
        <f>'6-PlantInService'!H170</f>
        <v>6.5156909862569848E-2</v>
      </c>
      <c r="J92" s="1072">
        <f>'6-PlantInService'!I170</f>
        <v>4.175913581666528E-2</v>
      </c>
      <c r="K92" s="1072">
        <f>'6-PlantInService'!J170</f>
        <v>-7.4640219240257582E-3</v>
      </c>
      <c r="L92" s="1072">
        <f>'6-PlantInService'!K170</f>
        <v>-3.0985110258852075E-2</v>
      </c>
      <c r="M92" s="1072">
        <f>'6-PlantInService'!L170</f>
        <v>2.1950876613319316E-3</v>
      </c>
      <c r="N92" s="229"/>
    </row>
    <row r="93" spans="1:14" ht="13">
      <c r="A93" s="549">
        <f t="shared" si="8"/>
        <v>44</v>
      </c>
      <c r="C93" s="699" t="s">
        <v>2717</v>
      </c>
      <c r="D93" s="1072">
        <f>'6-PlantInService'!C171</f>
        <v>0.45277163313429625</v>
      </c>
      <c r="E93" s="1072">
        <f>'6-PlantInService'!D171</f>
        <v>-2.6881095005929982E-3</v>
      </c>
      <c r="F93" s="1072">
        <f>'6-PlantInService'!E171</f>
        <v>0.32996315911117846</v>
      </c>
      <c r="G93" s="1072">
        <f>'6-PlantInService'!F171</f>
        <v>0.12384081986619234</v>
      </c>
      <c r="H93" s="1072">
        <f>'6-PlantInService'!G171</f>
        <v>8.4790153616900021E-3</v>
      </c>
      <c r="I93" s="1072">
        <f>'6-PlantInService'!H171</f>
        <v>3.3556336045073722E-2</v>
      </c>
      <c r="J93" s="1072">
        <f>'6-PlantInService'!I171</f>
        <v>7.4918434777227145E-3</v>
      </c>
      <c r="K93" s="1072">
        <f>'6-PlantInService'!J171</f>
        <v>3.375503794695728E-6</v>
      </c>
      <c r="L93" s="1072">
        <f>'6-PlantInService'!K171</f>
        <v>4.812831459034661E-2</v>
      </c>
      <c r="M93" s="1072">
        <f>'6-PlantInService'!L171</f>
        <v>2.9733819606246889E-3</v>
      </c>
      <c r="N93" s="229"/>
    </row>
    <row r="94" spans="1:14" ht="13">
      <c r="A94" s="549">
        <f t="shared" si="8"/>
        <v>45</v>
      </c>
      <c r="C94" s="699" t="s">
        <v>2718</v>
      </c>
      <c r="D94" s="1072">
        <f>'6-PlantInService'!C172</f>
        <v>0</v>
      </c>
      <c r="E94" s="1072">
        <f>'6-PlantInService'!D172</f>
        <v>-8.6715465427136172E-6</v>
      </c>
      <c r="F94" s="1072">
        <f>'6-PlantInService'!E172</f>
        <v>-0.12693004162928956</v>
      </c>
      <c r="G94" s="1072">
        <f>'6-PlantInService'!F172</f>
        <v>0.16499911321015787</v>
      </c>
      <c r="H94" s="1072">
        <f>'6-PlantInService'!G172</f>
        <v>1.7872438663778908E-2</v>
      </c>
      <c r="I94" s="1072">
        <f>'6-PlantInService'!H172</f>
        <v>0.274490801790716</v>
      </c>
      <c r="J94" s="1072">
        <f>'6-PlantInService'!I172</f>
        <v>-0.26621398820203346</v>
      </c>
      <c r="K94" s="1072">
        <f>'6-PlantInService'!J172</f>
        <v>0.76720798705073068</v>
      </c>
      <c r="L94" s="1072">
        <f>'6-PlantInService'!K172</f>
        <v>0.7381069989229615</v>
      </c>
      <c r="M94" s="1072">
        <f>'6-PlantInService'!L172</f>
        <v>0.78602516304338266</v>
      </c>
      <c r="N94" s="229"/>
    </row>
    <row r="95" spans="1:14" ht="13">
      <c r="A95" s="549">
        <f t="shared" si="8"/>
        <v>46</v>
      </c>
      <c r="C95" s="700" t="s">
        <v>2719</v>
      </c>
      <c r="D95" s="1072">
        <f>'6-PlantInService'!C173</f>
        <v>-6.4145900867662996E-13</v>
      </c>
      <c r="E95" s="1072">
        <f>'6-PlantInService'!D173</f>
        <v>0</v>
      </c>
      <c r="F95" s="1072">
        <f>'6-PlantInService'!E173</f>
        <v>0.32023996161864832</v>
      </c>
      <c r="G95" s="1072">
        <f>'6-PlantInService'!F173</f>
        <v>7.1150053939373695E-2</v>
      </c>
      <c r="H95" s="1072">
        <f>'6-PlantInService'!G173</f>
        <v>7.7831844889183446E-2</v>
      </c>
      <c r="I95" s="1072">
        <f>'6-PlantInService'!H173</f>
        <v>5.6924198165069037E-2</v>
      </c>
      <c r="J95" s="1072">
        <f>'6-PlantInService'!I173</f>
        <v>4.8343423971894742E-2</v>
      </c>
      <c r="K95" s="1072">
        <f>'6-PlantInService'!J173</f>
        <v>7.3864545580875907E-2</v>
      </c>
      <c r="L95" s="1072">
        <f>'6-PlantInService'!K173</f>
        <v>-3.8843207754727077E-2</v>
      </c>
      <c r="M95" s="1072">
        <f>'6-PlantInService'!L173</f>
        <v>3.6293201010703109E-2</v>
      </c>
      <c r="N95" s="229"/>
    </row>
    <row r="96" spans="1:14" ht="13">
      <c r="A96" s="549">
        <f t="shared" si="8"/>
        <v>47</v>
      </c>
      <c r="C96" s="699" t="s">
        <v>2720</v>
      </c>
      <c r="D96" s="1072">
        <f>'6-PlantInService'!C174</f>
        <v>0</v>
      </c>
      <c r="E96" s="1072">
        <f>'6-PlantInService'!D174</f>
        <v>8.8166282004792211E-4</v>
      </c>
      <c r="F96" s="1072">
        <f>'6-PlantInService'!E174</f>
        <v>4.0464232690772754E-2</v>
      </c>
      <c r="G96" s="1072">
        <f>'6-PlantInService'!F174</f>
        <v>0.23224285915948711</v>
      </c>
      <c r="H96" s="1072">
        <f>'6-PlantInService'!G174</f>
        <v>0.61436864337448138</v>
      </c>
      <c r="I96" s="1072">
        <f>'6-PlantInService'!H174</f>
        <v>-2.7610769865778123E-2</v>
      </c>
      <c r="J96" s="1072">
        <f>'6-PlantInService'!I174</f>
        <v>-3.8775396640088812E-2</v>
      </c>
      <c r="K96" s="1072">
        <f>'6-PlantInService'!J174</f>
        <v>4.455247716399088E-4</v>
      </c>
      <c r="L96" s="1072">
        <f>'6-PlantInService'!K174</f>
        <v>2.1480394567333163E-2</v>
      </c>
      <c r="M96" s="1072">
        <f>'6-PlantInService'!L174</f>
        <v>4.1994040345053191E-3</v>
      </c>
      <c r="N96" s="229"/>
    </row>
    <row r="97" spans="1:14" ht="13">
      <c r="A97" s="549">
        <f t="shared" si="8"/>
        <v>48</v>
      </c>
      <c r="C97" s="699" t="s">
        <v>2721</v>
      </c>
      <c r="D97" s="1072">
        <f>'6-PlantInService'!C175</f>
        <v>0</v>
      </c>
      <c r="E97" s="1072">
        <f>'6-PlantInService'!D175</f>
        <v>9.2506143605108927E-3</v>
      </c>
      <c r="F97" s="1072">
        <f>'6-PlantInService'!E175</f>
        <v>6.2100262145633564E-2</v>
      </c>
      <c r="G97" s="1072">
        <f>'6-PlantInService'!F175</f>
        <v>6.110715994204037E-2</v>
      </c>
      <c r="H97" s="1072">
        <f>'6-PlantInService'!G175</f>
        <v>-0.13789824367395812</v>
      </c>
      <c r="I97" s="1072">
        <f>'6-PlantInService'!H175</f>
        <v>0.1025586815950983</v>
      </c>
      <c r="J97" s="1072">
        <f>'6-PlantInService'!I175</f>
        <v>-4.9184889194723192E-4</v>
      </c>
      <c r="K97" s="1072">
        <f>'6-PlantInService'!J175</f>
        <v>-1.2675697037026583E-3</v>
      </c>
      <c r="L97" s="1072">
        <f>'6-PlantInService'!K175</f>
        <v>-2.5416281397134449E-2</v>
      </c>
      <c r="M97" s="1072">
        <f>'6-PlantInService'!L175</f>
        <v>1.4757253963404306E-2</v>
      </c>
      <c r="N97" s="229"/>
    </row>
    <row r="98" spans="1:14" ht="13">
      <c r="A98" s="549">
        <f t="shared" si="8"/>
        <v>49</v>
      </c>
      <c r="C98" s="700" t="s">
        <v>2722</v>
      </c>
      <c r="D98" s="1072">
        <f>'6-PlantInService'!C176</f>
        <v>2.1381966955887664E-13</v>
      </c>
      <c r="E98" s="1072">
        <f>'6-PlantInService'!D176</f>
        <v>1.9683754399216959E-2</v>
      </c>
      <c r="F98" s="1072">
        <f>'6-PlantInService'!E176</f>
        <v>3.8248924988774587E-2</v>
      </c>
      <c r="G98" s="1072">
        <f>'6-PlantInService'!F176</f>
        <v>2.0358349429546049E-2</v>
      </c>
      <c r="H98" s="1072">
        <f>'6-PlantInService'!G176</f>
        <v>2.8621361632769761E-3</v>
      </c>
      <c r="I98" s="1072">
        <f>'6-PlantInService'!H176</f>
        <v>-2.5444232166549886E-2</v>
      </c>
      <c r="J98" s="1072">
        <f>'6-PlantInService'!I176</f>
        <v>0.21047979125249755</v>
      </c>
      <c r="K98" s="1072">
        <f>'6-PlantInService'!J176</f>
        <v>0.1444677874710372</v>
      </c>
      <c r="L98" s="1072">
        <f>'6-PlantInService'!K176</f>
        <v>0.25402968889035982</v>
      </c>
      <c r="M98" s="1072">
        <f>'6-PlantInService'!L176</f>
        <v>-4.9327526405905063E-3</v>
      </c>
      <c r="N98" s="229"/>
    </row>
    <row r="99" spans="1:14" ht="13">
      <c r="A99" s="549">
        <f t="shared" si="8"/>
        <v>50</v>
      </c>
      <c r="C99" s="700" t="s">
        <v>2723</v>
      </c>
      <c r="D99" s="1072">
        <f>'6-PlantInService'!C177</f>
        <v>0</v>
      </c>
      <c r="E99" s="1072">
        <f>'6-PlantInService'!D177</f>
        <v>8.0158879053100063E-15</v>
      </c>
      <c r="F99" s="1072">
        <f>'6-PlantInService'!E177</f>
        <v>4.4877674396774037E-2</v>
      </c>
      <c r="G99" s="1072">
        <f>'6-PlantInService'!F177</f>
        <v>8.243084495489289E-2</v>
      </c>
      <c r="H99" s="1072">
        <f>'6-PlantInService'!G177</f>
        <v>3.82798266786155E-2</v>
      </c>
      <c r="I99" s="1072">
        <f>'6-PlantInService'!H177</f>
        <v>3.0663698079852472E-2</v>
      </c>
      <c r="J99" s="1072">
        <f>'6-PlantInService'!I177</f>
        <v>1.3229991556501274E-2</v>
      </c>
      <c r="K99" s="1072">
        <f>'6-PlantInService'!J177</f>
        <v>3.8391569075777511E-3</v>
      </c>
      <c r="L99" s="1072">
        <f>'6-PlantInService'!K177</f>
        <v>-1.0702386516889428E-2</v>
      </c>
      <c r="M99" s="1072">
        <f>'6-PlantInService'!L177</f>
        <v>5.0529569593285003E-3</v>
      </c>
      <c r="N99" s="229"/>
    </row>
    <row r="100" spans="1:14" ht="13">
      <c r="A100" s="549">
        <f t="shared" si="8"/>
        <v>51</v>
      </c>
      <c r="C100" s="699" t="s">
        <v>2724</v>
      </c>
      <c r="D100" s="1072">
        <f>'6-PlantInService'!C178</f>
        <v>-2.1381966955887664E-13</v>
      </c>
      <c r="E100" s="1072">
        <f>'6-PlantInService'!D178</f>
        <v>-8.7037313347356152E-3</v>
      </c>
      <c r="F100" s="1072">
        <f>'6-PlantInService'!E178</f>
        <v>1.8362877145420849E-2</v>
      </c>
      <c r="G100" s="1072">
        <f>'6-PlantInService'!F178</f>
        <v>6.2052654515178794E-2</v>
      </c>
      <c r="H100" s="1072">
        <f>'6-PlantInService'!G178</f>
        <v>6.9260177648678062E-2</v>
      </c>
      <c r="I100" s="1072">
        <f>'6-PlantInService'!H178</f>
        <v>0.14109451764721284</v>
      </c>
      <c r="J100" s="1072">
        <f>'6-PlantInService'!I178</f>
        <v>0.90882410063511099</v>
      </c>
      <c r="K100" s="1072">
        <f>'6-PlantInService'!J178</f>
        <v>1.4985106203172741E-2</v>
      </c>
      <c r="L100" s="1072">
        <f>'6-PlantInService'!K178</f>
        <v>2.3015811226745373E-2</v>
      </c>
      <c r="M100" s="1072">
        <f>'6-PlantInService'!L178</f>
        <v>2.9730039011447626E-3</v>
      </c>
      <c r="N100" s="360"/>
    </row>
    <row r="102" spans="1:14" ht="13">
      <c r="C102" s="1" t="s">
        <v>2366</v>
      </c>
    </row>
    <row r="104" spans="1:14">
      <c r="C104" s="467" t="s">
        <v>2367</v>
      </c>
    </row>
    <row r="105" spans="1:14" ht="13">
      <c r="C105" s="16"/>
      <c r="D105" s="84">
        <v>350.1</v>
      </c>
      <c r="E105" s="84">
        <v>350.2</v>
      </c>
      <c r="F105" s="84">
        <v>352</v>
      </c>
      <c r="G105" s="84">
        <v>353</v>
      </c>
      <c r="H105" s="84">
        <v>354</v>
      </c>
      <c r="I105" s="84">
        <v>355</v>
      </c>
      <c r="J105" s="84">
        <v>356</v>
      </c>
      <c r="K105" s="84">
        <v>357</v>
      </c>
      <c r="L105" s="84">
        <v>358</v>
      </c>
      <c r="M105" s="84">
        <v>359</v>
      </c>
      <c r="N105" s="3" t="s">
        <v>196</v>
      </c>
    </row>
    <row r="106" spans="1:14" ht="13">
      <c r="A106" s="549">
        <f>A100+1</f>
        <v>52</v>
      </c>
      <c r="C106" s="16"/>
      <c r="D106" s="7">
        <f t="shared" ref="D106:M106" si="9">D24-D12</f>
        <v>0</v>
      </c>
      <c r="E106" s="7">
        <f t="shared" si="9"/>
        <v>2786148.3988649398</v>
      </c>
      <c r="F106" s="7">
        <f t="shared" si="9"/>
        <v>16525418.176826924</v>
      </c>
      <c r="G106" s="7">
        <f t="shared" si="9"/>
        <v>52932672.929435134</v>
      </c>
      <c r="H106" s="7">
        <f t="shared" si="9"/>
        <v>29791311.678209424</v>
      </c>
      <c r="I106" s="7">
        <f t="shared" si="9"/>
        <v>2144179.5933297873</v>
      </c>
      <c r="J106" s="7">
        <f t="shared" si="9"/>
        <v>5303435.0988628268</v>
      </c>
      <c r="K106" s="7">
        <f t="shared" si="9"/>
        <v>3313064.0590045359</v>
      </c>
      <c r="L106" s="7">
        <f t="shared" si="9"/>
        <v>3340215.614370551</v>
      </c>
      <c r="M106" s="7">
        <f t="shared" si="9"/>
        <v>2546017.0268675089</v>
      </c>
      <c r="N106" s="7">
        <f>SUM(D106:M106)</f>
        <v>118682462.57577163</v>
      </c>
    </row>
    <row r="107" spans="1:14">
      <c r="C107" s="467" t="s">
        <v>2368</v>
      </c>
    </row>
    <row r="108" spans="1:14" ht="13">
      <c r="C108" s="16"/>
      <c r="D108" s="84">
        <v>350.1</v>
      </c>
      <c r="E108" s="84">
        <v>350.2</v>
      </c>
      <c r="F108" s="84">
        <v>352</v>
      </c>
      <c r="G108" s="84">
        <v>353</v>
      </c>
      <c r="H108" s="84">
        <v>354</v>
      </c>
      <c r="I108" s="84">
        <v>355</v>
      </c>
      <c r="J108" s="84">
        <v>356</v>
      </c>
      <c r="K108" s="84">
        <v>357</v>
      </c>
      <c r="L108" s="84">
        <v>358</v>
      </c>
      <c r="M108" s="84">
        <v>359</v>
      </c>
      <c r="N108" s="3" t="s">
        <v>196</v>
      </c>
    </row>
    <row r="109" spans="1:14" ht="13">
      <c r="A109" s="549">
        <f>A106+1</f>
        <v>53</v>
      </c>
      <c r="C109" s="16"/>
      <c r="D109" s="7">
        <f t="shared" ref="D109:M109" si="10">D82</f>
        <v>0</v>
      </c>
      <c r="E109" s="7">
        <f t="shared" si="10"/>
        <v>2770085.2294938564</v>
      </c>
      <c r="F109" s="7">
        <f t="shared" si="10"/>
        <v>19889032.35067831</v>
      </c>
      <c r="G109" s="7">
        <f t="shared" si="10"/>
        <v>94399174.134261325</v>
      </c>
      <c r="H109" s="7">
        <f t="shared" si="10"/>
        <v>56324771.196208194</v>
      </c>
      <c r="I109" s="7">
        <f t="shared" si="10"/>
        <v>15388738.12768049</v>
      </c>
      <c r="J109" s="7">
        <f t="shared" si="10"/>
        <v>43140466.031878509</v>
      </c>
      <c r="K109" s="7">
        <f t="shared" si="10"/>
        <v>3554037.237123522</v>
      </c>
      <c r="L109" s="7">
        <f t="shared" si="10"/>
        <v>2293414.6681018118</v>
      </c>
      <c r="M109" s="7">
        <f t="shared" si="10"/>
        <v>2827426.231024391</v>
      </c>
      <c r="N109" s="7">
        <f>SUM(D109:M109)</f>
        <v>240587145.20645037</v>
      </c>
    </row>
    <row r="110" spans="1:14">
      <c r="C110" s="467" t="s">
        <v>2369</v>
      </c>
    </row>
    <row r="111" spans="1:14" ht="13">
      <c r="D111" s="84">
        <v>350.1</v>
      </c>
      <c r="E111" s="84">
        <v>350.2</v>
      </c>
      <c r="F111" s="84">
        <v>352</v>
      </c>
      <c r="G111" s="84">
        <v>353</v>
      </c>
      <c r="H111" s="84">
        <v>354</v>
      </c>
      <c r="I111" s="84">
        <v>355</v>
      </c>
      <c r="J111" s="84">
        <v>356</v>
      </c>
      <c r="K111" s="84">
        <v>357</v>
      </c>
      <c r="L111" s="84">
        <v>358</v>
      </c>
      <c r="M111" s="84">
        <v>359</v>
      </c>
      <c r="N111" s="3" t="s">
        <v>196</v>
      </c>
    </row>
    <row r="112" spans="1:14" ht="13">
      <c r="A112" s="549">
        <f>A109+1</f>
        <v>54</v>
      </c>
      <c r="D112" s="7">
        <f t="shared" ref="D112:M112" si="11">D106-D109</f>
        <v>0</v>
      </c>
      <c r="E112" s="7">
        <f t="shared" si="11"/>
        <v>16063.169371083379</v>
      </c>
      <c r="F112" s="7">
        <f t="shared" si="11"/>
        <v>-3363614.1738513857</v>
      </c>
      <c r="G112" s="7">
        <f t="shared" si="11"/>
        <v>-41466501.204826191</v>
      </c>
      <c r="H112" s="7">
        <f t="shared" si="11"/>
        <v>-26533459.51799877</v>
      </c>
      <c r="I112" s="7">
        <f t="shared" si="11"/>
        <v>-13244558.534350703</v>
      </c>
      <c r="J112" s="7">
        <f t="shared" si="11"/>
        <v>-37837030.933015682</v>
      </c>
      <c r="K112" s="7">
        <f t="shared" si="11"/>
        <v>-240973.17811898608</v>
      </c>
      <c r="L112" s="7">
        <f t="shared" si="11"/>
        <v>1046800.9462687392</v>
      </c>
      <c r="M112" s="7">
        <f t="shared" si="11"/>
        <v>-281409.20415688213</v>
      </c>
      <c r="N112" s="7">
        <f>SUM(D112:M112)</f>
        <v>-121904682.63067879</v>
      </c>
    </row>
    <row r="114" spans="1:14" ht="13">
      <c r="C114" s="1" t="s">
        <v>2370</v>
      </c>
      <c r="D114" s="463"/>
      <c r="E114" s="463"/>
      <c r="F114" s="463"/>
      <c r="G114" s="463"/>
      <c r="H114" s="463"/>
      <c r="I114" s="463"/>
      <c r="J114" s="463"/>
      <c r="K114" s="463"/>
      <c r="L114" s="463"/>
    </row>
    <row r="115" spans="1:14">
      <c r="C115" s="463"/>
      <c r="D115" s="463"/>
      <c r="E115" s="463"/>
      <c r="F115" s="463"/>
      <c r="G115" s="463"/>
      <c r="H115" s="463"/>
      <c r="I115" s="463"/>
      <c r="J115" s="463"/>
      <c r="K115" s="463"/>
      <c r="L115" s="463"/>
    </row>
    <row r="116" spans="1:14" ht="13">
      <c r="C116" s="84" t="s">
        <v>358</v>
      </c>
      <c r="D116" s="84" t="s">
        <v>342</v>
      </c>
      <c r="E116" s="84" t="s">
        <v>343</v>
      </c>
      <c r="F116" s="84" t="s">
        <v>344</v>
      </c>
      <c r="G116" s="84" t="s">
        <v>345</v>
      </c>
      <c r="H116" s="84" t="s">
        <v>346</v>
      </c>
      <c r="I116" s="84" t="s">
        <v>347</v>
      </c>
      <c r="J116" s="84" t="s">
        <v>534</v>
      </c>
      <c r="K116" s="84" t="s">
        <v>949</v>
      </c>
      <c r="L116" s="84" t="s">
        <v>961</v>
      </c>
      <c r="M116" s="84" t="s">
        <v>964</v>
      </c>
      <c r="N116" s="84" t="s">
        <v>982</v>
      </c>
    </row>
    <row r="117" spans="1:14">
      <c r="C117" s="243"/>
      <c r="D117" s="227"/>
      <c r="E117" s="227"/>
      <c r="F117" s="227"/>
      <c r="G117" s="227"/>
      <c r="H117" s="227"/>
      <c r="I117" s="227"/>
      <c r="J117" s="227"/>
      <c r="K117" s="227"/>
      <c r="L117" s="227"/>
      <c r="N117" s="243" t="s">
        <v>1214</v>
      </c>
    </row>
    <row r="118" spans="1:14" ht="13">
      <c r="C118" s="122" t="s">
        <v>1748</v>
      </c>
      <c r="D118" s="84">
        <v>350.1</v>
      </c>
      <c r="E118" s="84">
        <v>350.2</v>
      </c>
      <c r="F118" s="84">
        <v>352</v>
      </c>
      <c r="G118" s="84">
        <v>353</v>
      </c>
      <c r="H118" s="84">
        <v>354</v>
      </c>
      <c r="I118" s="84">
        <v>355</v>
      </c>
      <c r="J118" s="84">
        <v>356</v>
      </c>
      <c r="K118" s="84">
        <v>357</v>
      </c>
      <c r="L118" s="84">
        <v>358</v>
      </c>
      <c r="M118" s="84">
        <v>359</v>
      </c>
      <c r="N118" s="3" t="s">
        <v>196</v>
      </c>
    </row>
    <row r="119" spans="1:14" ht="13">
      <c r="A119" s="549">
        <f>A112+1</f>
        <v>55</v>
      </c>
      <c r="C119" s="700" t="s">
        <v>2713</v>
      </c>
      <c r="D119" s="231">
        <f>D$112*D89</f>
        <v>0</v>
      </c>
      <c r="E119" s="231">
        <f t="shared" ref="E119:M119" si="12">E$112*E89</f>
        <v>15686.334712205356</v>
      </c>
      <c r="F119" s="231">
        <f t="shared" si="12"/>
        <v>-135392.60204920339</v>
      </c>
      <c r="G119" s="231">
        <f t="shared" si="12"/>
        <v>-675302.04111524473</v>
      </c>
      <c r="H119" s="231">
        <f t="shared" si="12"/>
        <v>1320716.420856694</v>
      </c>
      <c r="I119" s="231">
        <f t="shared" si="12"/>
        <v>-1477224.9573759788</v>
      </c>
      <c r="J119" s="231">
        <f t="shared" si="12"/>
        <v>-1401784.6028564819</v>
      </c>
      <c r="K119" s="231">
        <f t="shared" si="12"/>
        <v>-5.4674631686431079</v>
      </c>
      <c r="L119" s="231">
        <f t="shared" si="12"/>
        <v>-44150.232329387385</v>
      </c>
      <c r="M119" s="231">
        <f t="shared" si="12"/>
        <v>-37284.622161950196</v>
      </c>
      <c r="N119" s="229">
        <f>SUM(D119:M119)</f>
        <v>-2434741.7697825157</v>
      </c>
    </row>
    <row r="120" spans="1:14" ht="13">
      <c r="A120" s="549">
        <f t="shared" ref="A120:A131" si="13">A119+1</f>
        <v>56</v>
      </c>
      <c r="C120" s="699" t="s">
        <v>2714</v>
      </c>
      <c r="D120" s="231">
        <f t="shared" ref="D120:M130" si="14">D$112*D90</f>
        <v>0</v>
      </c>
      <c r="E120" s="231">
        <f t="shared" si="14"/>
        <v>0</v>
      </c>
      <c r="F120" s="231">
        <f t="shared" si="14"/>
        <v>-189944.04208457845</v>
      </c>
      <c r="G120" s="231">
        <f t="shared" si="14"/>
        <v>-4025796.5943417647</v>
      </c>
      <c r="H120" s="231">
        <f t="shared" si="14"/>
        <v>287482.73196482722</v>
      </c>
      <c r="I120" s="231">
        <f t="shared" si="14"/>
        <v>-1377841.7976709614</v>
      </c>
      <c r="J120" s="231">
        <f t="shared" si="14"/>
        <v>-413892.95411581942</v>
      </c>
      <c r="K120" s="231">
        <f t="shared" si="14"/>
        <v>-928.17342398859262</v>
      </c>
      <c r="L120" s="231">
        <f t="shared" si="14"/>
        <v>-16262.704862078996</v>
      </c>
      <c r="M120" s="231">
        <f t="shared" si="14"/>
        <v>-4278.3979965415247</v>
      </c>
      <c r="N120" s="229">
        <f t="shared" ref="N120:N130" si="15">SUM(D120:M120)</f>
        <v>-5741461.9325309061</v>
      </c>
    </row>
    <row r="121" spans="1:14" ht="13">
      <c r="A121" s="549">
        <f t="shared" si="13"/>
        <v>57</v>
      </c>
      <c r="C121" s="699" t="s">
        <v>2715</v>
      </c>
      <c r="D121" s="231">
        <f t="shared" si="14"/>
        <v>0</v>
      </c>
      <c r="E121" s="231">
        <f t="shared" si="14"/>
        <v>70.006589188687926</v>
      </c>
      <c r="F121" s="231">
        <f t="shared" si="14"/>
        <v>-159396.29470874026</v>
      </c>
      <c r="G121" s="231">
        <f t="shared" si="14"/>
        <v>-1772085.3786779379</v>
      </c>
      <c r="H121" s="231">
        <f t="shared" si="14"/>
        <v>-1668024.6074466356</v>
      </c>
      <c r="I121" s="231">
        <f t="shared" si="14"/>
        <v>-1762116.9261003879</v>
      </c>
      <c r="J121" s="231">
        <f t="shared" si="14"/>
        <v>-1035454.2304564571</v>
      </c>
      <c r="K121" s="231">
        <f t="shared" si="14"/>
        <v>-10.518083287262618</v>
      </c>
      <c r="L121" s="231">
        <f t="shared" si="14"/>
        <v>82590.22936651943</v>
      </c>
      <c r="M121" s="231">
        <f t="shared" si="14"/>
        <v>-778.73737920235169</v>
      </c>
      <c r="N121" s="229">
        <f t="shared" si="15"/>
        <v>-6315206.4568969412</v>
      </c>
    </row>
    <row r="122" spans="1:14" ht="13">
      <c r="A122" s="549">
        <f t="shared" si="13"/>
        <v>58</v>
      </c>
      <c r="C122" s="700" t="s">
        <v>2716</v>
      </c>
      <c r="D122" s="231">
        <f t="shared" si="14"/>
        <v>0</v>
      </c>
      <c r="E122" s="231">
        <f t="shared" si="14"/>
        <v>11.016465756829156</v>
      </c>
      <c r="F122" s="231">
        <f t="shared" si="14"/>
        <v>-432433.65902946942</v>
      </c>
      <c r="G122" s="231">
        <f t="shared" si="14"/>
        <v>-1066178.3138673119</v>
      </c>
      <c r="H122" s="231">
        <f t="shared" si="14"/>
        <v>-8137531.931784668</v>
      </c>
      <c r="I122" s="231">
        <f t="shared" si="14"/>
        <v>-862974.506592219</v>
      </c>
      <c r="J122" s="231">
        <f t="shared" si="14"/>
        <v>-1580041.7136311673</v>
      </c>
      <c r="K122" s="231">
        <f t="shared" si="14"/>
        <v>1798.6290845822762</v>
      </c>
      <c r="L122" s="231">
        <f t="shared" si="14"/>
        <v>-32435.24273920757</v>
      </c>
      <c r="M122" s="231">
        <f t="shared" si="14"/>
        <v>-617.71787183001049</v>
      </c>
      <c r="N122" s="229">
        <f t="shared" si="15"/>
        <v>-12110403.439965537</v>
      </c>
    </row>
    <row r="123" spans="1:14" ht="13">
      <c r="A123" s="549">
        <f t="shared" si="13"/>
        <v>59</v>
      </c>
      <c r="C123" s="699" t="s">
        <v>2717</v>
      </c>
      <c r="D123" s="231">
        <f t="shared" si="14"/>
        <v>0</v>
      </c>
      <c r="E123" s="231">
        <f t="shared" si="14"/>
        <v>-43.179558196043686</v>
      </c>
      <c r="F123" s="231">
        <f t="shared" si="14"/>
        <v>-1109868.7588351399</v>
      </c>
      <c r="G123" s="231">
        <f t="shared" si="14"/>
        <v>-5135245.5061881281</v>
      </c>
      <c r="H123" s="231">
        <f t="shared" si="14"/>
        <v>-224977.61085189137</v>
      </c>
      <c r="I123" s="231">
        <f t="shared" si="14"/>
        <v>-444438.85694732127</v>
      </c>
      <c r="J123" s="231">
        <f t="shared" si="14"/>
        <v>-283469.11341190612</v>
      </c>
      <c r="K123" s="231">
        <f t="shared" si="14"/>
        <v>-0.81340587716052704</v>
      </c>
      <c r="L123" s="231">
        <f t="shared" si="14"/>
        <v>50380.7652554944</v>
      </c>
      <c r="M123" s="231">
        <f t="shared" si="14"/>
        <v>-836.7370511938235</v>
      </c>
      <c r="N123" s="229">
        <f t="shared" si="15"/>
        <v>-7148499.8109941594</v>
      </c>
    </row>
    <row r="124" spans="1:14" ht="13">
      <c r="A124" s="549">
        <f t="shared" si="13"/>
        <v>60</v>
      </c>
      <c r="C124" s="699" t="s">
        <v>2718</v>
      </c>
      <c r="D124" s="231">
        <f t="shared" si="14"/>
        <v>0</v>
      </c>
      <c r="E124" s="231">
        <f t="shared" si="14"/>
        <v>-0.13929252082484134</v>
      </c>
      <c r="F124" s="231">
        <f t="shared" si="14"/>
        <v>426943.68711182481</v>
      </c>
      <c r="G124" s="231">
        <f t="shared" si="14"/>
        <v>-6841935.9267242644</v>
      </c>
      <c r="H124" s="231">
        <f t="shared" si="14"/>
        <v>-474217.6277732937</v>
      </c>
      <c r="I124" s="231">
        <f t="shared" si="14"/>
        <v>-3635509.4914579946</v>
      </c>
      <c r="J124" s="231">
        <f t="shared" si="14"/>
        <v>10072746.906401811</v>
      </c>
      <c r="K124" s="231">
        <f t="shared" si="14"/>
        <v>-184876.54691788449</v>
      </c>
      <c r="L124" s="231">
        <f t="shared" si="14"/>
        <v>772651.10492013535</v>
      </c>
      <c r="M124" s="231">
        <f t="shared" si="14"/>
        <v>-221194.71557932184</v>
      </c>
      <c r="N124" s="229">
        <f t="shared" si="15"/>
        <v>-85392.749311508262</v>
      </c>
    </row>
    <row r="125" spans="1:14" ht="13">
      <c r="A125" s="549">
        <f t="shared" si="13"/>
        <v>61</v>
      </c>
      <c r="C125" s="700" t="s">
        <v>2719</v>
      </c>
      <c r="D125" s="231">
        <f t="shared" si="14"/>
        <v>0</v>
      </c>
      <c r="E125" s="231">
        <f t="shared" si="14"/>
        <v>0</v>
      </c>
      <c r="F125" s="231">
        <f t="shared" si="14"/>
        <v>-1077163.6739341093</v>
      </c>
      <c r="G125" s="231">
        <f t="shared" si="14"/>
        <v>-2950343.7974004876</v>
      </c>
      <c r="H125" s="231">
        <f t="shared" si="14"/>
        <v>-2065148.1055783085</v>
      </c>
      <c r="I125" s="231">
        <f t="shared" si="14"/>
        <v>-753935.87461823574</v>
      </c>
      <c r="J125" s="231">
        <f t="shared" si="14"/>
        <v>-1829171.6282324733</v>
      </c>
      <c r="K125" s="231">
        <f t="shared" si="14"/>
        <v>-17799.374298938375</v>
      </c>
      <c r="L125" s="231">
        <f t="shared" si="14"/>
        <v>-40661.106633761534</v>
      </c>
      <c r="M125" s="231">
        <f t="shared" si="14"/>
        <v>-10213.240812727712</v>
      </c>
      <c r="N125" s="229">
        <f t="shared" si="15"/>
        <v>-8744436.8015090432</v>
      </c>
    </row>
    <row r="126" spans="1:14" ht="13">
      <c r="A126" s="549">
        <f t="shared" si="13"/>
        <v>62</v>
      </c>
      <c r="C126" s="699" t="s">
        <v>2720</v>
      </c>
      <c r="D126" s="231">
        <f t="shared" si="14"/>
        <v>0</v>
      </c>
      <c r="E126" s="231">
        <f t="shared" si="14"/>
        <v>14.16229920661678</v>
      </c>
      <c r="F126" s="231">
        <f t="shared" si="14"/>
        <v>-136106.06661270384</v>
      </c>
      <c r="G126" s="231">
        <f t="shared" si="14"/>
        <v>-9630298.7991491519</v>
      </c>
      <c r="H126" s="231">
        <f t="shared" si="14"/>
        <v>-16301325.528104626</v>
      </c>
      <c r="I126" s="231">
        <f t="shared" si="14"/>
        <v>365692.45766578487</v>
      </c>
      <c r="J126" s="231">
        <f t="shared" si="14"/>
        <v>1467145.8821109927</v>
      </c>
      <c r="K126" s="231">
        <f t="shared" si="14"/>
        <v>-107.35952015280434</v>
      </c>
      <c r="L126" s="231">
        <f t="shared" si="14"/>
        <v>22485.697359310238</v>
      </c>
      <c r="M126" s="231">
        <f t="shared" si="14"/>
        <v>-1181.7509472833419</v>
      </c>
      <c r="N126" s="229">
        <f t="shared" si="15"/>
        <v>-24213681.30489862</v>
      </c>
    </row>
    <row r="127" spans="1:14" ht="13">
      <c r="A127" s="549">
        <f t="shared" si="13"/>
        <v>63</v>
      </c>
      <c r="C127" s="699" t="s">
        <v>2721</v>
      </c>
      <c r="D127" s="231">
        <f t="shared" si="14"/>
        <v>0</v>
      </c>
      <c r="E127" s="231">
        <f t="shared" si="14"/>
        <v>148.59418525946262</v>
      </c>
      <c r="F127" s="231">
        <f t="shared" si="14"/>
        <v>-208881.32195293973</v>
      </c>
      <c r="G127" s="231">
        <f t="shared" si="14"/>
        <v>-2533900.1213601236</v>
      </c>
      <c r="H127" s="231">
        <f t="shared" si="14"/>
        <v>3658917.4661260978</v>
      </c>
      <c r="I127" s="231">
        <f t="shared" si="14"/>
        <v>-1358344.4615921155</v>
      </c>
      <c r="J127" s="231">
        <f t="shared" si="14"/>
        <v>18610.1017389769</v>
      </c>
      <c r="K127" s="231">
        <f t="shared" si="14"/>
        <v>305.45029998857109</v>
      </c>
      <c r="L127" s="231">
        <f t="shared" si="14"/>
        <v>-26605.787417152893</v>
      </c>
      <c r="M127" s="231">
        <f t="shared" si="14"/>
        <v>-4152.8270933826007</v>
      </c>
      <c r="N127" s="229">
        <f t="shared" si="15"/>
        <v>-453902.9070653916</v>
      </c>
    </row>
    <row r="128" spans="1:14" ht="13">
      <c r="A128" s="549">
        <f t="shared" si="13"/>
        <v>64</v>
      </c>
      <c r="C128" s="700" t="s">
        <v>2722</v>
      </c>
      <c r="D128" s="231">
        <f t="shared" si="14"/>
        <v>0</v>
      </c>
      <c r="E128" s="231">
        <f t="shared" si="14"/>
        <v>316.18348077342955</v>
      </c>
      <c r="F128" s="231">
        <f t="shared" si="14"/>
        <v>-128654.62622682065</v>
      </c>
      <c r="G128" s="231">
        <f t="shared" si="14"/>
        <v>-844189.5211485438</v>
      </c>
      <c r="H128" s="231">
        <f t="shared" si="14"/>
        <v>-75942.374023309967</v>
      </c>
      <c r="I128" s="231">
        <f t="shared" si="14"/>
        <v>336997.62229147897</v>
      </c>
      <c r="J128" s="231">
        <f t="shared" si="14"/>
        <v>-7963930.3723954335</v>
      </c>
      <c r="K128" s="231">
        <f t="shared" si="14"/>
        <v>-34812.861882714074</v>
      </c>
      <c r="L128" s="231">
        <f t="shared" si="14"/>
        <v>265918.51871078205</v>
      </c>
      <c r="M128" s="231">
        <f t="shared" si="14"/>
        <v>1388.1219948913333</v>
      </c>
      <c r="N128" s="229">
        <f t="shared" si="15"/>
        <v>-8442909.3091988955</v>
      </c>
    </row>
    <row r="129" spans="1:14" ht="13">
      <c r="A129" s="549">
        <f t="shared" si="13"/>
        <v>65</v>
      </c>
      <c r="C129" s="700" t="s">
        <v>2723</v>
      </c>
      <c r="D129" s="231">
        <f t="shared" si="14"/>
        <v>0</v>
      </c>
      <c r="E129" s="231">
        <f t="shared" si="14"/>
        <v>1.2876056508261341E-10</v>
      </c>
      <c r="F129" s="231">
        <f t="shared" si="14"/>
        <v>-150951.18169047657</v>
      </c>
      <c r="G129" s="231">
        <f t="shared" si="14"/>
        <v>-3418118.731636907</v>
      </c>
      <c r="H129" s="231">
        <f t="shared" si="14"/>
        <v>-1015696.2315330537</v>
      </c>
      <c r="I129" s="231">
        <f t="shared" si="14"/>
        <v>-406127.14409826329</v>
      </c>
      <c r="J129" s="231">
        <f t="shared" si="14"/>
        <v>-500583.59976687498</v>
      </c>
      <c r="K129" s="231">
        <f t="shared" si="14"/>
        <v>-925.13384131646922</v>
      </c>
      <c r="L129" s="231">
        <f t="shared" si="14"/>
        <v>-11203.268333213649</v>
      </c>
      <c r="M129" s="231">
        <f t="shared" si="14"/>
        <v>-1421.9485965636122</v>
      </c>
      <c r="N129" s="229">
        <f t="shared" si="15"/>
        <v>-5505027.2394966679</v>
      </c>
    </row>
    <row r="130" spans="1:14" ht="13">
      <c r="A130" s="549">
        <f t="shared" si="13"/>
        <v>66</v>
      </c>
      <c r="C130" s="699" t="s">
        <v>2724</v>
      </c>
      <c r="D130" s="445">
        <f t="shared" si="14"/>
        <v>0</v>
      </c>
      <c r="E130" s="445">
        <f t="shared" si="14"/>
        <v>-139.80951059026378</v>
      </c>
      <c r="F130" s="445">
        <f t="shared" si="14"/>
        <v>-61765.633839029237</v>
      </c>
      <c r="G130" s="445">
        <f t="shared" si="14"/>
        <v>-2573106.473216325</v>
      </c>
      <c r="H130" s="445">
        <f t="shared" si="14"/>
        <v>-1837712.1198506025</v>
      </c>
      <c r="I130" s="445">
        <f t="shared" si="14"/>
        <v>-1868734.5978544888</v>
      </c>
      <c r="J130" s="445">
        <f t="shared" si="14"/>
        <v>-34387205.608400851</v>
      </c>
      <c r="K130" s="445">
        <f t="shared" si="14"/>
        <v>-3611.0086662290678</v>
      </c>
      <c r="L130" s="445">
        <f t="shared" si="14"/>
        <v>24092.972971299729</v>
      </c>
      <c r="M130" s="445">
        <f t="shared" si="14"/>
        <v>-836.63066177645351</v>
      </c>
      <c r="N130" s="360">
        <f t="shared" si="15"/>
        <v>-40709018.909028597</v>
      </c>
    </row>
    <row r="131" spans="1:14" ht="13">
      <c r="A131" s="549">
        <f t="shared" si="13"/>
        <v>67</v>
      </c>
      <c r="C131" s="1049" t="s">
        <v>4</v>
      </c>
      <c r="D131" s="229">
        <f>SUM(D119:D130)</f>
        <v>0</v>
      </c>
      <c r="E131" s="229">
        <f t="shared" ref="E131:M131" si="16">SUM(E119:E130)</f>
        <v>16063.169371083381</v>
      </c>
      <c r="F131" s="229">
        <f t="shared" si="16"/>
        <v>-3363614.1738513862</v>
      </c>
      <c r="G131" s="229">
        <f t="shared" si="16"/>
        <v>-41466501.204826199</v>
      </c>
      <c r="H131" s="229">
        <f t="shared" si="16"/>
        <v>-26533459.51799877</v>
      </c>
      <c r="I131" s="229">
        <f t="shared" si="16"/>
        <v>-13244558.534350704</v>
      </c>
      <c r="J131" s="229">
        <f t="shared" si="16"/>
        <v>-37837030.933015682</v>
      </c>
      <c r="K131" s="229">
        <f t="shared" si="16"/>
        <v>-240973.17811898608</v>
      </c>
      <c r="L131" s="229">
        <f t="shared" si="16"/>
        <v>1046800.9462687392</v>
      </c>
      <c r="M131" s="229">
        <f t="shared" si="16"/>
        <v>-281409.20415688213</v>
      </c>
      <c r="N131" s="229">
        <f>SUM(N119:N130)</f>
        <v>-121904682.6306788</v>
      </c>
    </row>
    <row r="132" spans="1:14">
      <c r="D132" s="14"/>
      <c r="E132" s="14"/>
      <c r="F132" s="14"/>
      <c r="G132" s="14"/>
      <c r="H132" s="14"/>
      <c r="I132" s="14"/>
      <c r="J132" s="14"/>
      <c r="K132" s="14"/>
      <c r="L132" s="14"/>
      <c r="M132" s="14"/>
      <c r="N132" s="14"/>
    </row>
    <row r="133" spans="1:14" ht="13">
      <c r="B133" s="385" t="s">
        <v>230</v>
      </c>
      <c r="D133" s="14"/>
      <c r="E133" s="14"/>
      <c r="F133" s="14"/>
      <c r="G133" s="14"/>
      <c r="H133" s="14"/>
      <c r="I133" s="14"/>
      <c r="J133" s="14"/>
      <c r="K133" s="14"/>
      <c r="L133" s="14"/>
      <c r="M133" s="14"/>
      <c r="N133" s="14"/>
    </row>
    <row r="134" spans="1:14">
      <c r="B134" s="859" t="s">
        <v>2277</v>
      </c>
      <c r="C134" s="14"/>
      <c r="D134" s="14"/>
      <c r="E134" s="14"/>
      <c r="F134" s="14"/>
      <c r="G134" s="14"/>
      <c r="H134" s="14"/>
      <c r="I134" s="14"/>
      <c r="J134" s="14"/>
    </row>
    <row r="135" spans="1:14">
      <c r="B135" s="1071" t="s">
        <v>1868</v>
      </c>
      <c r="C135" s="14"/>
      <c r="D135" s="14"/>
      <c r="E135" s="14"/>
      <c r="F135" s="14"/>
      <c r="G135" s="14"/>
      <c r="H135" s="14"/>
      <c r="I135" s="14"/>
      <c r="J135" s="14"/>
    </row>
    <row r="136" spans="1:14">
      <c r="B136" s="591" t="s">
        <v>1848</v>
      </c>
      <c r="C136" s="575"/>
      <c r="D136" s="575"/>
      <c r="E136" s="575"/>
      <c r="F136" s="575"/>
      <c r="G136" s="575"/>
      <c r="H136" s="575"/>
      <c r="I136" s="575"/>
      <c r="J136" s="14"/>
      <c r="K136" s="14"/>
      <c r="L136" s="575"/>
      <c r="M136" s="575"/>
      <c r="N136" s="14"/>
    </row>
    <row r="137" spans="1:14">
      <c r="B137" s="864" t="s">
        <v>2416</v>
      </c>
      <c r="C137" s="575"/>
      <c r="D137" s="575"/>
      <c r="E137" s="575"/>
      <c r="F137" s="575"/>
      <c r="G137" s="575"/>
      <c r="H137" s="575"/>
      <c r="I137" s="575"/>
      <c r="J137" s="575"/>
      <c r="K137" s="575"/>
      <c r="L137" s="575"/>
      <c r="M137" s="575"/>
      <c r="N137" s="14"/>
    </row>
    <row r="138" spans="1:14">
      <c r="B138" s="864" t="s">
        <v>2371</v>
      </c>
      <c r="C138" s="575"/>
      <c r="D138" s="575"/>
      <c r="E138" s="575"/>
      <c r="F138" s="575"/>
      <c r="G138" s="575"/>
      <c r="H138" s="575"/>
      <c r="I138" s="575"/>
      <c r="J138" s="575"/>
      <c r="K138" s="575"/>
      <c r="L138" s="575"/>
      <c r="M138" s="575"/>
      <c r="N138" s="14"/>
    </row>
    <row r="139" spans="1:14">
      <c r="B139" s="864" t="s">
        <v>1849</v>
      </c>
      <c r="C139" s="575"/>
      <c r="D139" s="575"/>
      <c r="E139" s="575"/>
      <c r="F139" s="575"/>
      <c r="G139" s="575"/>
      <c r="H139" s="575"/>
      <c r="I139" s="575"/>
      <c r="J139" s="575"/>
      <c r="K139" s="575"/>
      <c r="L139" s="575"/>
      <c r="M139" s="575"/>
      <c r="N139" s="14"/>
    </row>
    <row r="140" spans="1:14">
      <c r="B140" s="591" t="s">
        <v>1850</v>
      </c>
      <c r="C140" s="575"/>
      <c r="D140" s="575"/>
      <c r="E140" s="575"/>
      <c r="F140" s="575"/>
      <c r="G140" s="575"/>
      <c r="H140" s="575"/>
      <c r="I140" s="575"/>
      <c r="J140" s="575"/>
      <c r="K140" s="575"/>
      <c r="L140" s="575"/>
      <c r="M140" s="575"/>
      <c r="N140" s="14"/>
    </row>
    <row r="141" spans="1:14">
      <c r="B141" s="864" t="s">
        <v>2263</v>
      </c>
      <c r="C141" s="575"/>
      <c r="D141" s="575"/>
      <c r="E141" s="575"/>
      <c r="F141" s="575"/>
      <c r="G141" s="575"/>
      <c r="H141" s="575"/>
      <c r="I141" s="575"/>
      <c r="J141" s="575"/>
      <c r="K141" s="575"/>
      <c r="L141" s="575"/>
      <c r="M141" s="575"/>
      <c r="N141" s="14"/>
    </row>
    <row r="142" spans="1:14">
      <c r="B142" s="864" t="s">
        <v>2372</v>
      </c>
      <c r="C142" s="575"/>
      <c r="D142" s="575"/>
      <c r="E142" s="575"/>
      <c r="F142" s="575"/>
      <c r="G142" s="575"/>
      <c r="H142" s="575"/>
      <c r="I142" s="575"/>
      <c r="J142" s="575"/>
      <c r="K142" s="575"/>
      <c r="L142" s="575"/>
      <c r="M142" s="575"/>
      <c r="N142" s="14"/>
    </row>
    <row r="143" spans="1:14">
      <c r="B143" s="864" t="s">
        <v>2264</v>
      </c>
      <c r="C143" s="575"/>
      <c r="D143" s="575"/>
      <c r="E143" s="575"/>
      <c r="F143" s="575"/>
      <c r="G143" s="575"/>
      <c r="H143" s="575"/>
      <c r="I143" s="575"/>
      <c r="J143" s="575"/>
      <c r="K143" s="575"/>
      <c r="L143" s="575"/>
      <c r="M143" s="575"/>
      <c r="N143" s="14"/>
    </row>
    <row r="144" spans="1:14">
      <c r="B144" s="465" t="str">
        <f>"2) Amounts on Line "&amp;A33&amp;" derived from Plant Study for previous year Prior Year."</f>
        <v>2) Amounts on Line 15 derived from Plant Study for previous year Prior Year.</v>
      </c>
      <c r="C144" s="14"/>
      <c r="D144" s="14"/>
      <c r="E144" s="14"/>
      <c r="F144" s="14"/>
      <c r="G144" s="14"/>
      <c r="H144" s="14"/>
      <c r="I144" s="14"/>
      <c r="J144" s="14"/>
    </row>
    <row r="145" spans="2:10">
      <c r="B145" s="462" t="str">
        <f>"Amounts on Line "&amp;A34&amp;" derived from Plant Study for Prior Year."</f>
        <v>Amounts on Line 16 derived from Plant Study for Prior Year.</v>
      </c>
      <c r="C145" s="14"/>
      <c r="D145" s="14"/>
      <c r="E145" s="14"/>
      <c r="F145" s="14"/>
      <c r="G145" s="14"/>
      <c r="H145" s="14"/>
      <c r="I145" s="14"/>
      <c r="J145" s="14"/>
    </row>
    <row r="146" spans="2:10">
      <c r="B146" s="14" t="str">
        <f>"3) From 17-Depreciation, Lines "&amp;'17-Depreciation'!A48&amp;" to "&amp;'17-Depreciation'!A59&amp;"."</f>
        <v>3) From 17-Depreciation, Lines 24 to 35.</v>
      </c>
      <c r="C146" s="14"/>
      <c r="D146" s="14"/>
      <c r="E146" s="14"/>
      <c r="F146" s="14"/>
      <c r="G146" s="14"/>
      <c r="H146" s="14"/>
      <c r="I146" s="14"/>
      <c r="J146" s="14"/>
    </row>
    <row r="147" spans="2:10">
      <c r="B147" s="465" t="s">
        <v>2373</v>
      </c>
      <c r="C147" s="14"/>
      <c r="D147" s="14"/>
      <c r="E147" s="14"/>
      <c r="F147" s="14"/>
      <c r="G147" s="14"/>
      <c r="H147" s="14"/>
      <c r="I147" s="14"/>
      <c r="J147" s="14"/>
    </row>
    <row r="148" spans="2:10">
      <c r="B148" s="465" t="str">
        <f>"5) Line "&amp;A24&amp;" - Line "&amp;A12&amp;"."</f>
        <v>5) Line 13 - Line 1.</v>
      </c>
      <c r="C148" s="14"/>
      <c r="D148" s="14"/>
      <c r="E148" s="14"/>
      <c r="F148" s="14"/>
      <c r="G148" s="14"/>
      <c r="H148" s="14"/>
      <c r="I148" s="14"/>
      <c r="J148" s="14"/>
    </row>
    <row r="149" spans="2:10">
      <c r="B149" s="14" t="str">
        <f>"6) Line "&amp;A82&amp;"."</f>
        <v>6) Line 39.</v>
      </c>
      <c r="C149" s="14"/>
      <c r="D149" s="14"/>
      <c r="E149" s="14"/>
      <c r="F149" s="14"/>
      <c r="G149" s="14"/>
      <c r="H149" s="14"/>
      <c r="I149" s="14"/>
      <c r="J149" s="14"/>
    </row>
    <row r="150" spans="2:10">
      <c r="B150" s="465" t="str">
        <f>"7) Line "&amp;A106&amp;" - Line "&amp;A109&amp;"."</f>
        <v>7) Line 52 - Line 53.</v>
      </c>
      <c r="C150" s="14"/>
      <c r="D150" s="14"/>
      <c r="E150" s="14"/>
      <c r="F150" s="14"/>
      <c r="G150" s="14"/>
      <c r="H150" s="14"/>
      <c r="I150" s="14"/>
      <c r="J150" s="14"/>
    </row>
    <row r="151" spans="2:10">
      <c r="B151" s="465" t="s">
        <v>2374</v>
      </c>
      <c r="C151" s="14"/>
      <c r="D151" s="14"/>
      <c r="E151" s="14"/>
      <c r="F151" s="14"/>
      <c r="G151" s="14"/>
      <c r="H151" s="14"/>
      <c r="I151" s="14"/>
      <c r="J151" s="14"/>
    </row>
    <row r="152" spans="2:10">
      <c r="B152" s="462" t="s">
        <v>2375</v>
      </c>
      <c r="C152" s="14"/>
      <c r="D152" s="14"/>
      <c r="E152" s="14"/>
      <c r="F152" s="14"/>
      <c r="G152" s="14"/>
      <c r="H152" s="14"/>
      <c r="I152" s="14"/>
      <c r="J152" s="14"/>
    </row>
    <row r="153" spans="2:10">
      <c r="B153" s="465"/>
      <c r="C153" s="14"/>
      <c r="D153" s="14"/>
      <c r="E153" s="14"/>
      <c r="F153" s="14"/>
      <c r="G153" s="14"/>
      <c r="H153" s="14"/>
      <c r="I153" s="14"/>
      <c r="J153" s="14"/>
    </row>
    <row r="154" spans="2:10">
      <c r="B154" s="465"/>
      <c r="C154" s="14"/>
      <c r="D154" s="14"/>
      <c r="E154" s="14"/>
      <c r="F154" s="14"/>
      <c r="G154" s="14"/>
      <c r="H154" s="14"/>
      <c r="I154" s="14"/>
      <c r="J154" s="14"/>
    </row>
  </sheetData>
  <phoneticPr fontId="23" type="noConversion"/>
  <pageMargins left="0.75" right="0.75" top="1" bottom="1" header="0.5" footer="0.5"/>
  <pageSetup scale="65" orientation="landscape" cellComments="asDisplayed" r:id="rId1"/>
  <headerFooter alignWithMargins="0">
    <oddHeader>&amp;CSchedule 8
Accumulated Depreciation
&amp;RTO2022 Annual Update 
Attachment 1</oddHeader>
    <oddFooter>&amp;R&amp;A</oddFooter>
  </headerFooter>
  <rowBreaks count="3" manualBreakCount="3">
    <brk id="36" max="16383" man="1"/>
    <brk id="83" max="16383" man="1"/>
    <brk id="113" max="16383" man="1"/>
  </rowBreaks>
  <ignoredErrors>
    <ignoredError sqref="D35:F35"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65"/>
  <sheetViews>
    <sheetView zoomScaleNormal="100" zoomScaleSheetLayoutView="80" zoomScalePageLayoutView="90" workbookViewId="0"/>
  </sheetViews>
  <sheetFormatPr defaultRowHeight="13"/>
  <cols>
    <col min="1" max="1" width="5.81640625" customWidth="1"/>
    <col min="2" max="2" width="9.54296875" style="517" customWidth="1"/>
    <col min="3" max="3" width="50.54296875" style="517" customWidth="1"/>
    <col min="4" max="4" width="23.453125" style="517" bestFit="1" customWidth="1"/>
    <col min="5" max="5" width="18.453125" style="517" customWidth="1"/>
    <col min="6" max="6" width="15.54296875" style="517" customWidth="1"/>
    <col min="7" max="7" width="16.54296875" style="517" customWidth="1"/>
    <col min="8" max="8" width="15.54296875" style="517" customWidth="1"/>
    <col min="9" max="9" width="17.453125" style="517" customWidth="1"/>
    <col min="10" max="10" width="29.453125" style="517" customWidth="1"/>
    <col min="11" max="11" width="25.54296875" style="14" customWidth="1"/>
  </cols>
  <sheetData>
    <row r="1" spans="1:12">
      <c r="A1" s="1" t="s">
        <v>2647</v>
      </c>
      <c r="B1" s="227"/>
      <c r="C1" s="235"/>
      <c r="D1" s="235"/>
      <c r="E1" s="235"/>
      <c r="F1" s="383" t="s">
        <v>301</v>
      </c>
      <c r="G1" s="383"/>
      <c r="H1" s="235"/>
      <c r="I1" s="227"/>
      <c r="J1" s="227"/>
      <c r="K1" s="516"/>
      <c r="L1" s="516"/>
    </row>
    <row r="2" spans="1:12">
      <c r="A2" s="227"/>
      <c r="B2" s="580"/>
      <c r="C2" s="581"/>
      <c r="D2" s="581"/>
      <c r="E2" s="227"/>
      <c r="F2" s="227"/>
      <c r="G2" s="227"/>
      <c r="H2" s="227"/>
      <c r="I2" s="227"/>
      <c r="J2" s="227"/>
      <c r="K2" s="516"/>
      <c r="L2" s="516"/>
    </row>
    <row r="3" spans="1:12">
      <c r="A3" s="227"/>
      <c r="B3" s="580" t="s">
        <v>2648</v>
      </c>
      <c r="C3" s="581"/>
      <c r="D3" s="581"/>
      <c r="E3" s="227"/>
      <c r="F3" s="227"/>
      <c r="G3" s="227"/>
      <c r="H3" s="227"/>
      <c r="I3" s="227"/>
      <c r="J3" s="227"/>
      <c r="K3" s="516"/>
      <c r="L3" s="516"/>
    </row>
    <row r="4" spans="1:12">
      <c r="A4" s="227"/>
      <c r="B4" s="580"/>
      <c r="C4" s="581"/>
      <c r="D4" s="581"/>
      <c r="E4" s="227"/>
      <c r="F4" s="227"/>
      <c r="G4" s="227"/>
      <c r="H4" s="227"/>
      <c r="I4" s="227"/>
      <c r="J4" s="227"/>
      <c r="K4" s="516"/>
      <c r="L4" s="516"/>
    </row>
    <row r="5" spans="1:12">
      <c r="A5" s="227"/>
      <c r="B5" s="582" t="s">
        <v>2649</v>
      </c>
      <c r="C5" s="581"/>
      <c r="D5" s="581"/>
      <c r="E5" s="227"/>
      <c r="F5" s="227"/>
      <c r="G5" s="227"/>
      <c r="H5" s="227"/>
      <c r="I5" s="227"/>
      <c r="J5" s="227"/>
      <c r="K5" s="516"/>
      <c r="L5" s="516"/>
    </row>
    <row r="6" spans="1:12">
      <c r="A6" s="227"/>
      <c r="B6" s="580"/>
      <c r="C6" s="84" t="s">
        <v>358</v>
      </c>
      <c r="D6" s="84" t="s">
        <v>342</v>
      </c>
      <c r="E6" s="227"/>
      <c r="I6" s="227"/>
      <c r="J6" s="227"/>
      <c r="K6" s="516"/>
      <c r="L6" s="516"/>
    </row>
    <row r="7" spans="1:12">
      <c r="A7" s="227"/>
      <c r="C7" s="581"/>
      <c r="D7" s="227"/>
      <c r="E7" s="227"/>
      <c r="I7" s="227"/>
      <c r="J7" s="227"/>
      <c r="K7" s="516"/>
      <c r="L7" s="516"/>
    </row>
    <row r="8" spans="1:12">
      <c r="A8" s="227"/>
      <c r="B8" s="580"/>
      <c r="C8" s="235"/>
      <c r="D8" s="109" t="s">
        <v>196</v>
      </c>
      <c r="J8" s="227"/>
      <c r="K8" s="516"/>
      <c r="L8" s="516"/>
    </row>
    <row r="9" spans="1:12">
      <c r="A9" s="53" t="s">
        <v>329</v>
      </c>
      <c r="B9" s="580"/>
      <c r="C9" s="503" t="s">
        <v>99</v>
      </c>
      <c r="D9" s="122" t="s">
        <v>957</v>
      </c>
      <c r="E9" s="361" t="s">
        <v>179</v>
      </c>
      <c r="J9" s="227"/>
      <c r="K9" s="516"/>
      <c r="L9" s="516"/>
    </row>
    <row r="10" spans="1:12" ht="14.5">
      <c r="A10" s="372">
        <v>1</v>
      </c>
      <c r="B10" s="580"/>
      <c r="C10" s="465" t="s">
        <v>1212</v>
      </c>
      <c r="D10" s="477">
        <f>+D72</f>
        <v>216333432.90027425</v>
      </c>
      <c r="E10" s="462" t="str">
        <f>"Line "&amp;A72&amp;", Col. 2"</f>
        <v>Line 353, Col. 2</v>
      </c>
      <c r="F10" s="1144"/>
      <c r="J10" s="227"/>
      <c r="K10" s="516"/>
      <c r="L10" s="516"/>
    </row>
    <row r="11" spans="1:12">
      <c r="A11" s="549">
        <f>A10+1</f>
        <v>2</v>
      </c>
      <c r="B11" s="580"/>
      <c r="C11" s="465" t="s">
        <v>1210</v>
      </c>
      <c r="D11" s="477">
        <f>+D92</f>
        <v>-1214609194</v>
      </c>
      <c r="E11" s="462" t="str">
        <f>"Line "&amp;A92&amp;", Col. 2"</f>
        <v>Line 452, Col. 2</v>
      </c>
      <c r="F11" s="1144"/>
      <c r="H11" s="1244" t="s">
        <v>2523</v>
      </c>
      <c r="I11" s="1244" t="s">
        <v>2525</v>
      </c>
      <c r="J11" s="516"/>
      <c r="K11"/>
    </row>
    <row r="12" spans="1:12">
      <c r="A12" s="549">
        <f t="shared" ref="A12:A24" si="0">A11+1</f>
        <v>3</v>
      </c>
      <c r="B12" s="580"/>
      <c r="C12" s="465" t="s">
        <v>1211</v>
      </c>
      <c r="D12" s="477">
        <f>+D133</f>
        <v>-16060406.793150028</v>
      </c>
      <c r="E12" s="462" t="str">
        <f>"Line "&amp;A133&amp;", Col. 2"</f>
        <v>Line 803, Col. 2</v>
      </c>
      <c r="F12" s="1144"/>
      <c r="H12" s="1245" t="s">
        <v>2524</v>
      </c>
      <c r="I12" s="1245" t="s">
        <v>2526</v>
      </c>
      <c r="J12" s="516"/>
      <c r="K12"/>
    </row>
    <row r="13" spans="1:12" s="955" customFormat="1">
      <c r="A13" s="549">
        <f t="shared" si="0"/>
        <v>4</v>
      </c>
      <c r="B13" s="580"/>
      <c r="C13" s="463" t="s">
        <v>2654</v>
      </c>
      <c r="D13" s="1446">
        <f>-609648806+93385614</f>
        <v>-516263192</v>
      </c>
      <c r="E13" s="462" t="s">
        <v>2820</v>
      </c>
      <c r="F13" s="1144"/>
      <c r="G13" s="517"/>
      <c r="H13" s="1111" t="s">
        <v>2817</v>
      </c>
      <c r="I13" s="1447" t="s">
        <v>2818</v>
      </c>
      <c r="J13" s="516"/>
    </row>
    <row r="14" spans="1:12">
      <c r="A14" s="549">
        <f t="shared" si="0"/>
        <v>5</v>
      </c>
      <c r="B14" s="580"/>
      <c r="C14" s="465" t="s">
        <v>1549</v>
      </c>
      <c r="D14" s="466">
        <f>SUM(D10:D13)</f>
        <v>-1530599359.8928757</v>
      </c>
      <c r="E14" s="536" t="str">
        <f>"Sum of Lines "&amp;A10&amp;" to "&amp;A13&amp;""</f>
        <v>Sum of Lines 1 to 4</v>
      </c>
      <c r="F14" s="1144"/>
      <c r="H14" s="1243"/>
      <c r="I14" s="1243"/>
      <c r="J14" s="516"/>
      <c r="K14"/>
    </row>
    <row r="15" spans="1:12">
      <c r="A15" s="549">
        <f t="shared" si="0"/>
        <v>6</v>
      </c>
      <c r="B15" s="580"/>
      <c r="C15" s="467" t="s">
        <v>2652</v>
      </c>
      <c r="D15" s="235"/>
      <c r="E15" s="235"/>
      <c r="G15" s="519"/>
      <c r="H15" s="241"/>
      <c r="I15" s="235"/>
      <c r="J15" s="227"/>
      <c r="K15" s="516"/>
      <c r="L15" s="516"/>
    </row>
    <row r="16" spans="1:12">
      <c r="A16" s="549">
        <f t="shared" si="0"/>
        <v>7</v>
      </c>
      <c r="B16" s="582" t="s">
        <v>2651</v>
      </c>
      <c r="E16" s="235"/>
      <c r="G16" s="518"/>
      <c r="H16" s="520"/>
      <c r="I16" s="518"/>
      <c r="J16" s="227"/>
      <c r="K16" s="516"/>
      <c r="L16" s="516"/>
    </row>
    <row r="17" spans="1:12">
      <c r="A17" s="549">
        <f t="shared" si="0"/>
        <v>8</v>
      </c>
      <c r="B17" s="582"/>
      <c r="D17" s="109" t="s">
        <v>380</v>
      </c>
      <c r="E17" s="235"/>
      <c r="G17" s="518"/>
      <c r="H17" s="520"/>
      <c r="I17" s="518"/>
      <c r="J17" s="227"/>
      <c r="K17" s="516"/>
      <c r="L17" s="516"/>
    </row>
    <row r="18" spans="1:12">
      <c r="A18" s="549">
        <f t="shared" si="0"/>
        <v>9</v>
      </c>
      <c r="B18" s="580"/>
      <c r="D18" s="122" t="s">
        <v>957</v>
      </c>
      <c r="E18" s="361" t="s">
        <v>179</v>
      </c>
      <c r="G18" s="521"/>
      <c r="H18" s="518"/>
      <c r="I18" s="518"/>
      <c r="J18" s="227"/>
      <c r="K18" s="516"/>
      <c r="L18" s="516"/>
    </row>
    <row r="19" spans="1:12">
      <c r="A19" s="549">
        <f t="shared" si="0"/>
        <v>10</v>
      </c>
      <c r="B19" s="580"/>
      <c r="C19" s="465" t="s">
        <v>1549</v>
      </c>
      <c r="D19" s="493">
        <v>-1621359578</v>
      </c>
      <c r="E19" s="462" t="str">
        <f>"Previous Year Informational Filing, Line "&amp;A14&amp;", Col. 2"</f>
        <v>Previous Year Informational Filing, Line 5, Col. 2</v>
      </c>
      <c r="G19" s="1114"/>
      <c r="H19" s="518"/>
      <c r="I19" s="518"/>
      <c r="K19" s="516"/>
      <c r="L19" s="516"/>
    </row>
    <row r="20" spans="1:12">
      <c r="A20" s="549">
        <f t="shared" si="0"/>
        <v>11</v>
      </c>
      <c r="B20" s="580"/>
      <c r="D20" s="235"/>
      <c r="E20" s="235"/>
      <c r="F20" s="518"/>
      <c r="G20" s="518"/>
      <c r="H20" s="518"/>
      <c r="I20" s="518"/>
      <c r="J20" s="227"/>
      <c r="K20" s="516"/>
      <c r="L20" s="516"/>
    </row>
    <row r="21" spans="1:12">
      <c r="A21" s="549">
        <f t="shared" si="0"/>
        <v>12</v>
      </c>
      <c r="B21" s="1240" t="s">
        <v>2650</v>
      </c>
      <c r="D21" s="235"/>
      <c r="E21" s="235"/>
      <c r="F21" s="518"/>
      <c r="G21" s="518"/>
      <c r="H21" s="518"/>
      <c r="I21" s="518"/>
      <c r="J21" s="227"/>
      <c r="K21" s="516"/>
      <c r="L21" s="516"/>
    </row>
    <row r="22" spans="1:12">
      <c r="A22" s="549">
        <f t="shared" si="0"/>
        <v>13</v>
      </c>
      <c r="B22" s="581"/>
      <c r="C22" s="583"/>
      <c r="D22" s="584" t="s">
        <v>229</v>
      </c>
      <c r="E22" s="227"/>
      <c r="F22" s="227"/>
      <c r="G22" s="227"/>
      <c r="H22" s="227"/>
      <c r="I22" s="227"/>
      <c r="J22" s="227"/>
      <c r="K22" s="516"/>
      <c r="L22" s="516"/>
    </row>
    <row r="23" spans="1:12">
      <c r="A23" s="549">
        <f t="shared" si="0"/>
        <v>14</v>
      </c>
      <c r="B23" s="581"/>
      <c r="D23" s="122" t="s">
        <v>201</v>
      </c>
      <c r="E23" s="361" t="s">
        <v>179</v>
      </c>
      <c r="F23" s="227"/>
      <c r="G23" s="521"/>
      <c r="H23" s="227"/>
      <c r="I23" s="227"/>
      <c r="J23" s="227"/>
      <c r="K23" s="516"/>
      <c r="L23" s="516"/>
    </row>
    <row r="24" spans="1:12">
      <c r="A24" s="549">
        <f t="shared" si="0"/>
        <v>15</v>
      </c>
      <c r="B24" s="581"/>
      <c r="C24" s="585" t="s">
        <v>2653</v>
      </c>
      <c r="D24" s="1241">
        <f>(D14+D19)/2</f>
        <v>-1575979468.9464378</v>
      </c>
      <c r="E24" s="450" t="s">
        <v>2522</v>
      </c>
      <c r="F24" s="235"/>
      <c r="G24" s="518"/>
      <c r="H24" s="227"/>
      <c r="I24" s="227"/>
      <c r="J24" s="227"/>
      <c r="K24" s="516"/>
      <c r="L24" s="516"/>
    </row>
    <row r="25" spans="1:12">
      <c r="A25" s="549"/>
      <c r="B25" s="581"/>
      <c r="C25" s="583"/>
      <c r="D25" s="586"/>
      <c r="E25" s="227"/>
      <c r="F25" s="227"/>
      <c r="G25" s="227"/>
      <c r="H25" s="227"/>
      <c r="I25" s="227"/>
      <c r="J25" s="227"/>
      <c r="K25" s="516"/>
      <c r="L25" s="516"/>
    </row>
    <row r="26" spans="1:12">
      <c r="A26" s="549"/>
      <c r="B26" s="580" t="s">
        <v>1550</v>
      </c>
      <c r="C26" s="583"/>
      <c r="D26" s="586"/>
      <c r="E26" s="227"/>
      <c r="F26" s="227"/>
      <c r="G26" s="227"/>
      <c r="H26" s="227"/>
      <c r="I26" s="227"/>
      <c r="J26" s="227"/>
    </row>
    <row r="27" spans="1:12">
      <c r="A27" s="549"/>
      <c r="B27" s="580"/>
      <c r="C27" s="84" t="s">
        <v>358</v>
      </c>
      <c r="D27" s="84" t="s">
        <v>342</v>
      </c>
      <c r="E27" s="84" t="s">
        <v>343</v>
      </c>
      <c r="F27" s="84" t="s">
        <v>344</v>
      </c>
      <c r="G27" s="84" t="s">
        <v>345</v>
      </c>
      <c r="H27" s="84" t="s">
        <v>346</v>
      </c>
      <c r="I27" s="84" t="s">
        <v>347</v>
      </c>
      <c r="J27" s="227"/>
    </row>
    <row r="28" spans="1:12">
      <c r="A28" s="463"/>
      <c r="B28" s="584"/>
      <c r="C28" s="584"/>
      <c r="D28" s="584" t="s">
        <v>1551</v>
      </c>
      <c r="E28" s="584" t="s">
        <v>1552</v>
      </c>
      <c r="F28" s="584"/>
      <c r="G28" s="584"/>
      <c r="H28" s="584" t="s">
        <v>1265</v>
      </c>
      <c r="I28" s="866" t="s">
        <v>1871</v>
      </c>
      <c r="J28" s="227"/>
    </row>
    <row r="29" spans="1:12">
      <c r="A29" s="463"/>
      <c r="B29" s="587" t="s">
        <v>1553</v>
      </c>
      <c r="C29" s="587" t="s">
        <v>1554</v>
      </c>
      <c r="D29" s="587" t="s">
        <v>1555</v>
      </c>
      <c r="E29" s="587" t="s">
        <v>1556</v>
      </c>
      <c r="F29" s="587" t="s">
        <v>1557</v>
      </c>
      <c r="G29" s="587" t="s">
        <v>1558</v>
      </c>
      <c r="H29" s="587" t="s">
        <v>1548</v>
      </c>
      <c r="I29" s="587" t="s">
        <v>100</v>
      </c>
      <c r="J29" s="227"/>
    </row>
    <row r="30" spans="1:12">
      <c r="A30" s="549"/>
      <c r="B30" s="581" t="s">
        <v>1560</v>
      </c>
      <c r="C30" s="581"/>
      <c r="D30" s="581"/>
      <c r="E30" s="227"/>
      <c r="F30" s="227"/>
      <c r="G30" s="227"/>
      <c r="H30" s="227"/>
      <c r="I30" s="227"/>
      <c r="J30" s="227"/>
    </row>
    <row r="31" spans="1:12">
      <c r="A31" s="962">
        <v>100</v>
      </c>
      <c r="B31" s="964">
        <v>190</v>
      </c>
      <c r="C31" s="953" t="s">
        <v>2548</v>
      </c>
      <c r="D31" s="954">
        <v>449174</v>
      </c>
      <c r="E31" s="966">
        <f>D31*$G$158</f>
        <v>387.77804675654392</v>
      </c>
      <c r="F31" s="963"/>
      <c r="G31" s="966">
        <f>D31-E31</f>
        <v>448786.22195324348</v>
      </c>
      <c r="H31" s="966"/>
      <c r="I31" s="967" t="s">
        <v>2837</v>
      </c>
      <c r="J31" s="958"/>
    </row>
    <row r="32" spans="1:12">
      <c r="A32" s="962">
        <f>A31+1</f>
        <v>101</v>
      </c>
      <c r="B32" s="964">
        <v>190</v>
      </c>
      <c r="C32" s="953" t="s">
        <v>2549</v>
      </c>
      <c r="D32" s="954">
        <v>435338</v>
      </c>
      <c r="E32" s="966">
        <f>D32*$G$150</f>
        <v>2765.9950300811929</v>
      </c>
      <c r="F32" s="963"/>
      <c r="G32" s="966"/>
      <c r="H32" s="966">
        <f>D32-E32</f>
        <v>432572.00496991881</v>
      </c>
      <c r="I32" s="967" t="s">
        <v>2838</v>
      </c>
      <c r="J32" s="958"/>
    </row>
    <row r="33" spans="1:12">
      <c r="A33" s="962">
        <f t="shared" ref="A33:A47" si="1">A32+1</f>
        <v>102</v>
      </c>
      <c r="B33" s="964">
        <v>190</v>
      </c>
      <c r="C33" s="953" t="s">
        <v>2550</v>
      </c>
      <c r="D33" s="954">
        <v>675252</v>
      </c>
      <c r="E33" s="966">
        <f>D33*$G$158</f>
        <v>582.95427079138551</v>
      </c>
      <c r="F33" s="963"/>
      <c r="G33" s="966">
        <f>D33-E33</f>
        <v>674669.04572920862</v>
      </c>
      <c r="H33" s="966"/>
      <c r="I33" s="967" t="s">
        <v>2837</v>
      </c>
      <c r="J33" s="958"/>
    </row>
    <row r="34" spans="1:12">
      <c r="A34" s="962">
        <f t="shared" si="1"/>
        <v>103</v>
      </c>
      <c r="B34" s="964">
        <v>190</v>
      </c>
      <c r="C34" s="953" t="s">
        <v>2828</v>
      </c>
      <c r="D34" s="954">
        <v>557015</v>
      </c>
      <c r="E34" s="966">
        <f t="shared" ref="E34:E38" si="2">D34*$G$150</f>
        <v>3539.0908252453855</v>
      </c>
      <c r="F34" s="966"/>
      <c r="G34" s="966"/>
      <c r="H34" s="966">
        <f>D34-E34</f>
        <v>553475.90917475463</v>
      </c>
      <c r="I34" s="967" t="s">
        <v>2838</v>
      </c>
      <c r="J34" s="958"/>
    </row>
    <row r="35" spans="1:12">
      <c r="A35" s="962">
        <f t="shared" si="1"/>
        <v>104</v>
      </c>
      <c r="B35" s="964">
        <v>190</v>
      </c>
      <c r="C35" s="953" t="s">
        <v>2551</v>
      </c>
      <c r="D35" s="954">
        <v>29668055</v>
      </c>
      <c r="E35" s="966">
        <f t="shared" si="2"/>
        <v>188501.10186148575</v>
      </c>
      <c r="F35" s="963"/>
      <c r="G35" s="966"/>
      <c r="H35" s="966">
        <f>D35-E35</f>
        <v>29479553.898138516</v>
      </c>
      <c r="I35" s="967" t="s">
        <v>2838</v>
      </c>
      <c r="J35" s="958"/>
    </row>
    <row r="36" spans="1:12" ht="12.75" customHeight="1">
      <c r="A36" s="962">
        <f t="shared" si="1"/>
        <v>105</v>
      </c>
      <c r="B36" s="964">
        <v>190</v>
      </c>
      <c r="C36" s="953" t="s">
        <v>2552</v>
      </c>
      <c r="D36" s="954">
        <v>41227598</v>
      </c>
      <c r="E36" s="966">
        <f t="shared" si="2"/>
        <v>261946.65103938853</v>
      </c>
      <c r="F36" s="963"/>
      <c r="G36" s="966"/>
      <c r="H36" s="966">
        <f>D36-E36</f>
        <v>40965651.348960608</v>
      </c>
      <c r="I36" s="967" t="s">
        <v>2838</v>
      </c>
      <c r="J36" s="958"/>
    </row>
    <row r="37" spans="1:12">
      <c r="A37" s="962">
        <f t="shared" si="1"/>
        <v>106</v>
      </c>
      <c r="B37" s="964">
        <v>190</v>
      </c>
      <c r="C37" s="953" t="s">
        <v>2553</v>
      </c>
      <c r="D37" s="954">
        <v>430704</v>
      </c>
      <c r="E37" s="966">
        <f>D37*$G$158</f>
        <v>371.83264358629503</v>
      </c>
      <c r="F37" s="963"/>
      <c r="G37" s="966">
        <f>D37-E37</f>
        <v>430332.16735641373</v>
      </c>
      <c r="H37" s="966"/>
      <c r="I37" s="967" t="s">
        <v>2837</v>
      </c>
      <c r="J37" s="958"/>
    </row>
    <row r="38" spans="1:12">
      <c r="A38" s="962">
        <f t="shared" si="1"/>
        <v>107</v>
      </c>
      <c r="B38" s="1395">
        <v>190</v>
      </c>
      <c r="C38" s="617" t="s">
        <v>2829</v>
      </c>
      <c r="D38" s="954">
        <v>1044817531</v>
      </c>
      <c r="E38" s="966">
        <f t="shared" si="2"/>
        <v>6638428.2972947517</v>
      </c>
      <c r="F38" s="963"/>
      <c r="G38" s="966"/>
      <c r="H38" s="966">
        <f>D38-E38</f>
        <v>1038179102.7027053</v>
      </c>
      <c r="I38" s="967" t="s">
        <v>2838</v>
      </c>
      <c r="J38" s="958"/>
    </row>
    <row r="39" spans="1:12" s="955" customFormat="1">
      <c r="A39" s="962">
        <f t="shared" si="1"/>
        <v>108</v>
      </c>
      <c r="B39" s="1395">
        <v>190</v>
      </c>
      <c r="C39" s="617" t="s">
        <v>2830</v>
      </c>
      <c r="D39" s="954">
        <v>13350976</v>
      </c>
      <c r="E39" s="966">
        <f>D39</f>
        <v>13350976</v>
      </c>
      <c r="F39" s="963"/>
      <c r="G39" s="966"/>
      <c r="H39" s="966"/>
      <c r="I39" s="967" t="s">
        <v>2839</v>
      </c>
      <c r="J39" s="958"/>
      <c r="K39" s="14"/>
    </row>
    <row r="40" spans="1:12">
      <c r="A40" s="962">
        <f t="shared" si="1"/>
        <v>109</v>
      </c>
      <c r="B40" s="964">
        <v>190</v>
      </c>
      <c r="C40" s="953" t="s">
        <v>2831</v>
      </c>
      <c r="D40" s="954">
        <v>532905125</v>
      </c>
      <c r="E40" s="966">
        <f>D40</f>
        <v>532905125</v>
      </c>
      <c r="F40" s="963"/>
      <c r="G40" s="966"/>
      <c r="H40" s="966"/>
      <c r="I40" s="967" t="s">
        <v>2840</v>
      </c>
      <c r="J40" s="958"/>
    </row>
    <row r="41" spans="1:12">
      <c r="A41" s="962">
        <f t="shared" si="1"/>
        <v>110</v>
      </c>
      <c r="B41" s="964">
        <v>190</v>
      </c>
      <c r="C41" s="953" t="s">
        <v>2832</v>
      </c>
      <c r="D41" s="954">
        <v>0</v>
      </c>
      <c r="E41" s="966">
        <f>D41</f>
        <v>0</v>
      </c>
      <c r="F41" s="963"/>
      <c r="G41" s="966"/>
      <c r="H41" s="966"/>
      <c r="I41" s="967" t="s">
        <v>2841</v>
      </c>
      <c r="J41" s="958"/>
    </row>
    <row r="42" spans="1:12">
      <c r="A42" s="962">
        <f t="shared" si="1"/>
        <v>111</v>
      </c>
      <c r="B42" s="964">
        <v>190</v>
      </c>
      <c r="C42" s="953" t="s">
        <v>2554</v>
      </c>
      <c r="D42" s="954">
        <v>32996506</v>
      </c>
      <c r="E42" s="966">
        <f t="shared" ref="E42" si="3">D42*$G$150</f>
        <v>209648.98907525706</v>
      </c>
      <c r="F42" s="493"/>
      <c r="G42" s="966"/>
      <c r="H42" s="966">
        <f>D42-E42</f>
        <v>32786857.010924742</v>
      </c>
      <c r="I42" s="967" t="s">
        <v>2838</v>
      </c>
      <c r="J42" s="706"/>
    </row>
    <row r="43" spans="1:12">
      <c r="A43" s="962">
        <f t="shared" si="1"/>
        <v>112</v>
      </c>
      <c r="B43" s="964">
        <v>190</v>
      </c>
      <c r="C43" s="953" t="s">
        <v>2833</v>
      </c>
      <c r="D43" s="954">
        <v>713815141</v>
      </c>
      <c r="E43" s="966">
        <f t="shared" ref="E43:E45" si="4">D43</f>
        <v>713815141</v>
      </c>
      <c r="F43" s="963"/>
      <c r="G43" s="966"/>
      <c r="H43" s="966"/>
      <c r="I43" s="969" t="s">
        <v>2842</v>
      </c>
      <c r="J43" s="958"/>
    </row>
    <row r="44" spans="1:12">
      <c r="A44" s="962">
        <f t="shared" si="1"/>
        <v>113</v>
      </c>
      <c r="B44" s="964">
        <v>190</v>
      </c>
      <c r="C44" s="953" t="s">
        <v>2834</v>
      </c>
      <c r="D44" s="954">
        <v>202184045</v>
      </c>
      <c r="E44" s="966">
        <f t="shared" si="4"/>
        <v>202184045</v>
      </c>
      <c r="F44" s="963"/>
      <c r="G44" s="966"/>
      <c r="H44" s="963"/>
      <c r="I44" s="967" t="s">
        <v>2843</v>
      </c>
      <c r="J44" s="958"/>
    </row>
    <row r="45" spans="1:12">
      <c r="A45" s="962">
        <f t="shared" si="1"/>
        <v>114</v>
      </c>
      <c r="B45" s="964">
        <v>190</v>
      </c>
      <c r="C45" s="953" t="s">
        <v>2835</v>
      </c>
      <c r="D45" s="954">
        <v>629081739</v>
      </c>
      <c r="E45" s="966">
        <f t="shared" si="4"/>
        <v>629081739</v>
      </c>
      <c r="F45" s="963"/>
      <c r="G45" s="966"/>
      <c r="H45" s="963"/>
      <c r="I45" s="967" t="s">
        <v>2844</v>
      </c>
      <c r="J45" s="958"/>
    </row>
    <row r="46" spans="1:12" s="955" customFormat="1">
      <c r="A46" s="962">
        <f t="shared" si="1"/>
        <v>115</v>
      </c>
      <c r="B46" s="964">
        <v>190</v>
      </c>
      <c r="C46" s="953" t="s">
        <v>2836</v>
      </c>
      <c r="D46" s="954">
        <v>742487195</v>
      </c>
      <c r="E46" s="966"/>
      <c r="F46" s="963"/>
      <c r="G46" s="966">
        <f>D46</f>
        <v>742487195</v>
      </c>
      <c r="H46" s="963"/>
      <c r="I46" s="967" t="s">
        <v>2845</v>
      </c>
      <c r="J46" s="958"/>
      <c r="K46" s="14"/>
    </row>
    <row r="47" spans="1:12">
      <c r="A47" s="962">
        <f t="shared" si="1"/>
        <v>116</v>
      </c>
      <c r="B47" s="964" t="s">
        <v>504</v>
      </c>
      <c r="C47" s="953"/>
      <c r="D47" s="954"/>
      <c r="E47" s="1210"/>
      <c r="F47" s="963"/>
      <c r="G47" s="966"/>
      <c r="H47" s="963"/>
      <c r="I47" s="967"/>
      <c r="J47" s="958"/>
    </row>
    <row r="48" spans="1:12">
      <c r="A48" s="109"/>
      <c r="B48" s="590"/>
      <c r="C48" s="591"/>
      <c r="D48" s="592"/>
      <c r="E48" s="231"/>
      <c r="F48" s="231"/>
      <c r="G48" s="231"/>
      <c r="H48" s="231"/>
      <c r="I48" s="235"/>
      <c r="J48" s="235"/>
      <c r="K48" s="516"/>
      <c r="L48" s="516"/>
    </row>
    <row r="49" spans="1:12">
      <c r="A49" s="109"/>
      <c r="B49" s="580" t="s">
        <v>1561</v>
      </c>
      <c r="C49" s="583"/>
      <c r="D49" s="586"/>
      <c r="E49" s="227"/>
      <c r="F49" s="227"/>
      <c r="G49" s="227"/>
      <c r="H49" s="227"/>
      <c r="I49" s="227"/>
      <c r="J49" s="235"/>
      <c r="K49" s="516"/>
      <c r="L49" s="516"/>
    </row>
    <row r="50" spans="1:12">
      <c r="A50" s="109"/>
      <c r="B50" s="580"/>
      <c r="C50" s="84" t="s">
        <v>358</v>
      </c>
      <c r="D50" s="84" t="s">
        <v>342</v>
      </c>
      <c r="E50" s="84" t="s">
        <v>343</v>
      </c>
      <c r="F50" s="84" t="s">
        <v>344</v>
      </c>
      <c r="G50" s="84" t="s">
        <v>345</v>
      </c>
      <c r="H50" s="84" t="s">
        <v>346</v>
      </c>
      <c r="I50" s="84" t="s">
        <v>347</v>
      </c>
      <c r="J50" s="235"/>
      <c r="K50" s="516"/>
      <c r="L50" s="516"/>
    </row>
    <row r="51" spans="1:12">
      <c r="A51" s="109"/>
      <c r="B51" s="584"/>
      <c r="C51" s="584"/>
      <c r="D51" s="584" t="s">
        <v>1551</v>
      </c>
      <c r="E51" s="584" t="s">
        <v>1552</v>
      </c>
      <c r="F51" s="584"/>
      <c r="G51" s="584"/>
      <c r="H51" s="584"/>
      <c r="I51" s="866" t="s">
        <v>1871</v>
      </c>
      <c r="J51" s="235"/>
      <c r="K51" s="516"/>
      <c r="L51" s="516"/>
    </row>
    <row r="52" spans="1:12">
      <c r="A52" s="109"/>
      <c r="B52" s="587" t="s">
        <v>1553</v>
      </c>
      <c r="C52" s="587" t="s">
        <v>1554</v>
      </c>
      <c r="D52" s="587" t="s">
        <v>1555</v>
      </c>
      <c r="E52" s="587" t="s">
        <v>1556</v>
      </c>
      <c r="F52" s="587" t="s">
        <v>1557</v>
      </c>
      <c r="G52" s="587" t="s">
        <v>1558</v>
      </c>
      <c r="H52" s="587" t="s">
        <v>1559</v>
      </c>
      <c r="I52" s="587" t="s">
        <v>100</v>
      </c>
      <c r="J52" s="231"/>
      <c r="K52" s="516"/>
      <c r="L52" s="516"/>
    </row>
    <row r="53" spans="1:12">
      <c r="A53" s="109"/>
      <c r="B53" s="581" t="s">
        <v>1560</v>
      </c>
      <c r="C53" s="581"/>
      <c r="D53" s="581"/>
      <c r="E53" s="227"/>
      <c r="F53" s="227"/>
      <c r="G53" s="227"/>
      <c r="H53" s="227"/>
      <c r="I53" s="227"/>
      <c r="J53" s="235"/>
      <c r="K53" s="516"/>
      <c r="L53" s="516"/>
    </row>
    <row r="54" spans="1:12">
      <c r="A54" s="962">
        <f>A47+1</f>
        <v>117</v>
      </c>
      <c r="B54" s="952" t="s">
        <v>504</v>
      </c>
      <c r="C54" s="588"/>
      <c r="D54" s="589"/>
      <c r="E54" s="232"/>
      <c r="F54" s="232"/>
      <c r="G54" s="232"/>
      <c r="H54" s="232"/>
      <c r="I54" s="383"/>
      <c r="J54" s="383"/>
      <c r="K54" s="516"/>
      <c r="L54" s="516"/>
    </row>
    <row r="55" spans="1:12">
      <c r="A55" s="549"/>
      <c r="B55" s="593"/>
      <c r="C55" s="581"/>
      <c r="D55" s="594"/>
      <c r="E55" s="229"/>
      <c r="F55" s="229"/>
      <c r="G55" s="229"/>
      <c r="H55" s="229"/>
      <c r="I55" s="361" t="s">
        <v>179</v>
      </c>
      <c r="J55" s="227"/>
      <c r="K55" s="516"/>
      <c r="L55" s="516"/>
    </row>
    <row r="56" spans="1:12">
      <c r="A56" s="109">
        <v>250</v>
      </c>
      <c r="B56" s="581"/>
      <c r="C56" s="581" t="s">
        <v>1562</v>
      </c>
      <c r="D56" s="603">
        <f>SUM(D31:D47)+SUM(D54:D54)</f>
        <v>3985081394</v>
      </c>
      <c r="E56" s="603">
        <f>SUM(E31:E47)+SUM(E54:E54)</f>
        <v>2098643198.6900873</v>
      </c>
      <c r="F56" s="595">
        <f>SUM(F31:F47)+SUM(F54:F54)</f>
        <v>0</v>
      </c>
      <c r="G56" s="595">
        <f>SUM(G31:G47)+SUM(G54:G54)</f>
        <v>744040982.43503892</v>
      </c>
      <c r="H56" s="595">
        <f>SUM(H31:H47)+SUM(H54:H54)</f>
        <v>1142397212.8748739</v>
      </c>
      <c r="I56" s="450" t="str">
        <f>"Sum of Above Lines beginning on Line "&amp;A31&amp;""</f>
        <v>Sum of Above Lines beginning on Line 100</v>
      </c>
      <c r="J56" s="235"/>
      <c r="K56" s="516"/>
      <c r="L56" s="516"/>
    </row>
    <row r="57" spans="1:12">
      <c r="A57" s="549"/>
      <c r="B57" s="581"/>
      <c r="C57" s="581"/>
      <c r="D57" s="596"/>
      <c r="E57" s="229"/>
      <c r="F57" s="229"/>
      <c r="G57" s="229"/>
      <c r="H57" s="229"/>
      <c r="I57" s="227"/>
      <c r="J57" s="227"/>
    </row>
    <row r="58" spans="1:12">
      <c r="A58" s="549"/>
      <c r="B58" s="581" t="s">
        <v>1563</v>
      </c>
      <c r="C58" s="581"/>
      <c r="D58" s="596"/>
      <c r="E58" s="229"/>
      <c r="F58" s="229"/>
      <c r="G58" s="229"/>
      <c r="H58" s="229"/>
      <c r="I58" s="866" t="s">
        <v>1871</v>
      </c>
      <c r="J58" s="227"/>
    </row>
    <row r="59" spans="1:12">
      <c r="A59" s="549"/>
      <c r="C59" s="84" t="s">
        <v>358</v>
      </c>
      <c r="D59" s="84" t="s">
        <v>342</v>
      </c>
      <c r="E59" s="84" t="s">
        <v>343</v>
      </c>
      <c r="F59" s="84" t="s">
        <v>344</v>
      </c>
      <c r="G59" s="84" t="s">
        <v>345</v>
      </c>
      <c r="H59" s="84" t="s">
        <v>346</v>
      </c>
      <c r="I59" s="84" t="s">
        <v>347</v>
      </c>
      <c r="J59" s="227"/>
    </row>
    <row r="60" spans="1:12">
      <c r="A60" s="186">
        <v>300</v>
      </c>
      <c r="B60" s="964">
        <v>190</v>
      </c>
      <c r="C60" s="953" t="s">
        <v>2846</v>
      </c>
      <c r="D60" s="954">
        <v>0</v>
      </c>
      <c r="E60" s="966">
        <v>0</v>
      </c>
      <c r="F60" s="966"/>
      <c r="G60" s="966"/>
      <c r="H60" s="966"/>
      <c r="I60" s="967" t="s">
        <v>2847</v>
      </c>
      <c r="J60" s="967"/>
    </row>
    <row r="61" spans="1:12" s="955" customFormat="1">
      <c r="A61" s="962">
        <f>A60+1</f>
        <v>301</v>
      </c>
      <c r="B61" s="964">
        <v>190</v>
      </c>
      <c r="C61" s="953" t="s">
        <v>2848</v>
      </c>
      <c r="D61" s="954">
        <v>2777222</v>
      </c>
      <c r="E61" s="966">
        <v>2777222</v>
      </c>
      <c r="F61" s="966"/>
      <c r="G61" s="966"/>
      <c r="H61" s="966"/>
      <c r="I61" s="967" t="s">
        <v>2847</v>
      </c>
      <c r="J61" s="967"/>
      <c r="K61" s="14"/>
    </row>
    <row r="62" spans="1:12" s="955" customFormat="1">
      <c r="A62" s="962">
        <f t="shared" ref="A62:A65" si="5">A61+1</f>
        <v>302</v>
      </c>
      <c r="B62" s="964">
        <v>190</v>
      </c>
      <c r="C62" s="953" t="s">
        <v>2555</v>
      </c>
      <c r="D62" s="954">
        <v>906909</v>
      </c>
      <c r="E62" s="966">
        <v>906909</v>
      </c>
      <c r="F62" s="966"/>
      <c r="G62" s="966"/>
      <c r="H62" s="966"/>
      <c r="I62" s="967" t="s">
        <v>2847</v>
      </c>
      <c r="J62" s="967"/>
      <c r="K62" s="14"/>
    </row>
    <row r="63" spans="1:12" s="955" customFormat="1">
      <c r="A63" s="962">
        <f t="shared" si="5"/>
        <v>303</v>
      </c>
      <c r="B63" s="964">
        <v>190</v>
      </c>
      <c r="C63" s="953" t="s">
        <v>2849</v>
      </c>
      <c r="D63" s="954">
        <v>145794</v>
      </c>
      <c r="E63" s="966">
        <v>145794</v>
      </c>
      <c r="F63" s="966"/>
      <c r="G63" s="966"/>
      <c r="H63" s="966"/>
      <c r="I63" s="967" t="s">
        <v>2842</v>
      </c>
      <c r="J63" s="967"/>
      <c r="K63" s="14"/>
    </row>
    <row r="64" spans="1:12">
      <c r="A64" s="962">
        <f t="shared" si="5"/>
        <v>304</v>
      </c>
      <c r="B64" s="1249">
        <v>190</v>
      </c>
      <c r="C64" s="953" t="s">
        <v>2850</v>
      </c>
      <c r="D64" s="954">
        <v>-201447</v>
      </c>
      <c r="E64" s="963">
        <v>-201447</v>
      </c>
      <c r="F64" s="963"/>
      <c r="G64" s="963"/>
      <c r="H64" s="963"/>
      <c r="I64" s="958" t="s">
        <v>2842</v>
      </c>
      <c r="J64" s="958"/>
    </row>
    <row r="65" spans="1:11" s="955" customFormat="1">
      <c r="A65" s="962">
        <f t="shared" si="5"/>
        <v>305</v>
      </c>
      <c r="B65" s="1249" t="s">
        <v>504</v>
      </c>
      <c r="C65" s="953"/>
      <c r="D65" s="954"/>
      <c r="E65" s="963"/>
      <c r="F65" s="963"/>
      <c r="G65" s="963"/>
      <c r="H65" s="963"/>
      <c r="I65" s="958"/>
      <c r="J65" s="958"/>
      <c r="K65" s="14"/>
    </row>
    <row r="66" spans="1:11" s="955" customFormat="1">
      <c r="A66" s="109"/>
      <c r="B66" s="593"/>
      <c r="C66" s="591"/>
      <c r="D66" s="592"/>
      <c r="E66" s="231"/>
      <c r="F66" s="231"/>
      <c r="G66" s="231"/>
      <c r="H66" s="231"/>
      <c r="I66" s="235"/>
      <c r="J66" s="235"/>
      <c r="K66" s="14"/>
    </row>
    <row r="67" spans="1:11">
      <c r="A67" s="549"/>
      <c r="B67" s="593"/>
      <c r="C67" s="84" t="s">
        <v>358</v>
      </c>
      <c r="D67" s="84" t="s">
        <v>342</v>
      </c>
      <c r="E67" s="84" t="s">
        <v>343</v>
      </c>
      <c r="F67" s="84" t="s">
        <v>344</v>
      </c>
      <c r="G67" s="84" t="s">
        <v>345</v>
      </c>
      <c r="H67" s="84" t="s">
        <v>346</v>
      </c>
      <c r="I67" s="361" t="s">
        <v>179</v>
      </c>
      <c r="J67" s="227"/>
    </row>
    <row r="68" spans="1:11">
      <c r="A68" s="535">
        <v>350</v>
      </c>
      <c r="B68" s="581"/>
      <c r="C68" s="581" t="s">
        <v>1564</v>
      </c>
      <c r="D68" s="603">
        <f>SUM(D60:D64)</f>
        <v>3628478</v>
      </c>
      <c r="E68" s="603">
        <f>SUM(E60:E64)</f>
        <v>3628478</v>
      </c>
      <c r="F68" s="603">
        <f t="shared" ref="F68:H68" si="6">SUM(F60:F64)</f>
        <v>0</v>
      </c>
      <c r="G68" s="603">
        <f t="shared" si="6"/>
        <v>0</v>
      </c>
      <c r="H68" s="603">
        <f t="shared" si="6"/>
        <v>0</v>
      </c>
      <c r="I68" s="450" t="str">
        <f>"Sum of Above Lines beginning on Line "&amp;A60&amp;""</f>
        <v>Sum of Above Lines beginning on Line 300</v>
      </c>
      <c r="J68" s="235"/>
    </row>
    <row r="69" spans="1:11">
      <c r="A69" s="535"/>
      <c r="B69" s="581"/>
      <c r="C69" s="581"/>
      <c r="D69" s="595"/>
      <c r="E69" s="595"/>
      <c r="F69" s="595"/>
      <c r="G69" s="595"/>
      <c r="H69" s="595"/>
      <c r="I69" s="450"/>
      <c r="J69" s="235"/>
    </row>
    <row r="70" spans="1:11">
      <c r="A70" s="535">
        <f t="shared" ref="A70" si="7">A68+1</f>
        <v>351</v>
      </c>
      <c r="B70" s="581"/>
      <c r="C70" s="581" t="s">
        <v>1565</v>
      </c>
      <c r="D70" s="595">
        <f>+D68+D56</f>
        <v>3988709872</v>
      </c>
      <c r="E70" s="595">
        <f>+E68+E56</f>
        <v>2102271676.6900873</v>
      </c>
      <c r="F70" s="595">
        <f>+F68+F56</f>
        <v>0</v>
      </c>
      <c r="G70" s="595">
        <f>+G68+G56</f>
        <v>744040982.43503892</v>
      </c>
      <c r="H70" s="595">
        <f>+H68+H56</f>
        <v>1142397212.8748739</v>
      </c>
      <c r="I70" s="1145" t="str">
        <f>"Line "&amp;A56&amp;" + Line "&amp;A68&amp;""</f>
        <v>Line 250 + Line 350</v>
      </c>
      <c r="J70" s="235"/>
    </row>
    <row r="71" spans="1:11">
      <c r="A71" s="535">
        <f>+A70+1</f>
        <v>352</v>
      </c>
      <c r="B71" s="581"/>
      <c r="C71" s="581" t="s">
        <v>1607</v>
      </c>
      <c r="D71" s="595"/>
      <c r="E71" s="595"/>
      <c r="F71" s="595"/>
      <c r="G71" s="597">
        <f>'27-Allocators'!$G$28</f>
        <v>0.18354940810043915</v>
      </c>
      <c r="H71" s="597">
        <f>'27-Allocators'!$G$15</f>
        <v>6.982260642173875E-2</v>
      </c>
      <c r="I71" s="709" t="str">
        <f>"27-Allocators Lines "&amp;'27-Allocators'!A28&amp;" and "&amp;'27-Allocators'!A15&amp;" respectively."</f>
        <v>27-Allocators Lines 22 and 9 respectively.</v>
      </c>
      <c r="J71" s="235"/>
    </row>
    <row r="72" spans="1:11">
      <c r="A72" s="535">
        <f>+A71+1</f>
        <v>353</v>
      </c>
      <c r="B72" s="581"/>
      <c r="C72" s="581" t="s">
        <v>1608</v>
      </c>
      <c r="D72" s="595">
        <f>SUM(F72:H72)</f>
        <v>216333432.90027425</v>
      </c>
      <c r="E72" s="595"/>
      <c r="F72" s="598">
        <f>+F70</f>
        <v>0</v>
      </c>
      <c r="G72" s="598">
        <f>+G70*G71</f>
        <v>136568281.92842063</v>
      </c>
      <c r="H72" s="598">
        <f>+H70*H71</f>
        <v>79765150.971853614</v>
      </c>
      <c r="I72" s="1145" t="str">
        <f>"Line "&amp;A70&amp;" * Line "&amp;A71&amp;" for Cols 5 and 6.  Col. 4 100% ISO."</f>
        <v>Line 351 * Line 352 for Cols 5 and 6.  Col. 4 100% ISO.</v>
      </c>
      <c r="J72" s="235"/>
    </row>
    <row r="73" spans="1:11">
      <c r="A73" s="535"/>
      <c r="B73" s="581"/>
      <c r="C73" s="1146" t="s">
        <v>1610</v>
      </c>
      <c r="D73" s="595"/>
      <c r="E73" s="595"/>
      <c r="F73" s="595"/>
      <c r="G73" s="595"/>
      <c r="H73" s="595"/>
      <c r="I73" s="522"/>
      <c r="J73" s="227"/>
    </row>
    <row r="74" spans="1:11">
      <c r="A74" s="535"/>
      <c r="B74" s="581"/>
      <c r="C74" s="581"/>
      <c r="D74" s="595"/>
      <c r="E74" s="595"/>
      <c r="F74" s="595"/>
      <c r="G74" s="595"/>
      <c r="H74" s="595"/>
      <c r="I74" s="522"/>
      <c r="J74" s="227"/>
    </row>
    <row r="75" spans="1:11">
      <c r="A75" s="535">
        <f>+A72+1</f>
        <v>354</v>
      </c>
      <c r="B75" s="581"/>
      <c r="C75" s="581" t="s">
        <v>1566</v>
      </c>
      <c r="D75" s="965">
        <v>3988709871</v>
      </c>
      <c r="E75" s="1147" t="str">
        <f>"Must match amount on Line "&amp;A70&amp;", Col. 2"</f>
        <v>Must match amount on Line 351, Col. 2</v>
      </c>
      <c r="G75" s="595"/>
      <c r="H75" s="595"/>
      <c r="I75" s="522" t="s">
        <v>1213</v>
      </c>
      <c r="J75" s="227"/>
    </row>
    <row r="76" spans="1:11">
      <c r="A76" s="549"/>
      <c r="B76" s="581"/>
      <c r="C76" s="581"/>
      <c r="D76" s="601"/>
      <c r="E76" s="601"/>
      <c r="F76" s="601"/>
      <c r="G76" s="601"/>
      <c r="H76" s="601"/>
      <c r="I76" s="523"/>
      <c r="J76" s="227"/>
    </row>
    <row r="77" spans="1:11">
      <c r="A77" s="463"/>
      <c r="B77" s="580" t="s">
        <v>1567</v>
      </c>
      <c r="C77" s="602"/>
      <c r="D77" s="601"/>
      <c r="E77" s="227"/>
      <c r="F77" s="227"/>
      <c r="G77" s="227"/>
      <c r="H77" s="227"/>
      <c r="I77" s="227"/>
      <c r="J77" s="227"/>
    </row>
    <row r="78" spans="1:11">
      <c r="A78" s="463"/>
      <c r="C78" s="84" t="s">
        <v>358</v>
      </c>
      <c r="D78" s="84" t="s">
        <v>342</v>
      </c>
      <c r="E78" s="84" t="s">
        <v>343</v>
      </c>
      <c r="F78" s="84" t="s">
        <v>344</v>
      </c>
      <c r="G78" s="84" t="s">
        <v>345</v>
      </c>
      <c r="H78" s="84" t="s">
        <v>346</v>
      </c>
      <c r="I78" s="84" t="s">
        <v>347</v>
      </c>
      <c r="J78" s="227"/>
    </row>
    <row r="79" spans="1:11">
      <c r="A79" s="463"/>
      <c r="B79" s="584"/>
      <c r="C79" s="584"/>
      <c r="D79" s="584" t="s">
        <v>1551</v>
      </c>
      <c r="E79" s="584" t="s">
        <v>1552</v>
      </c>
      <c r="F79" s="584"/>
      <c r="G79" s="584"/>
      <c r="H79" s="584" t="s">
        <v>1265</v>
      </c>
      <c r="I79" s="866" t="s">
        <v>1871</v>
      </c>
      <c r="J79" s="227"/>
    </row>
    <row r="80" spans="1:11">
      <c r="A80" s="463"/>
      <c r="B80" s="587" t="s">
        <v>1568</v>
      </c>
      <c r="C80" s="587" t="s">
        <v>1554</v>
      </c>
      <c r="D80" s="587" t="s">
        <v>1555</v>
      </c>
      <c r="E80" s="587" t="s">
        <v>1556</v>
      </c>
      <c r="F80" s="587" t="s">
        <v>1557</v>
      </c>
      <c r="G80" s="587" t="s">
        <v>1558</v>
      </c>
      <c r="H80" s="587" t="s">
        <v>1548</v>
      </c>
      <c r="I80" s="587" t="s">
        <v>100</v>
      </c>
      <c r="J80" s="227"/>
    </row>
    <row r="81" spans="1:11">
      <c r="A81" s="186">
        <v>400</v>
      </c>
      <c r="B81" s="968">
        <v>282</v>
      </c>
      <c r="C81" s="969" t="s">
        <v>2851</v>
      </c>
      <c r="D81" s="970">
        <v>-1214609194</v>
      </c>
      <c r="E81" s="966"/>
      <c r="F81" s="966">
        <v>-1214609194</v>
      </c>
      <c r="G81" s="966"/>
      <c r="H81" s="966"/>
      <c r="I81" s="967" t="s">
        <v>2852</v>
      </c>
      <c r="J81" s="967"/>
    </row>
    <row r="82" spans="1:11">
      <c r="A82" s="186">
        <f>A81+1</f>
        <v>401</v>
      </c>
      <c r="B82" s="968">
        <v>282</v>
      </c>
      <c r="C82" s="971" t="s">
        <v>2833</v>
      </c>
      <c r="D82" s="970">
        <v>-7324771034</v>
      </c>
      <c r="E82" s="966">
        <v>-7324771034</v>
      </c>
      <c r="F82" s="966"/>
      <c r="G82" s="966"/>
      <c r="H82" s="966"/>
      <c r="I82" s="967" t="s">
        <v>2853</v>
      </c>
      <c r="J82" s="967"/>
    </row>
    <row r="83" spans="1:11">
      <c r="A83" s="962">
        <f t="shared" ref="A83:A87" si="8">A82+1</f>
        <v>402</v>
      </c>
      <c r="B83" s="968">
        <v>282</v>
      </c>
      <c r="C83" s="969" t="s">
        <v>2854</v>
      </c>
      <c r="D83" s="970">
        <v>-125691689</v>
      </c>
      <c r="E83" s="966">
        <v>-125691689</v>
      </c>
      <c r="F83" s="966"/>
      <c r="G83" s="966"/>
      <c r="H83" s="966"/>
      <c r="I83" s="967" t="s">
        <v>2855</v>
      </c>
      <c r="J83" s="967"/>
    </row>
    <row r="84" spans="1:11">
      <c r="A84" s="962">
        <f t="shared" si="8"/>
        <v>403</v>
      </c>
      <c r="B84" s="968">
        <v>282</v>
      </c>
      <c r="C84" s="969" t="s">
        <v>2856</v>
      </c>
      <c r="D84" s="970">
        <v>0</v>
      </c>
      <c r="E84" s="966">
        <v>0</v>
      </c>
      <c r="F84" s="966"/>
      <c r="G84" s="966"/>
      <c r="H84" s="966"/>
      <c r="I84" s="967" t="s">
        <v>2857</v>
      </c>
      <c r="J84" s="967"/>
    </row>
    <row r="85" spans="1:11">
      <c r="A85" s="962">
        <f t="shared" si="8"/>
        <v>404</v>
      </c>
      <c r="B85" s="968">
        <v>282</v>
      </c>
      <c r="C85" s="971" t="s">
        <v>2849</v>
      </c>
      <c r="D85" s="970">
        <v>-866632</v>
      </c>
      <c r="E85" s="966">
        <v>-866632</v>
      </c>
      <c r="F85" s="966"/>
      <c r="G85" s="966"/>
      <c r="H85" s="966"/>
      <c r="I85" s="967" t="s">
        <v>2858</v>
      </c>
      <c r="J85" s="967"/>
    </row>
    <row r="86" spans="1:11">
      <c r="A86" s="962">
        <f t="shared" si="8"/>
        <v>405</v>
      </c>
      <c r="B86" s="968">
        <v>282</v>
      </c>
      <c r="C86" s="971" t="s">
        <v>2850</v>
      </c>
      <c r="D86" s="970">
        <v>-5419862</v>
      </c>
      <c r="E86" s="966">
        <v>-5419862</v>
      </c>
      <c r="F86" s="966"/>
      <c r="G86" s="966"/>
      <c r="H86" s="966"/>
      <c r="I86" s="967" t="s">
        <v>2847</v>
      </c>
      <c r="J86" s="967"/>
    </row>
    <row r="87" spans="1:11" s="955" customFormat="1">
      <c r="A87" s="962">
        <f t="shared" si="8"/>
        <v>406</v>
      </c>
      <c r="B87" s="959" t="s">
        <v>504</v>
      </c>
      <c r="C87" s="956"/>
      <c r="D87" s="960"/>
      <c r="E87" s="957"/>
      <c r="F87" s="957"/>
      <c r="G87" s="957"/>
      <c r="H87" s="957"/>
      <c r="I87" s="958"/>
      <c r="J87" s="958"/>
      <c r="K87" s="14"/>
    </row>
    <row r="88" spans="1:11">
      <c r="A88" s="549"/>
      <c r="B88" s="525"/>
      <c r="C88" s="465"/>
      <c r="D88" s="603"/>
      <c r="E88" s="231"/>
      <c r="F88" s="231"/>
      <c r="G88" s="231"/>
      <c r="H88" s="231"/>
      <c r="I88" s="235"/>
      <c r="J88" s="235"/>
    </row>
    <row r="89" spans="1:11">
      <c r="A89" s="549"/>
      <c r="B89" s="525"/>
      <c r="C89" s="84" t="s">
        <v>358</v>
      </c>
      <c r="D89" s="84" t="s">
        <v>342</v>
      </c>
      <c r="E89" s="84" t="s">
        <v>343</v>
      </c>
      <c r="F89" s="84" t="s">
        <v>344</v>
      </c>
      <c r="G89" s="84" t="s">
        <v>345</v>
      </c>
      <c r="H89" s="84" t="s">
        <v>346</v>
      </c>
      <c r="I89" s="361" t="s">
        <v>179</v>
      </c>
      <c r="J89" s="235"/>
    </row>
    <row r="90" spans="1:11">
      <c r="A90" s="109">
        <v>450</v>
      </c>
      <c r="B90" s="464"/>
      <c r="C90" s="463" t="s">
        <v>1606</v>
      </c>
      <c r="D90" s="595">
        <f>SUM(D81:D87)</f>
        <v>-8671358411</v>
      </c>
      <c r="E90" s="595">
        <f>SUM(E81:E87)</f>
        <v>-7456749217</v>
      </c>
      <c r="F90" s="595">
        <f>SUM(F81:F87)</f>
        <v>-1214609194</v>
      </c>
      <c r="G90" s="595">
        <f>SUM(G81:G87)</f>
        <v>0</v>
      </c>
      <c r="H90" s="595">
        <f>SUM(H81:H87)</f>
        <v>0</v>
      </c>
      <c r="I90" s="450" t="str">
        <f>"Sum of Above Lines beginning on Line "&amp;A81&amp;""</f>
        <v>Sum of Above Lines beginning on Line 400</v>
      </c>
      <c r="J90" s="227"/>
    </row>
    <row r="91" spans="1:11">
      <c r="A91" s="535">
        <f>+A90+1</f>
        <v>451</v>
      </c>
      <c r="B91" s="581"/>
      <c r="C91" s="581" t="s">
        <v>1607</v>
      </c>
      <c r="D91" s="595"/>
      <c r="E91" s="595"/>
      <c r="F91" s="595"/>
      <c r="G91" s="597">
        <f>'27-Allocators'!$G$28</f>
        <v>0.18354940810043915</v>
      </c>
      <c r="H91" s="597">
        <f>'27-Allocators'!$G$15</f>
        <v>6.982260642173875E-2</v>
      </c>
      <c r="I91" s="709" t="str">
        <f>"27-Allocators Lines "&amp;'27-Allocators'!A28&amp;" and "&amp;'27-Allocators'!A15&amp;" respectively."</f>
        <v>27-Allocators Lines 22 and 9 respectively.</v>
      </c>
      <c r="J91" s="227"/>
    </row>
    <row r="92" spans="1:11">
      <c r="A92" s="535">
        <f>+A91+1</f>
        <v>452</v>
      </c>
      <c r="B92" s="581"/>
      <c r="C92" s="581" t="s">
        <v>1609</v>
      </c>
      <c r="D92" s="595">
        <f>SUM(F92:H92)</f>
        <v>-1214609194</v>
      </c>
      <c r="E92" s="595"/>
      <c r="F92" s="598">
        <f>+F90</f>
        <v>-1214609194</v>
      </c>
      <c r="G92" s="598">
        <f>+G90*G91</f>
        <v>0</v>
      </c>
      <c r="H92" s="598">
        <f>+H90*H91</f>
        <v>0</v>
      </c>
      <c r="I92" s="1145" t="str">
        <f>"Line "&amp;A90&amp;" * Line "&amp;A91&amp;" for Cols 5 and 6.  Col. 4 100% ISO."</f>
        <v>Line 450 * Line 451 for Cols 5 and 6.  Col. 4 100% ISO.</v>
      </c>
      <c r="J92" s="227"/>
    </row>
    <row r="93" spans="1:11">
      <c r="A93" s="535"/>
      <c r="B93" s="581"/>
      <c r="C93" s="599" t="s">
        <v>1610</v>
      </c>
      <c r="D93" s="595"/>
      <c r="E93" s="595"/>
      <c r="F93" s="595"/>
      <c r="G93" s="595"/>
      <c r="H93" s="595"/>
      <c r="I93" s="522"/>
      <c r="J93" s="227"/>
    </row>
    <row r="94" spans="1:11">
      <c r="A94" s="109"/>
      <c r="B94" s="464"/>
      <c r="C94" s="463"/>
      <c r="D94" s="595"/>
      <c r="E94" s="595"/>
      <c r="F94" s="595"/>
      <c r="G94" s="595"/>
      <c r="H94" s="595"/>
      <c r="I94" s="241"/>
      <c r="J94" s="227"/>
    </row>
    <row r="95" spans="1:11">
      <c r="A95" s="109">
        <f>+A92+1</f>
        <v>453</v>
      </c>
      <c r="B95" s="464"/>
      <c r="C95" s="581" t="s">
        <v>1569</v>
      </c>
      <c r="D95" s="965">
        <v>-8671358411</v>
      </c>
      <c r="E95" s="1147" t="str">
        <f>"Must match amount on Line "&amp;A90&amp;", Col. 2"</f>
        <v>Must match amount on Line 450, Col. 2</v>
      </c>
      <c r="F95" s="595"/>
      <c r="G95" s="595"/>
      <c r="H95" s="595"/>
      <c r="I95" s="241" t="s">
        <v>1570</v>
      </c>
      <c r="J95" s="227"/>
    </row>
    <row r="96" spans="1:11">
      <c r="A96" s="549"/>
      <c r="B96" s="464"/>
      <c r="C96" s="463"/>
      <c r="D96" s="595"/>
      <c r="E96" s="595"/>
      <c r="F96" s="595"/>
      <c r="G96" s="595"/>
      <c r="H96" s="595"/>
      <c r="I96" s="241"/>
      <c r="J96" s="227"/>
    </row>
    <row r="97" spans="1:11">
      <c r="A97" s="549"/>
      <c r="B97" s="464"/>
      <c r="C97" s="463"/>
      <c r="D97" s="595"/>
      <c r="E97" s="595"/>
      <c r="F97" s="595"/>
      <c r="G97" s="595"/>
      <c r="H97" s="595"/>
      <c r="I97" s="523"/>
      <c r="J97" s="227"/>
    </row>
    <row r="98" spans="1:11">
      <c r="A98" s="463"/>
      <c r="B98" s="580" t="s">
        <v>1571</v>
      </c>
      <c r="C98" s="604"/>
      <c r="D98" s="595"/>
      <c r="E98" s="229"/>
      <c r="F98" s="229"/>
      <c r="G98" s="229"/>
      <c r="H98" s="229"/>
      <c r="I98" s="227"/>
      <c r="J98" s="227"/>
    </row>
    <row r="99" spans="1:11">
      <c r="A99" s="463"/>
      <c r="B99" s="580"/>
      <c r="C99" s="84" t="s">
        <v>358</v>
      </c>
      <c r="D99" s="84" t="s">
        <v>342</v>
      </c>
      <c r="E99" s="84" t="s">
        <v>343</v>
      </c>
      <c r="F99" s="84" t="s">
        <v>344</v>
      </c>
      <c r="G99" s="84" t="s">
        <v>345</v>
      </c>
      <c r="H99" s="84" t="s">
        <v>346</v>
      </c>
      <c r="I99" s="84" t="s">
        <v>347</v>
      </c>
      <c r="J99" s="227"/>
    </row>
    <row r="100" spans="1:11">
      <c r="A100" s="463"/>
      <c r="B100" s="584"/>
      <c r="C100" s="584"/>
      <c r="D100" s="605" t="s">
        <v>1551</v>
      </c>
      <c r="E100" s="605" t="s">
        <v>1552</v>
      </c>
      <c r="F100" s="605"/>
      <c r="G100" s="605"/>
      <c r="H100" s="605" t="s">
        <v>1265</v>
      </c>
      <c r="I100" s="866" t="s">
        <v>1871</v>
      </c>
      <c r="J100" s="227"/>
    </row>
    <row r="101" spans="1:11">
      <c r="A101" s="463"/>
      <c r="B101" s="587" t="s">
        <v>1572</v>
      </c>
      <c r="C101" s="587" t="s">
        <v>1554</v>
      </c>
      <c r="D101" s="606" t="s">
        <v>1555</v>
      </c>
      <c r="E101" s="606" t="s">
        <v>1556</v>
      </c>
      <c r="F101" s="606" t="s">
        <v>1557</v>
      </c>
      <c r="G101" s="606" t="s">
        <v>1558</v>
      </c>
      <c r="H101" s="606" t="s">
        <v>1548</v>
      </c>
      <c r="I101" s="587" t="s">
        <v>100</v>
      </c>
      <c r="J101" s="227"/>
    </row>
    <row r="102" spans="1:11">
      <c r="A102" s="549"/>
      <c r="B102" s="581" t="s">
        <v>1560</v>
      </c>
      <c r="C102" s="227"/>
      <c r="D102" s="229"/>
      <c r="E102" s="229"/>
      <c r="F102" s="229"/>
      <c r="G102" s="229"/>
      <c r="H102" s="229"/>
      <c r="I102" s="227"/>
      <c r="J102" s="227"/>
    </row>
    <row r="103" spans="1:11">
      <c r="A103" s="186">
        <v>500</v>
      </c>
      <c r="B103" s="968">
        <v>283</v>
      </c>
      <c r="C103" s="971" t="s">
        <v>2859</v>
      </c>
      <c r="D103" s="707">
        <v>-60649530</v>
      </c>
      <c r="E103" s="966">
        <f>D103</f>
        <v>-60649530</v>
      </c>
      <c r="F103" s="966"/>
      <c r="G103" s="966"/>
      <c r="H103" s="966"/>
      <c r="I103" s="967" t="s">
        <v>2860</v>
      </c>
      <c r="J103" s="958"/>
    </row>
    <row r="104" spans="1:11">
      <c r="A104" s="186">
        <f>A103+1</f>
        <v>501</v>
      </c>
      <c r="B104" s="968">
        <v>283</v>
      </c>
      <c r="C104" s="971" t="s">
        <v>2859</v>
      </c>
      <c r="D104" s="707">
        <v>-10321989</v>
      </c>
      <c r="E104" s="966"/>
      <c r="F104" s="966">
        <f>D104</f>
        <v>-10321989</v>
      </c>
      <c r="G104" s="966"/>
      <c r="H104" s="966"/>
      <c r="I104" s="967" t="s">
        <v>2861</v>
      </c>
      <c r="J104" s="958"/>
    </row>
    <row r="105" spans="1:11">
      <c r="A105" s="962">
        <f t="shared" ref="A105:A111" si="9">A104+1</f>
        <v>502</v>
      </c>
      <c r="B105" s="968">
        <v>283</v>
      </c>
      <c r="C105" s="971" t="s">
        <v>2556</v>
      </c>
      <c r="D105" s="707">
        <v>-30768479</v>
      </c>
      <c r="E105" s="966">
        <f>D105*G158</f>
        <v>-26562.848001642433</v>
      </c>
      <c r="F105" s="966"/>
      <c r="G105" s="966">
        <f>D105-E105</f>
        <v>-30741916.151998356</v>
      </c>
      <c r="H105" s="966"/>
      <c r="I105" s="967" t="s">
        <v>2862</v>
      </c>
      <c r="J105" s="958"/>
    </row>
    <row r="106" spans="1:11">
      <c r="A106" s="962">
        <f t="shared" si="9"/>
        <v>503</v>
      </c>
      <c r="B106" s="968">
        <v>283</v>
      </c>
      <c r="C106" s="971" t="s">
        <v>2557</v>
      </c>
      <c r="D106" s="707">
        <v>-1380206</v>
      </c>
      <c r="E106" s="1349">
        <f>D106*G150</f>
        <v>-8769.3767520598776</v>
      </c>
      <c r="F106" s="966"/>
      <c r="G106" s="966"/>
      <c r="H106" s="966">
        <f>D106-E106</f>
        <v>-1371436.6232479401</v>
      </c>
      <c r="I106" s="967" t="s">
        <v>2838</v>
      </c>
      <c r="J106" s="958"/>
    </row>
    <row r="107" spans="1:11">
      <c r="A107" s="962">
        <f t="shared" si="9"/>
        <v>504</v>
      </c>
      <c r="B107" s="968">
        <v>283</v>
      </c>
      <c r="C107" s="971" t="s">
        <v>2832</v>
      </c>
      <c r="D107" s="707">
        <v>-1107676776</v>
      </c>
      <c r="E107" s="966">
        <f>D107</f>
        <v>-1107676776</v>
      </c>
      <c r="F107" s="966"/>
      <c r="G107" s="966"/>
      <c r="H107" s="966"/>
      <c r="I107" s="967" t="s">
        <v>2841</v>
      </c>
      <c r="J107" s="958"/>
    </row>
    <row r="108" spans="1:11">
      <c r="A108" s="962">
        <f t="shared" si="9"/>
        <v>505</v>
      </c>
      <c r="B108" s="968">
        <v>283</v>
      </c>
      <c r="C108" s="971" t="s">
        <v>2831</v>
      </c>
      <c r="D108" s="707">
        <v>-515023097</v>
      </c>
      <c r="E108" s="966">
        <f t="shared" ref="E108:E110" si="10">D108</f>
        <v>-515023097</v>
      </c>
      <c r="F108" s="966"/>
      <c r="G108" s="966"/>
      <c r="H108" s="966"/>
      <c r="I108" s="967" t="s">
        <v>2840</v>
      </c>
      <c r="J108" s="958"/>
    </row>
    <row r="109" spans="1:11">
      <c r="A109" s="962">
        <f t="shared" si="9"/>
        <v>506</v>
      </c>
      <c r="B109" s="968">
        <v>283</v>
      </c>
      <c r="C109" s="971" t="s">
        <v>2834</v>
      </c>
      <c r="D109" s="707">
        <v>0</v>
      </c>
      <c r="E109" s="990">
        <f t="shared" si="10"/>
        <v>0</v>
      </c>
      <c r="F109" s="966"/>
      <c r="G109" s="966"/>
      <c r="H109" s="966"/>
      <c r="I109" s="967" t="s">
        <v>2843</v>
      </c>
      <c r="J109" s="958"/>
    </row>
    <row r="110" spans="1:11" s="955" customFormat="1">
      <c r="A110" s="962">
        <f t="shared" si="9"/>
        <v>507</v>
      </c>
      <c r="B110" s="968">
        <v>283</v>
      </c>
      <c r="C110" s="971" t="s">
        <v>2835</v>
      </c>
      <c r="D110" s="707">
        <v>-378232906</v>
      </c>
      <c r="E110" s="990">
        <f t="shared" si="10"/>
        <v>-378232906</v>
      </c>
      <c r="F110" s="966"/>
      <c r="G110" s="966"/>
      <c r="H110" s="966"/>
      <c r="I110" s="967" t="s">
        <v>2844</v>
      </c>
      <c r="J110" s="958"/>
      <c r="K110" s="14"/>
    </row>
    <row r="111" spans="1:11" s="955" customFormat="1">
      <c r="A111" s="962">
        <f t="shared" si="9"/>
        <v>508</v>
      </c>
      <c r="B111" s="968" t="s">
        <v>504</v>
      </c>
      <c r="C111" s="971"/>
      <c r="D111" s="707"/>
      <c r="E111" s="990"/>
      <c r="F111" s="966"/>
      <c r="G111" s="966"/>
      <c r="H111" s="966"/>
      <c r="I111" s="967"/>
      <c r="J111" s="958"/>
      <c r="K111" s="14"/>
    </row>
    <row r="112" spans="1:11">
      <c r="A112" s="109"/>
      <c r="B112" s="528"/>
      <c r="C112" s="529"/>
      <c r="D112" s="530"/>
      <c r="E112" s="231"/>
      <c r="F112" s="231"/>
      <c r="G112" s="231"/>
      <c r="H112" s="231"/>
      <c r="I112" s="235"/>
      <c r="J112" s="235"/>
    </row>
    <row r="113" spans="1:11">
      <c r="A113" s="109"/>
      <c r="B113" s="580" t="s">
        <v>1573</v>
      </c>
      <c r="C113" s="604"/>
      <c r="D113" s="595"/>
      <c r="E113" s="229"/>
      <c r="F113" s="229"/>
      <c r="G113" s="229"/>
      <c r="H113" s="229"/>
      <c r="I113" s="227"/>
      <c r="J113" s="235"/>
    </row>
    <row r="114" spans="1:11">
      <c r="A114" s="109"/>
      <c r="B114" s="580"/>
      <c r="C114" s="84" t="s">
        <v>358</v>
      </c>
      <c r="D114" s="84" t="s">
        <v>342</v>
      </c>
      <c r="E114" s="84" t="s">
        <v>343</v>
      </c>
      <c r="F114" s="84" t="s">
        <v>344</v>
      </c>
      <c r="G114" s="84" t="s">
        <v>345</v>
      </c>
      <c r="H114" s="84" t="s">
        <v>346</v>
      </c>
      <c r="I114" s="84" t="s">
        <v>347</v>
      </c>
      <c r="J114" s="235"/>
    </row>
    <row r="115" spans="1:11">
      <c r="A115" s="109"/>
      <c r="B115" s="584"/>
      <c r="C115" s="584"/>
      <c r="D115" s="605" t="s">
        <v>1551</v>
      </c>
      <c r="E115" s="605" t="s">
        <v>1552</v>
      </c>
      <c r="F115" s="605"/>
      <c r="G115" s="605"/>
      <c r="H115" s="605" t="s">
        <v>1265</v>
      </c>
      <c r="I115" s="866" t="s">
        <v>1871</v>
      </c>
      <c r="J115" s="235"/>
    </row>
    <row r="116" spans="1:11">
      <c r="A116" s="109"/>
      <c r="B116" s="587" t="s">
        <v>1572</v>
      </c>
      <c r="C116" s="587" t="s">
        <v>1554</v>
      </c>
      <c r="D116" s="606" t="s">
        <v>1555</v>
      </c>
      <c r="E116" s="606" t="s">
        <v>1556</v>
      </c>
      <c r="F116" s="606" t="s">
        <v>1557</v>
      </c>
      <c r="G116" s="606" t="s">
        <v>1558</v>
      </c>
      <c r="H116" s="606" t="s">
        <v>1548</v>
      </c>
      <c r="I116" s="587" t="s">
        <v>100</v>
      </c>
      <c r="J116" s="235"/>
    </row>
    <row r="117" spans="1:11">
      <c r="A117" s="109"/>
      <c r="B117" s="581" t="s">
        <v>1574</v>
      </c>
      <c r="C117" s="584"/>
      <c r="D117" s="605"/>
      <c r="E117" s="605"/>
      <c r="F117" s="605"/>
      <c r="G117" s="605"/>
      <c r="H117" s="605"/>
      <c r="I117" s="584"/>
      <c r="J117" s="235"/>
    </row>
    <row r="118" spans="1:11">
      <c r="A118" s="962">
        <f>A111+1</f>
        <v>509</v>
      </c>
      <c r="B118" s="964" t="s">
        <v>504</v>
      </c>
      <c r="C118" s="526"/>
      <c r="D118" s="527"/>
      <c r="E118" s="991"/>
      <c r="F118" s="963"/>
      <c r="G118" s="963"/>
      <c r="H118" s="963"/>
      <c r="I118" s="958"/>
      <c r="J118" s="958"/>
    </row>
    <row r="119" spans="1:11">
      <c r="A119" s="109"/>
      <c r="B119" s="531"/>
      <c r="C119" s="532"/>
      <c r="D119" s="466"/>
      <c r="E119" s="231"/>
      <c r="F119" s="231"/>
      <c r="G119" s="231"/>
      <c r="H119" s="231"/>
      <c r="I119" s="235"/>
      <c r="J119" s="235"/>
    </row>
    <row r="120" spans="1:11">
      <c r="A120" s="109">
        <v>650</v>
      </c>
      <c r="B120" s="532"/>
      <c r="C120" s="532" t="s">
        <v>1575</v>
      </c>
      <c r="D120" s="466">
        <f>SUM(D103:D111)+SUM(D118:D118)</f>
        <v>-2104052983</v>
      </c>
      <c r="E120" s="466">
        <f>SUM(E103:E111)+SUM(E118:E118)</f>
        <v>-2061617641.2247536</v>
      </c>
      <c r="F120" s="466">
        <f t="shared" ref="F120:G120" si="11">SUM(F103:F111)+SUM(F118:F118)</f>
        <v>-10321989</v>
      </c>
      <c r="G120" s="466">
        <f t="shared" si="11"/>
        <v>-30741916.151998356</v>
      </c>
      <c r="H120" s="466">
        <f>SUM(H103:H111)+SUM(H118:H118)</f>
        <v>-1371436.6232479401</v>
      </c>
      <c r="I120" s="450" t="str">
        <f>"Sum of Above Lines beginning on Line "&amp;A103&amp;""</f>
        <v>Sum of Above Lines beginning on Line 500</v>
      </c>
      <c r="J120" s="227"/>
    </row>
    <row r="121" spans="1:11">
      <c r="A121" s="109"/>
      <c r="B121" s="532"/>
      <c r="C121" s="532"/>
      <c r="D121" s="466"/>
      <c r="E121" s="466"/>
      <c r="F121" s="466"/>
      <c r="G121" s="466"/>
      <c r="H121" s="466"/>
      <c r="I121" s="523"/>
      <c r="J121" s="227"/>
    </row>
    <row r="122" spans="1:11">
      <c r="A122" s="549"/>
      <c r="B122" s="591" t="s">
        <v>1700</v>
      </c>
      <c r="C122" s="532"/>
      <c r="D122" s="466"/>
      <c r="E122" s="229"/>
      <c r="F122" s="229"/>
      <c r="G122" s="229"/>
      <c r="H122" s="229"/>
      <c r="I122" s="866" t="s">
        <v>1871</v>
      </c>
      <c r="J122" s="227"/>
    </row>
    <row r="123" spans="1:11">
      <c r="A123" s="549"/>
      <c r="C123" s="84" t="s">
        <v>358</v>
      </c>
      <c r="D123" s="84" t="s">
        <v>342</v>
      </c>
      <c r="E123" s="84" t="s">
        <v>343</v>
      </c>
      <c r="F123" s="84" t="s">
        <v>344</v>
      </c>
      <c r="G123" s="84" t="s">
        <v>345</v>
      </c>
      <c r="H123" s="84" t="s">
        <v>346</v>
      </c>
      <c r="I123" s="84" t="s">
        <v>347</v>
      </c>
      <c r="J123" s="227"/>
    </row>
    <row r="124" spans="1:11" s="955" customFormat="1">
      <c r="A124" s="962">
        <v>700</v>
      </c>
      <c r="B124" s="968">
        <v>283</v>
      </c>
      <c r="C124" s="971" t="s">
        <v>2846</v>
      </c>
      <c r="D124" s="708">
        <v>-133198</v>
      </c>
      <c r="E124" s="966">
        <v>-133198</v>
      </c>
      <c r="F124" s="966"/>
      <c r="G124" s="966"/>
      <c r="H124" s="966"/>
      <c r="I124" s="967" t="s">
        <v>2858</v>
      </c>
      <c r="J124" s="967"/>
      <c r="K124" s="14"/>
    </row>
    <row r="125" spans="1:11" s="955" customFormat="1">
      <c r="A125" s="992">
        <f>A124+1</f>
        <v>701</v>
      </c>
      <c r="B125" s="968">
        <v>283</v>
      </c>
      <c r="C125" s="971" t="s">
        <v>2848</v>
      </c>
      <c r="D125" s="708">
        <v>-1032782</v>
      </c>
      <c r="E125" s="966">
        <v>-1032782</v>
      </c>
      <c r="F125" s="966"/>
      <c r="G125" s="966"/>
      <c r="H125" s="966"/>
      <c r="I125" s="967" t="s">
        <v>2847</v>
      </c>
      <c r="J125" s="967"/>
      <c r="K125" s="14"/>
    </row>
    <row r="126" spans="1:11">
      <c r="A126" s="992">
        <f>A125+1</f>
        <v>702</v>
      </c>
      <c r="B126" s="993" t="s">
        <v>504</v>
      </c>
      <c r="C126" s="971"/>
      <c r="D126" s="708"/>
      <c r="E126" s="990"/>
      <c r="F126" s="990"/>
      <c r="G126" s="990"/>
      <c r="H126" s="990"/>
      <c r="I126" s="994"/>
      <c r="J126" s="994"/>
    </row>
    <row r="127" spans="1:11">
      <c r="A127" s="109"/>
      <c r="B127" s="528"/>
      <c r="C127" s="529"/>
      <c r="D127" s="530"/>
      <c r="E127" s="231"/>
      <c r="F127" s="231"/>
      <c r="G127" s="231"/>
      <c r="H127" s="231"/>
      <c r="I127" s="235"/>
      <c r="J127" s="235"/>
    </row>
    <row r="128" spans="1:11">
      <c r="A128" s="109"/>
      <c r="B128" s="532"/>
      <c r="C128" s="84" t="s">
        <v>358</v>
      </c>
      <c r="D128" s="84" t="s">
        <v>342</v>
      </c>
      <c r="E128" s="84" t="s">
        <v>343</v>
      </c>
      <c r="F128" s="84" t="s">
        <v>344</v>
      </c>
      <c r="G128" s="84" t="s">
        <v>345</v>
      </c>
      <c r="H128" s="84" t="s">
        <v>346</v>
      </c>
      <c r="I128" s="361" t="s">
        <v>179</v>
      </c>
      <c r="J128" s="227"/>
    </row>
    <row r="129" spans="1:11">
      <c r="A129" s="109">
        <v>800</v>
      </c>
      <c r="B129" s="227"/>
      <c r="C129" s="465" t="s">
        <v>1576</v>
      </c>
      <c r="D129" s="466">
        <f>SUM(D124:D126)</f>
        <v>-1165980</v>
      </c>
      <c r="E129" s="466">
        <f>SUM(E124:E126)</f>
        <v>-1165980</v>
      </c>
      <c r="F129" s="466">
        <f>SUM(F124:F126)</f>
        <v>0</v>
      </c>
      <c r="G129" s="466">
        <f>SUM(G124:G126)</f>
        <v>0</v>
      </c>
      <c r="H129" s="466">
        <f>SUM(H124:H126)</f>
        <v>0</v>
      </c>
      <c r="I129" s="450" t="str">
        <f>"Sum of Above Lines beginning on Line "&amp;A124&amp;""</f>
        <v>Sum of Above Lines beginning on Line 700</v>
      </c>
      <c r="J129" s="235"/>
    </row>
    <row r="130" spans="1:11">
      <c r="A130" s="109"/>
      <c r="B130" s="227"/>
      <c r="C130" s="465"/>
      <c r="D130" s="466"/>
      <c r="E130" s="466"/>
      <c r="F130" s="466"/>
      <c r="G130" s="466"/>
      <c r="H130" s="466"/>
      <c r="I130" s="450"/>
      <c r="J130" s="235"/>
    </row>
    <row r="131" spans="1:11">
      <c r="A131" s="109">
        <f>A129+1</f>
        <v>801</v>
      </c>
      <c r="B131" s="227"/>
      <c r="C131" s="465" t="s">
        <v>1577</v>
      </c>
      <c r="D131" s="466">
        <f>D120+D129</f>
        <v>-2105218963</v>
      </c>
      <c r="E131" s="466">
        <f>E120+E129</f>
        <v>-2062783621.2247536</v>
      </c>
      <c r="F131" s="466">
        <f>F120+F129</f>
        <v>-10321989</v>
      </c>
      <c r="G131" s="466">
        <f>G120+G129</f>
        <v>-30741916.151998356</v>
      </c>
      <c r="H131" s="466">
        <f>H120+H129</f>
        <v>-1371436.6232479401</v>
      </c>
      <c r="I131" s="1145" t="str">
        <f>"Line "&amp;A120&amp;" + Line "&amp;A129&amp;""</f>
        <v>Line 650 + Line 800</v>
      </c>
      <c r="J131" s="235"/>
    </row>
    <row r="132" spans="1:11">
      <c r="A132" s="535">
        <f>+A131+1</f>
        <v>802</v>
      </c>
      <c r="B132" s="581"/>
      <c r="C132" s="581" t="s">
        <v>1607</v>
      </c>
      <c r="D132" s="930"/>
      <c r="E132" s="930"/>
      <c r="F132" s="595"/>
      <c r="G132" s="597">
        <f>'27-Allocators'!$G$28</f>
        <v>0.18354940810043915</v>
      </c>
      <c r="H132" s="597">
        <f>'27-Allocators'!$G$15</f>
        <v>6.982260642173875E-2</v>
      </c>
      <c r="I132" s="709" t="str">
        <f>"27-Allocators Lines "&amp;'27-Allocators'!A28&amp;" and "&amp;'27-Allocators'!A15&amp;" respectively."</f>
        <v>27-Allocators Lines 22 and 9 respectively.</v>
      </c>
      <c r="J132" s="235"/>
    </row>
    <row r="133" spans="1:11">
      <c r="A133" s="535">
        <f>+A132+1</f>
        <v>803</v>
      </c>
      <c r="B133" s="581"/>
      <c r="C133" s="581" t="s">
        <v>1611</v>
      </c>
      <c r="D133" s="603">
        <f>SUM(F133:H133)</f>
        <v>-16060406.793150028</v>
      </c>
      <c r="E133" s="595"/>
      <c r="F133" s="598">
        <f>+F131</f>
        <v>-10321989</v>
      </c>
      <c r="G133" s="598">
        <f>+G131*G132</f>
        <v>-5642660.5135726286</v>
      </c>
      <c r="H133" s="979">
        <f>+H131*H132</f>
        <v>-95757.279577399328</v>
      </c>
      <c r="I133" s="1145" t="str">
        <f>"Line "&amp;A131&amp;" * Line "&amp;A132&amp;" for Cols 5 and 6.  Col. 4 100% ISO."</f>
        <v>Line 801 * Line 802 for Cols 5 and 6.  Col. 4 100% ISO.</v>
      </c>
      <c r="J133" s="235"/>
    </row>
    <row r="134" spans="1:11">
      <c r="A134" s="109"/>
      <c r="B134" s="227"/>
      <c r="C134" s="1146" t="s">
        <v>1610</v>
      </c>
      <c r="D134" s="466"/>
      <c r="E134" s="466"/>
      <c r="F134" s="466"/>
      <c r="G134" s="466"/>
      <c r="H134" s="466"/>
      <c r="I134" s="522"/>
      <c r="J134" s="229"/>
    </row>
    <row r="135" spans="1:11">
      <c r="A135" s="109"/>
      <c r="B135" s="227"/>
      <c r="C135" s="465"/>
      <c r="D135" s="466"/>
      <c r="E135" s="466"/>
      <c r="F135" s="466"/>
      <c r="G135" s="466"/>
      <c r="H135" s="466"/>
      <c r="I135" s="522"/>
      <c r="J135" s="227"/>
    </row>
    <row r="136" spans="1:11">
      <c r="A136" s="109">
        <f>A133+1</f>
        <v>804</v>
      </c>
      <c r="C136" s="581" t="s">
        <v>1601</v>
      </c>
      <c r="D136" s="965">
        <v>-2105218963</v>
      </c>
      <c r="E136" s="1147" t="str">
        <f>"Must match amount on Line "&amp;A131&amp;", Col. 2"</f>
        <v>Must match amount on Line 801, Col. 2</v>
      </c>
      <c r="F136" s="595"/>
      <c r="G136" s="595"/>
      <c r="H136" s="595"/>
      <c r="I136" s="241" t="s">
        <v>1209</v>
      </c>
    </row>
    <row r="137" spans="1:11" s="955" customFormat="1">
      <c r="A137" s="109"/>
      <c r="B137" s="517"/>
      <c r="C137" s="581"/>
      <c r="D137" s="600"/>
      <c r="E137" s="600"/>
      <c r="F137" s="595"/>
      <c r="G137" s="595"/>
      <c r="H137" s="595"/>
      <c r="I137" s="241"/>
      <c r="J137" s="517"/>
      <c r="K137" s="14"/>
    </row>
    <row r="138" spans="1:11">
      <c r="B138"/>
      <c r="C138" s="235" t="s">
        <v>1872</v>
      </c>
      <c r="D138" s="235"/>
      <c r="E138" s="235"/>
      <c r="F138" s="235"/>
      <c r="G138" s="235"/>
      <c r="J138"/>
    </row>
    <row r="139" spans="1:11">
      <c r="B139"/>
      <c r="C139" s="235" t="s">
        <v>1873</v>
      </c>
      <c r="D139" s="235"/>
      <c r="E139" s="235"/>
      <c r="F139" s="235"/>
      <c r="G139" s="235"/>
      <c r="J139"/>
    </row>
    <row r="140" spans="1:11">
      <c r="B140"/>
      <c r="C140" s="235"/>
      <c r="D140" s="235"/>
      <c r="E140" s="235"/>
      <c r="F140" s="235"/>
      <c r="G140" s="235"/>
      <c r="J140"/>
    </row>
    <row r="141" spans="1:11">
      <c r="B141"/>
      <c r="C141" s="235" t="s">
        <v>1874</v>
      </c>
      <c r="D141" s="235"/>
      <c r="E141" s="235"/>
      <c r="F141" s="235"/>
      <c r="G141" s="235"/>
      <c r="J141"/>
    </row>
    <row r="142" spans="1:11">
      <c r="B142"/>
      <c r="C142" s="235" t="s">
        <v>1875</v>
      </c>
      <c r="D142" s="235"/>
      <c r="E142" s="235"/>
      <c r="F142" s="235"/>
      <c r="G142" s="235"/>
      <c r="J142"/>
    </row>
    <row r="143" spans="1:11">
      <c r="B143"/>
      <c r="C143" s="235" t="s">
        <v>1876</v>
      </c>
      <c r="D143" s="235"/>
      <c r="E143" s="235"/>
      <c r="F143" s="235"/>
      <c r="G143" s="235"/>
      <c r="J143"/>
    </row>
    <row r="144" spans="1:11" s="463" customFormat="1">
      <c r="C144" s="465"/>
      <c r="D144" s="465"/>
      <c r="E144" s="109" t="s">
        <v>169</v>
      </c>
      <c r="F144" s="465"/>
      <c r="G144" s="854" t="s">
        <v>63</v>
      </c>
      <c r="H144" s="227"/>
      <c r="I144" s="227"/>
      <c r="K144" s="465"/>
    </row>
    <row r="145" spans="2:11" s="463" customFormat="1">
      <c r="C145" s="465"/>
      <c r="D145" s="465"/>
      <c r="E145" s="122" t="s">
        <v>170</v>
      </c>
      <c r="F145" s="465"/>
      <c r="G145" s="122" t="s">
        <v>171</v>
      </c>
      <c r="H145" s="227"/>
      <c r="I145" s="227"/>
      <c r="K145" s="465"/>
    </row>
    <row r="146" spans="2:11" s="463" customFormat="1" ht="12.5">
      <c r="C146" s="867" t="s">
        <v>1877</v>
      </c>
      <c r="D146" s="465"/>
      <c r="E146" s="465" t="s">
        <v>283</v>
      </c>
      <c r="F146" s="465"/>
      <c r="G146" s="978">
        <v>911707192</v>
      </c>
      <c r="H146" s="227"/>
      <c r="I146" s="1095"/>
      <c r="K146" s="465"/>
    </row>
    <row r="147" spans="2:11" s="463" customFormat="1" ht="12.5">
      <c r="C147" s="462" t="s">
        <v>1878</v>
      </c>
      <c r="D147" s="465"/>
      <c r="E147" s="465" t="s">
        <v>1879</v>
      </c>
      <c r="F147" s="465"/>
      <c r="G147" s="493">
        <v>1224231</v>
      </c>
      <c r="H147" s="227"/>
      <c r="I147" s="1095"/>
      <c r="K147" s="465"/>
    </row>
    <row r="148" spans="2:11" s="463" customFormat="1" ht="12.5">
      <c r="C148" s="462" t="s">
        <v>1880</v>
      </c>
      <c r="D148" s="465"/>
      <c r="E148" s="465" t="s">
        <v>1881</v>
      </c>
      <c r="F148" s="465"/>
      <c r="G148" s="115">
        <v>4605498</v>
      </c>
      <c r="H148" s="227"/>
      <c r="I148" s="1095"/>
      <c r="K148" s="465"/>
    </row>
    <row r="149" spans="2:11" s="463" customFormat="1" ht="12.5">
      <c r="C149" s="867" t="s">
        <v>1882</v>
      </c>
      <c r="D149" s="465"/>
      <c r="E149" s="465" t="s">
        <v>1883</v>
      </c>
      <c r="F149" s="465"/>
      <c r="G149" s="477">
        <f>SUM(G146:G148)</f>
        <v>917536921</v>
      </c>
      <c r="H149" s="235"/>
      <c r="I149" s="227"/>
      <c r="K149" s="465"/>
    </row>
    <row r="150" spans="2:11" s="463" customFormat="1" ht="12.5">
      <c r="C150" s="462" t="s">
        <v>1884</v>
      </c>
      <c r="D150" s="465"/>
      <c r="E150" s="570" t="s">
        <v>1885</v>
      </c>
      <c r="F150" s="465"/>
      <c r="G150" s="389">
        <f>(G147+G148)/G149</f>
        <v>6.3536723880782122E-3</v>
      </c>
      <c r="H150" s="235"/>
      <c r="I150" s="227"/>
      <c r="K150" s="465"/>
    </row>
    <row r="151" spans="2:11" s="463" customFormat="1" ht="12.5">
      <c r="C151" s="848" t="s">
        <v>1886</v>
      </c>
      <c r="D151" s="235"/>
      <c r="E151" s="235"/>
      <c r="F151" s="235"/>
      <c r="G151" s="235"/>
      <c r="H151" s="227"/>
      <c r="I151" s="227"/>
      <c r="K151" s="465"/>
    </row>
    <row r="152" spans="2:11" s="463" customFormat="1">
      <c r="C152" s="465"/>
      <c r="D152" s="465"/>
      <c r="E152" s="109" t="s">
        <v>169</v>
      </c>
      <c r="F152" s="465"/>
      <c r="G152" s="854" t="s">
        <v>63</v>
      </c>
      <c r="H152" s="227"/>
      <c r="I152" s="227"/>
      <c r="K152" s="465"/>
    </row>
    <row r="153" spans="2:11" s="463" customFormat="1">
      <c r="C153" s="465"/>
      <c r="D153" s="465"/>
      <c r="E153" s="122" t="s">
        <v>170</v>
      </c>
      <c r="F153" s="465"/>
      <c r="G153" s="122" t="s">
        <v>171</v>
      </c>
      <c r="H153" s="227"/>
      <c r="I153" s="227"/>
      <c r="K153" s="465"/>
    </row>
    <row r="154" spans="2:11" s="463" customFormat="1" ht="12.5">
      <c r="C154" s="462" t="s">
        <v>1887</v>
      </c>
      <c r="D154" s="465"/>
      <c r="E154" s="465" t="s">
        <v>34</v>
      </c>
      <c r="F154" s="465"/>
      <c r="G154" s="978">
        <v>54562145476</v>
      </c>
      <c r="H154" s="227"/>
      <c r="I154" s="1095"/>
      <c r="K154" s="465"/>
    </row>
    <row r="155" spans="2:11" s="463" customFormat="1" ht="12.5">
      <c r="C155" s="462" t="s">
        <v>1888</v>
      </c>
      <c r="D155" s="465"/>
      <c r="E155" s="465" t="s">
        <v>1889</v>
      </c>
      <c r="F155" s="465"/>
      <c r="G155" s="493">
        <v>6489458</v>
      </c>
      <c r="H155" s="227"/>
      <c r="I155" s="227"/>
      <c r="K155" s="465"/>
    </row>
    <row r="156" spans="2:11" s="463" customFormat="1" ht="12.5">
      <c r="C156" s="462" t="s">
        <v>1890</v>
      </c>
      <c r="D156" s="465"/>
      <c r="E156" s="465" t="s">
        <v>1891</v>
      </c>
      <c r="F156" s="465"/>
      <c r="G156" s="115">
        <v>40655488</v>
      </c>
      <c r="H156" s="227"/>
      <c r="I156" s="1095"/>
      <c r="K156" s="465"/>
    </row>
    <row r="157" spans="2:11" s="463" customFormat="1" ht="12.5">
      <c r="C157" s="462" t="s">
        <v>1892</v>
      </c>
      <c r="D157" s="465"/>
      <c r="E157" s="465" t="s">
        <v>1893</v>
      </c>
      <c r="F157" s="465"/>
      <c r="G157" s="477">
        <f>SUM(G154:G156)</f>
        <v>54609290422</v>
      </c>
      <c r="H157" s="235"/>
      <c r="I157" s="235"/>
      <c r="J157" s="465"/>
      <c r="K157" s="465"/>
    </row>
    <row r="158" spans="2:11" s="463" customFormat="1" ht="12.5">
      <c r="C158" s="462" t="s">
        <v>1894</v>
      </c>
      <c r="D158" s="465"/>
      <c r="E158" s="570" t="s">
        <v>1895</v>
      </c>
      <c r="F158" s="465"/>
      <c r="G158" s="389">
        <f>(G155+G156)/G157</f>
        <v>8.6331365296420516E-4</v>
      </c>
      <c r="H158" s="235"/>
      <c r="I158" s="235"/>
      <c r="J158" s="465"/>
      <c r="K158" s="465"/>
    </row>
    <row r="159" spans="2:11" s="463" customFormat="1" ht="12.5">
      <c r="C159" s="235" t="s">
        <v>2415</v>
      </c>
      <c r="D159" s="235"/>
      <c r="E159" s="235"/>
      <c r="F159" s="235"/>
      <c r="G159" s="235"/>
      <c r="H159" s="235"/>
      <c r="I159" s="235"/>
      <c r="J159" s="465"/>
      <c r="K159" s="465"/>
    </row>
    <row r="160" spans="2:11" s="463" customFormat="1" ht="12.5">
      <c r="B160" s="227"/>
      <c r="C160" s="227"/>
      <c r="D160" s="227"/>
      <c r="E160" s="227"/>
      <c r="F160" s="227"/>
      <c r="G160" s="227"/>
      <c r="H160" s="227"/>
      <c r="I160" s="227"/>
      <c r="J160" s="227"/>
      <c r="K160" s="465"/>
    </row>
    <row r="161" spans="2:11" s="463" customFormat="1">
      <c r="B161" s="227"/>
      <c r="C161" s="833" t="s">
        <v>230</v>
      </c>
      <c r="D161" s="227"/>
      <c r="E161" s="227"/>
      <c r="F161" s="227"/>
      <c r="G161" s="227"/>
      <c r="H161" s="227"/>
      <c r="I161" s="227"/>
      <c r="J161" s="227"/>
      <c r="K161" s="465"/>
    </row>
    <row r="162" spans="2:11">
      <c r="C162" s="463" t="s">
        <v>2821</v>
      </c>
      <c r="G162" s="1239"/>
      <c r="H162" s="1318" t="s">
        <v>2531</v>
      </c>
      <c r="I162" s="961" t="s">
        <v>2864</v>
      </c>
      <c r="J162" s="1233"/>
    </row>
    <row r="163" spans="2:11">
      <c r="C163" s="463"/>
    </row>
    <row r="164" spans="2:11">
      <c r="C164" s="462"/>
    </row>
    <row r="165" spans="2:11">
      <c r="C165" s="467"/>
    </row>
  </sheetData>
  <protectedRanges>
    <protectedRange password="F1C4" sqref="D20:E23 E15:E19 D14:D15 D17:D18 I54 B7:C12 F20 I118 D25:F30 D24 B14:C14 B13 B17:C30 C16 B15" name="AAReport1_23_1_1_2"/>
    <protectedRange password="F1C4" sqref="D19" name="AAReport1_23_1_1_1_1_1"/>
    <protectedRange password="F1C4" sqref="F32:F33 J32:J35 F47" name="AAReport1_23_1_1_2_1"/>
    <protectedRange password="F1C4" sqref="E24" name="AAReport1_23_1_1_2_3"/>
  </protectedRanges>
  <phoneticPr fontId="23" type="noConversion"/>
  <conditionalFormatting sqref="B112 B126:B127 D126:D127 D103:D112">
    <cfRule type="expression" dxfId="22" priority="16" stopIfTrue="1">
      <formula>Formulas</formula>
    </cfRule>
  </conditionalFormatting>
  <conditionalFormatting sqref="D118">
    <cfRule type="expression" dxfId="21" priority="17" stopIfTrue="1">
      <formula>Formulas</formula>
    </cfRule>
  </conditionalFormatting>
  <conditionalFormatting sqref="C118 C112 C126:C127">
    <cfRule type="expression" dxfId="20" priority="15" stopIfTrue="1">
      <formula>#REF!&lt;&gt;""</formula>
    </cfRule>
  </conditionalFormatting>
  <conditionalFormatting sqref="C103:C111">
    <cfRule type="expression" dxfId="19" priority="5" stopIfTrue="1">
      <formula>#REF!&lt;&gt;""</formula>
    </cfRule>
  </conditionalFormatting>
  <conditionalFormatting sqref="D124">
    <cfRule type="expression" dxfId="18" priority="4" stopIfTrue="1">
      <formula>Formulas</formula>
    </cfRule>
  </conditionalFormatting>
  <conditionalFormatting sqref="C124">
    <cfRule type="expression" dxfId="17" priority="3" stopIfTrue="1">
      <formula>#REF!&lt;&gt;""</formula>
    </cfRule>
  </conditionalFormatting>
  <conditionalFormatting sqref="D125">
    <cfRule type="expression" dxfId="16" priority="2" stopIfTrue="1">
      <formula>Formulas</formula>
    </cfRule>
  </conditionalFormatting>
  <conditionalFormatting sqref="C125">
    <cfRule type="expression" dxfId="15" priority="1" stopIfTrue="1">
      <formula>#REF!&lt;&gt;""</formula>
    </cfRule>
  </conditionalFormatting>
  <pageMargins left="0.75" right="0.75" top="1" bottom="1" header="0.5" footer="0.5"/>
  <pageSetup scale="60" orientation="landscape" cellComments="asDisplayed" r:id="rId1"/>
  <headerFooter alignWithMargins="0">
    <oddHeader>&amp;CSchedule 9-ADIT-1
ADIT
&amp;RTO2022 Annual Update 
Attachment 1</oddHeader>
    <oddFooter>&amp;R&amp;A</oddFooter>
  </headerFooter>
  <rowBreaks count="4" manualBreakCount="4">
    <brk id="24" max="16383" man="1"/>
    <brk id="57" max="16383" man="1"/>
    <brk id="95" max="9" man="1"/>
    <brk id="137"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0745-916B-4E28-A134-3EC51E3C3EEA}">
  <dimension ref="A1:N64"/>
  <sheetViews>
    <sheetView zoomScaleNormal="100" zoomScalePageLayoutView="70" workbookViewId="0"/>
  </sheetViews>
  <sheetFormatPr defaultColWidth="14.54296875" defaultRowHeight="12.5"/>
  <cols>
    <col min="1" max="1" width="5.54296875" style="955" customWidth="1"/>
    <col min="2" max="2" width="34.54296875" style="955" customWidth="1"/>
    <col min="3" max="3" width="3.54296875" style="955" customWidth="1"/>
    <col min="4" max="7" width="13.54296875" style="955" customWidth="1"/>
    <col min="8" max="16384" width="14.54296875" style="955"/>
  </cols>
  <sheetData>
    <row r="1" spans="1:14" ht="14.5">
      <c r="A1" s="1317" t="s">
        <v>2646</v>
      </c>
      <c r="B1" s="1254"/>
      <c r="C1" s="1254"/>
      <c r="D1" s="1254"/>
      <c r="E1" s="1254"/>
      <c r="F1" s="1254"/>
      <c r="G1" s="1254"/>
      <c r="H1" s="1254"/>
      <c r="I1" s="1254"/>
      <c r="J1" s="1254"/>
      <c r="K1" s="1254"/>
      <c r="L1" s="1254"/>
      <c r="M1" s="1254"/>
      <c r="N1" s="1255"/>
    </row>
    <row r="2" spans="1:14" ht="13">
      <c r="A2" s="1256"/>
      <c r="B2" s="1253"/>
      <c r="C2" s="1253"/>
      <c r="D2" s="1256"/>
      <c r="E2" s="1256"/>
      <c r="F2" s="1256"/>
      <c r="G2" s="1256"/>
      <c r="H2" s="1256"/>
      <c r="I2" s="1256"/>
      <c r="J2" s="1256"/>
      <c r="L2" s="1257" t="s">
        <v>1713</v>
      </c>
      <c r="M2" s="1258">
        <v>2020</v>
      </c>
      <c r="N2" s="631"/>
    </row>
    <row r="3" spans="1:14">
      <c r="A3" s="1256"/>
      <c r="B3" s="1256"/>
      <c r="C3" s="1256"/>
      <c r="D3" s="1256"/>
      <c r="E3" s="1256"/>
      <c r="F3" s="1256"/>
      <c r="G3" s="1256"/>
      <c r="H3" s="1256"/>
      <c r="I3" s="1256"/>
      <c r="J3" s="1256"/>
      <c r="K3" s="1256"/>
      <c r="L3" s="1256"/>
      <c r="M3" s="1256"/>
      <c r="N3" s="631"/>
    </row>
    <row r="4" spans="1:14" ht="13">
      <c r="A4" s="1259"/>
      <c r="B4" s="1260" t="s">
        <v>2561</v>
      </c>
      <c r="C4" s="1260"/>
      <c r="D4" s="1260" t="s">
        <v>2562</v>
      </c>
      <c r="E4" s="1260" t="s">
        <v>2563</v>
      </c>
      <c r="F4" s="1260" t="s">
        <v>2564</v>
      </c>
      <c r="G4" s="1260" t="s">
        <v>2565</v>
      </c>
      <c r="H4" s="1260" t="s">
        <v>2566</v>
      </c>
      <c r="I4" s="1260" t="s">
        <v>2567</v>
      </c>
      <c r="J4" s="1260" t="s">
        <v>2568</v>
      </c>
      <c r="K4" s="1260" t="s">
        <v>2569</v>
      </c>
      <c r="L4" s="1260" t="s">
        <v>2570</v>
      </c>
      <c r="M4" s="1260" t="s">
        <v>2571</v>
      </c>
      <c r="N4" s="1261"/>
    </row>
    <row r="5" spans="1:14" ht="13.5" thickBot="1">
      <c r="A5" s="631"/>
      <c r="B5" s="1262"/>
      <c r="C5" s="1262"/>
      <c r="D5" s="1262"/>
      <c r="E5" s="1262"/>
      <c r="F5" s="1261"/>
      <c r="G5" s="1261"/>
      <c r="H5" s="1261"/>
      <c r="I5" s="1261"/>
      <c r="J5" s="1262"/>
      <c r="K5" s="1261"/>
      <c r="L5" s="1261"/>
      <c r="M5" s="1262"/>
      <c r="N5" s="1262"/>
    </row>
    <row r="6" spans="1:14" ht="13.5" thickBot="1">
      <c r="A6" s="631"/>
      <c r="B6" s="1262"/>
      <c r="C6" s="1259"/>
      <c r="D6" s="1263" t="s">
        <v>33</v>
      </c>
      <c r="E6" s="1263" t="s">
        <v>33</v>
      </c>
      <c r="F6" s="1263" t="s">
        <v>33</v>
      </c>
      <c r="G6" s="1263" t="s">
        <v>33</v>
      </c>
      <c r="H6" s="1263" t="s">
        <v>33</v>
      </c>
      <c r="I6" s="1263" t="s">
        <v>33</v>
      </c>
      <c r="J6" s="1264" t="s">
        <v>2572</v>
      </c>
      <c r="K6" s="1264" t="s">
        <v>2573</v>
      </c>
      <c r="L6" s="1264" t="s">
        <v>2574</v>
      </c>
      <c r="M6" s="1264" t="s">
        <v>2574</v>
      </c>
      <c r="N6" s="1262"/>
    </row>
    <row r="7" spans="1:14" ht="73" thickBot="1">
      <c r="A7" s="1265" t="s">
        <v>329</v>
      </c>
      <c r="B7" s="631" t="s">
        <v>2575</v>
      </c>
      <c r="C7" s="1266"/>
      <c r="D7" s="1267" t="s">
        <v>2576</v>
      </c>
      <c r="E7" s="1267" t="s">
        <v>2577</v>
      </c>
      <c r="F7" s="1268" t="s">
        <v>2578</v>
      </c>
      <c r="G7" s="1268" t="s">
        <v>2579</v>
      </c>
      <c r="H7" s="1269" t="s">
        <v>2580</v>
      </c>
      <c r="I7" s="1270" t="s">
        <v>2581</v>
      </c>
      <c r="J7" s="1270" t="s">
        <v>2582</v>
      </c>
      <c r="K7" s="1269" t="s">
        <v>2583</v>
      </c>
      <c r="L7" s="1270" t="s">
        <v>2584</v>
      </c>
      <c r="M7" s="1270" t="s">
        <v>2585</v>
      </c>
      <c r="N7" s="1271"/>
    </row>
    <row r="8" spans="1:14" ht="13">
      <c r="A8" s="1272">
        <v>1</v>
      </c>
      <c r="B8" s="1273" t="s">
        <v>2586</v>
      </c>
      <c r="C8" s="1274"/>
      <c r="D8" s="1256"/>
      <c r="E8" s="1256"/>
      <c r="F8" s="1256"/>
      <c r="G8" s="1256"/>
      <c r="H8" s="1256"/>
      <c r="I8" s="1256"/>
      <c r="J8" s="1256"/>
      <c r="K8" s="1256"/>
      <c r="L8" s="1256"/>
      <c r="M8" s="1256"/>
      <c r="N8" s="631"/>
    </row>
    <row r="9" spans="1:14" ht="13">
      <c r="A9" s="1272">
        <f t="shared" ref="A9:A45" si="0">+A8+1</f>
        <v>2</v>
      </c>
      <c r="B9" s="1275" t="s">
        <v>2587</v>
      </c>
      <c r="C9" s="1276"/>
      <c r="D9" s="1277">
        <v>0</v>
      </c>
      <c r="E9" s="1277">
        <v>-594282897</v>
      </c>
      <c r="F9" s="1277"/>
      <c r="G9" s="1277"/>
      <c r="H9" s="1277"/>
      <c r="I9" s="1277">
        <v>6077586</v>
      </c>
      <c r="J9" s="1319">
        <f>SUM(D9:I9)</f>
        <v>-588205311</v>
      </c>
      <c r="K9" s="1319">
        <f>'9-ADIT-3'!I12</f>
        <v>0</v>
      </c>
      <c r="L9" s="1319">
        <f>IF(+J9+K9&gt;0,+J9+K9,0)</f>
        <v>0</v>
      </c>
      <c r="M9" s="1319">
        <f>IF(+J9+K9&gt;0,0,+J9+K9)</f>
        <v>-588205311</v>
      </c>
      <c r="N9" s="631"/>
    </row>
    <row r="10" spans="1:14" ht="13">
      <c r="A10" s="1272">
        <f t="shared" si="0"/>
        <v>3</v>
      </c>
      <c r="B10" s="1275" t="s">
        <v>2588</v>
      </c>
      <c r="C10" s="1276"/>
      <c r="D10" s="1277">
        <v>7117930</v>
      </c>
      <c r="E10" s="1277">
        <v>0</v>
      </c>
      <c r="F10" s="1277"/>
      <c r="G10" s="1277"/>
      <c r="H10" s="1277">
        <v>-677694</v>
      </c>
      <c r="I10" s="1277"/>
      <c r="J10" s="1319">
        <f t="shared" ref="J10:J13" si="1">SUM(D10:I10)</f>
        <v>6440236</v>
      </c>
      <c r="K10" s="1319">
        <f>'9-ADIT-3'!I13</f>
        <v>0</v>
      </c>
      <c r="L10" s="1319">
        <f t="shared" ref="L10:L12" si="2">IF(+J10+K10&gt;0,+J10+K10,0)</f>
        <v>6440236</v>
      </c>
      <c r="M10" s="1319">
        <f t="shared" ref="M10:M12" si="3">IF(+J10+K10&gt;0,0,+J10+K10)</f>
        <v>0</v>
      </c>
      <c r="N10" s="631"/>
    </row>
    <row r="11" spans="1:14" ht="13">
      <c r="A11" s="1272">
        <f t="shared" si="0"/>
        <v>4</v>
      </c>
      <c r="B11" s="1275" t="s">
        <v>2589</v>
      </c>
      <c r="C11" s="1276"/>
      <c r="D11" s="1277">
        <v>4041380</v>
      </c>
      <c r="E11" s="1277">
        <v>0</v>
      </c>
      <c r="F11" s="1277"/>
      <c r="G11" s="1277"/>
      <c r="H11" s="1277">
        <v>-898084</v>
      </c>
      <c r="I11" s="1277"/>
      <c r="J11" s="1319">
        <f t="shared" si="1"/>
        <v>3143296</v>
      </c>
      <c r="K11" s="1319">
        <f>'9-ADIT-3'!I14</f>
        <v>0</v>
      </c>
      <c r="L11" s="1319">
        <f t="shared" si="2"/>
        <v>3143296</v>
      </c>
      <c r="M11" s="1319">
        <f t="shared" si="3"/>
        <v>0</v>
      </c>
      <c r="N11" s="631"/>
    </row>
    <row r="12" spans="1:14" ht="13">
      <c r="A12" s="1272">
        <f t="shared" si="0"/>
        <v>5</v>
      </c>
      <c r="B12" s="1275" t="s">
        <v>2590</v>
      </c>
      <c r="C12" s="1276"/>
      <c r="D12" s="1277">
        <v>20691551</v>
      </c>
      <c r="E12" s="1277">
        <v>0</v>
      </c>
      <c r="F12" s="1277"/>
      <c r="G12" s="1277"/>
      <c r="H12" s="1277">
        <v>-16180</v>
      </c>
      <c r="I12" s="1277"/>
      <c r="J12" s="1319">
        <f t="shared" si="1"/>
        <v>20675371</v>
      </c>
      <c r="K12" s="1319">
        <f>'9-ADIT-3'!I15</f>
        <v>0</v>
      </c>
      <c r="L12" s="1319">
        <f t="shared" si="2"/>
        <v>20675371</v>
      </c>
      <c r="M12" s="1319">
        <f t="shared" si="3"/>
        <v>0</v>
      </c>
      <c r="N12" s="631"/>
    </row>
    <row r="13" spans="1:14" ht="13">
      <c r="A13" s="1272">
        <f t="shared" si="0"/>
        <v>6</v>
      </c>
      <c r="B13" s="1278" t="s">
        <v>504</v>
      </c>
      <c r="C13" s="1279"/>
      <c r="D13" s="1277"/>
      <c r="E13" s="1277"/>
      <c r="F13" s="1277"/>
      <c r="G13" s="1277"/>
      <c r="H13" s="1277"/>
      <c r="I13" s="1277"/>
      <c r="J13" s="1319">
        <f t="shared" si="1"/>
        <v>0</v>
      </c>
      <c r="K13" s="1319"/>
      <c r="L13" s="1319"/>
      <c r="M13" s="1319"/>
      <c r="N13" s="631"/>
    </row>
    <row r="14" spans="1:14" ht="13">
      <c r="A14" s="1280" t="s">
        <v>2591</v>
      </c>
      <c r="B14" s="1281" t="s">
        <v>2592</v>
      </c>
      <c r="C14" s="1282"/>
      <c r="D14" s="1320">
        <f t="shared" ref="D14:M14" si="4">SUM(D9:D13)</f>
        <v>31850861</v>
      </c>
      <c r="E14" s="1320">
        <f t="shared" si="4"/>
        <v>-594282897</v>
      </c>
      <c r="F14" s="1320">
        <f t="shared" si="4"/>
        <v>0</v>
      </c>
      <c r="G14" s="1320">
        <f t="shared" si="4"/>
        <v>0</v>
      </c>
      <c r="H14" s="1320">
        <f t="shared" si="4"/>
        <v>-1591958</v>
      </c>
      <c r="I14" s="1320">
        <f t="shared" si="4"/>
        <v>6077586</v>
      </c>
      <c r="J14" s="1320">
        <f t="shared" si="4"/>
        <v>-557946408</v>
      </c>
      <c r="K14" s="1320">
        <f t="shared" si="4"/>
        <v>0</v>
      </c>
      <c r="L14" s="1320">
        <f t="shared" si="4"/>
        <v>30258903</v>
      </c>
      <c r="M14" s="1320">
        <f t="shared" si="4"/>
        <v>-588205311</v>
      </c>
      <c r="N14" s="631"/>
    </row>
    <row r="15" spans="1:14" ht="13">
      <c r="A15" s="1272"/>
      <c r="B15" s="1275"/>
      <c r="C15" s="1282"/>
      <c r="D15" s="1275"/>
      <c r="E15" s="1275"/>
      <c r="F15" s="1275"/>
      <c r="G15" s="1275"/>
      <c r="H15" s="1275"/>
      <c r="I15" s="1275"/>
      <c r="J15" s="1275"/>
      <c r="K15" s="1275"/>
      <c r="L15" s="1275"/>
      <c r="M15" s="1275"/>
      <c r="N15" s="631"/>
    </row>
    <row r="16" spans="1:14" ht="13">
      <c r="A16" s="1272">
        <v>100</v>
      </c>
      <c r="B16" s="1283" t="s">
        <v>2593</v>
      </c>
      <c r="C16" s="1284"/>
      <c r="D16" s="1275"/>
      <c r="E16" s="1275"/>
      <c r="F16" s="1275"/>
      <c r="G16" s="1275"/>
      <c r="H16" s="1275"/>
      <c r="I16" s="1275"/>
      <c r="J16" s="1275"/>
      <c r="K16" s="1275"/>
      <c r="L16" s="1275"/>
      <c r="M16" s="1275"/>
      <c r="N16" s="631"/>
    </row>
    <row r="17" spans="1:14" ht="13">
      <c r="A17" s="1272">
        <f t="shared" si="0"/>
        <v>101</v>
      </c>
      <c r="B17" s="1275" t="s">
        <v>2594</v>
      </c>
      <c r="C17" s="1276"/>
      <c r="D17" s="1277">
        <v>0</v>
      </c>
      <c r="E17" s="1277">
        <v>-14422252</v>
      </c>
      <c r="F17" s="1277"/>
      <c r="G17" s="1277"/>
      <c r="H17" s="1277"/>
      <c r="I17" s="1277">
        <v>7211126</v>
      </c>
      <c r="J17" s="1319">
        <f t="shared" ref="J17:J23" si="5">SUM(D17:I17)</f>
        <v>-7211126</v>
      </c>
      <c r="K17" s="1319">
        <f>'9-ADIT-3'!I20</f>
        <v>0</v>
      </c>
      <c r="L17" s="1319">
        <f t="shared" ref="L17:L22" si="6">IF(+J17+K17&gt;0,+J17+K17,0)</f>
        <v>0</v>
      </c>
      <c r="M17" s="1319">
        <f t="shared" ref="M17:M22" si="7">IF(+J17+K17&gt;0,0,+J17+K17)</f>
        <v>-7211126</v>
      </c>
      <c r="N17" s="631"/>
    </row>
    <row r="18" spans="1:14" ht="13">
      <c r="A18" s="1272">
        <f t="shared" si="0"/>
        <v>102</v>
      </c>
      <c r="B18" s="1275" t="s">
        <v>2595</v>
      </c>
      <c r="C18" s="1276"/>
      <c r="D18" s="1277">
        <v>0</v>
      </c>
      <c r="E18" s="1277">
        <v>-2443613</v>
      </c>
      <c r="F18" s="1277"/>
      <c r="G18" s="1277"/>
      <c r="H18" s="1277"/>
      <c r="I18" s="1277">
        <v>1221806</v>
      </c>
      <c r="J18" s="1319">
        <f t="shared" si="5"/>
        <v>-1221807</v>
      </c>
      <c r="K18" s="1319">
        <f>'9-ADIT-3'!I21</f>
        <v>0</v>
      </c>
      <c r="L18" s="1319">
        <f t="shared" si="6"/>
        <v>0</v>
      </c>
      <c r="M18" s="1319">
        <f t="shared" si="7"/>
        <v>-1221807</v>
      </c>
      <c r="N18" s="631"/>
    </row>
    <row r="19" spans="1:14" ht="13">
      <c r="A19" s="1272">
        <f t="shared" si="0"/>
        <v>103</v>
      </c>
      <c r="B19" s="1275" t="s">
        <v>2596</v>
      </c>
      <c r="C19" s="1276"/>
      <c r="D19" s="1277">
        <v>0</v>
      </c>
      <c r="E19" s="1277">
        <v>-20371308</v>
      </c>
      <c r="F19" s="1277"/>
      <c r="G19" s="1277"/>
      <c r="H19" s="1277"/>
      <c r="I19" s="1277">
        <v>10185654</v>
      </c>
      <c r="J19" s="1319">
        <f t="shared" si="5"/>
        <v>-10185654</v>
      </c>
      <c r="K19" s="1319">
        <f>'9-ADIT-3'!I22</f>
        <v>0</v>
      </c>
      <c r="L19" s="1319">
        <f t="shared" si="6"/>
        <v>0</v>
      </c>
      <c r="M19" s="1319">
        <f t="shared" si="7"/>
        <v>-10185654</v>
      </c>
      <c r="N19" s="631"/>
    </row>
    <row r="20" spans="1:14" ht="13">
      <c r="A20" s="1272">
        <f t="shared" si="0"/>
        <v>104</v>
      </c>
      <c r="B20" s="1275" t="s">
        <v>2597</v>
      </c>
      <c r="C20" s="1276"/>
      <c r="D20" s="1277">
        <v>0</v>
      </c>
      <c r="E20" s="1277">
        <v>-1207029</v>
      </c>
      <c r="F20" s="1277"/>
      <c r="G20" s="1277"/>
      <c r="H20" s="1277"/>
      <c r="I20" s="1277">
        <v>603515</v>
      </c>
      <c r="J20" s="1319">
        <f t="shared" si="5"/>
        <v>-603514</v>
      </c>
      <c r="K20" s="1319">
        <f>'9-ADIT-3'!I23</f>
        <v>0</v>
      </c>
      <c r="L20" s="1319">
        <f t="shared" si="6"/>
        <v>0</v>
      </c>
      <c r="M20" s="1319">
        <f t="shared" si="7"/>
        <v>-603514</v>
      </c>
      <c r="N20" s="631"/>
    </row>
    <row r="21" spans="1:14" ht="13">
      <c r="A21" s="1272">
        <f t="shared" si="0"/>
        <v>105</v>
      </c>
      <c r="B21" s="1275" t="s">
        <v>2598</v>
      </c>
      <c r="C21" s="1276"/>
      <c r="D21" s="1277">
        <v>0</v>
      </c>
      <c r="E21" s="1277">
        <v>-4442785</v>
      </c>
      <c r="F21" s="1277"/>
      <c r="G21" s="1277"/>
      <c r="H21" s="1277"/>
      <c r="I21" s="1277">
        <v>2221391</v>
      </c>
      <c r="J21" s="1319">
        <f t="shared" si="5"/>
        <v>-2221394</v>
      </c>
      <c r="K21" s="1319">
        <f>'9-ADIT-3'!I24</f>
        <v>0</v>
      </c>
      <c r="L21" s="1319">
        <f t="shared" si="6"/>
        <v>0</v>
      </c>
      <c r="M21" s="1319">
        <f t="shared" si="7"/>
        <v>-2221394</v>
      </c>
      <c r="N21" s="631"/>
    </row>
    <row r="22" spans="1:14" ht="13">
      <c r="A22" s="1272">
        <f t="shared" si="0"/>
        <v>106</v>
      </c>
      <c r="B22" s="1275" t="s">
        <v>2599</v>
      </c>
      <c r="C22" s="1276"/>
      <c r="D22" s="1277">
        <v>13683650</v>
      </c>
      <c r="E22" s="1277" t="s">
        <v>2863</v>
      </c>
      <c r="F22" s="1277"/>
      <c r="G22" s="1277"/>
      <c r="H22" s="1277">
        <v>-6841827</v>
      </c>
      <c r="I22" s="1277"/>
      <c r="J22" s="1319">
        <f t="shared" si="5"/>
        <v>6841823</v>
      </c>
      <c r="K22" s="1319">
        <f>'9-ADIT-3'!I25</f>
        <v>0</v>
      </c>
      <c r="L22" s="1319">
        <f t="shared" si="6"/>
        <v>6841823</v>
      </c>
      <c r="M22" s="1319">
        <f t="shared" si="7"/>
        <v>0</v>
      </c>
      <c r="N22" s="631"/>
    </row>
    <row r="23" spans="1:14" ht="13">
      <c r="A23" s="1272">
        <f t="shared" si="0"/>
        <v>107</v>
      </c>
      <c r="B23" s="1278" t="s">
        <v>504</v>
      </c>
      <c r="C23" s="1279"/>
      <c r="D23" s="1277"/>
      <c r="E23" s="1277"/>
      <c r="F23" s="1277"/>
      <c r="G23" s="1277"/>
      <c r="H23" s="1277"/>
      <c r="I23" s="1277"/>
      <c r="J23" s="1319">
        <f t="shared" si="5"/>
        <v>0</v>
      </c>
      <c r="K23" s="1319"/>
      <c r="L23" s="1319"/>
      <c r="M23" s="1319"/>
      <c r="N23" s="631"/>
    </row>
    <row r="24" spans="1:14" ht="13">
      <c r="A24" s="1280" t="s">
        <v>2600</v>
      </c>
      <c r="B24" s="1281" t="s">
        <v>2601</v>
      </c>
      <c r="C24" s="1282"/>
      <c r="D24" s="1321">
        <f t="shared" ref="D24:M24" si="8">SUM(D17:D23)</f>
        <v>13683650</v>
      </c>
      <c r="E24" s="1321">
        <f t="shared" si="8"/>
        <v>-42886987</v>
      </c>
      <c r="F24" s="1321">
        <f t="shared" si="8"/>
        <v>0</v>
      </c>
      <c r="G24" s="1321">
        <f t="shared" si="8"/>
        <v>0</v>
      </c>
      <c r="H24" s="1321">
        <f t="shared" si="8"/>
        <v>-6841827</v>
      </c>
      <c r="I24" s="1321">
        <f t="shared" si="8"/>
        <v>21443492</v>
      </c>
      <c r="J24" s="1321">
        <f t="shared" si="8"/>
        <v>-14601672</v>
      </c>
      <c r="K24" s="1321">
        <f t="shared" si="8"/>
        <v>0</v>
      </c>
      <c r="L24" s="1321">
        <f t="shared" si="8"/>
        <v>6841823</v>
      </c>
      <c r="M24" s="1321">
        <f t="shared" si="8"/>
        <v>-21443495</v>
      </c>
      <c r="N24" s="631"/>
    </row>
    <row r="25" spans="1:14" ht="13">
      <c r="A25" s="1272"/>
      <c r="B25" s="1275"/>
      <c r="C25" s="1282"/>
      <c r="D25" s="227"/>
      <c r="E25" s="227"/>
      <c r="F25" s="227"/>
      <c r="G25" s="227"/>
      <c r="H25" s="227"/>
      <c r="I25" s="227"/>
      <c r="J25" s="227"/>
      <c r="K25" s="227"/>
      <c r="L25" s="227"/>
      <c r="M25" s="1285"/>
      <c r="N25" s="631"/>
    </row>
    <row r="26" spans="1:14" ht="13">
      <c r="A26" s="1280" t="s">
        <v>2602</v>
      </c>
      <c r="B26" s="1286" t="s">
        <v>2603</v>
      </c>
      <c r="C26" s="1276"/>
      <c r="D26" s="1287">
        <v>56284888</v>
      </c>
      <c r="E26" s="1287"/>
      <c r="F26" s="1287"/>
      <c r="G26" s="1287"/>
      <c r="H26" s="1287"/>
      <c r="I26" s="1287"/>
      <c r="J26" s="1322">
        <f>SUM(D26:I26)</f>
        <v>56284888</v>
      </c>
      <c r="K26" s="1322">
        <f>'9-ADIT-3'!I29</f>
        <v>0</v>
      </c>
      <c r="L26" s="1322">
        <f>IF(+J26+K26&gt;0,+J26+K26,0)</f>
        <v>56284888</v>
      </c>
      <c r="M26" s="1322">
        <f>IF(+J26+K26&gt;0,0,+J26+K26)</f>
        <v>0</v>
      </c>
      <c r="N26" s="631"/>
    </row>
    <row r="27" spans="1:14" ht="13">
      <c r="A27" s="1272"/>
      <c r="B27" s="1275"/>
      <c r="C27" s="1282"/>
      <c r="D27" s="227"/>
      <c r="E27" s="227"/>
      <c r="F27" s="227"/>
      <c r="G27" s="227"/>
      <c r="H27" s="227"/>
      <c r="I27" s="227"/>
      <c r="J27" s="227"/>
      <c r="K27" s="227"/>
      <c r="L27" s="227"/>
      <c r="M27" s="227"/>
      <c r="N27" s="631"/>
    </row>
    <row r="28" spans="1:14" ht="13.5" thickBot="1">
      <c r="A28" s="1280" t="s">
        <v>2604</v>
      </c>
      <c r="B28" s="1288" t="s">
        <v>2605</v>
      </c>
      <c r="C28" s="1289"/>
      <c r="D28" s="1323">
        <f t="shared" ref="D28:M28" si="9">+D26+D24+D14</f>
        <v>101819399</v>
      </c>
      <c r="E28" s="1323">
        <f t="shared" si="9"/>
        <v>-637169884</v>
      </c>
      <c r="F28" s="1323">
        <f t="shared" si="9"/>
        <v>0</v>
      </c>
      <c r="G28" s="1323">
        <f t="shared" si="9"/>
        <v>0</v>
      </c>
      <c r="H28" s="1323">
        <f t="shared" si="9"/>
        <v>-8433785</v>
      </c>
      <c r="I28" s="1323">
        <f t="shared" si="9"/>
        <v>27521078</v>
      </c>
      <c r="J28" s="1323">
        <f t="shared" si="9"/>
        <v>-516263192</v>
      </c>
      <c r="K28" s="1323">
        <f t="shared" si="9"/>
        <v>0</v>
      </c>
      <c r="L28" s="1323">
        <f t="shared" si="9"/>
        <v>93385614</v>
      </c>
      <c r="M28" s="1323">
        <f t="shared" si="9"/>
        <v>-609648806</v>
      </c>
      <c r="N28" s="631"/>
    </row>
    <row r="29" spans="1:14" ht="13.5" thickTop="1">
      <c r="A29" s="1272"/>
      <c r="B29" s="1290"/>
      <c r="C29" s="1291"/>
      <c r="D29" s="1275"/>
      <c r="E29" s="1275"/>
      <c r="F29" s="1275"/>
      <c r="G29" s="1275"/>
      <c r="H29" s="1275"/>
      <c r="I29" s="1275"/>
      <c r="J29" s="1275"/>
      <c r="K29" s="1275"/>
      <c r="L29" s="1275"/>
      <c r="M29" s="1275"/>
      <c r="N29" s="631"/>
    </row>
    <row r="30" spans="1:14" ht="13">
      <c r="A30" s="1280" t="s">
        <v>2606</v>
      </c>
      <c r="B30" s="1283" t="s">
        <v>2607</v>
      </c>
      <c r="C30" s="1284"/>
      <c r="D30" s="1275"/>
      <c r="E30" s="1275"/>
      <c r="F30" s="1275"/>
      <c r="G30" s="1275"/>
      <c r="H30" s="1275"/>
      <c r="I30" s="1275"/>
      <c r="J30" s="1275"/>
      <c r="K30" s="1275"/>
      <c r="L30" s="1275"/>
      <c r="M30" s="1275"/>
      <c r="N30" s="631"/>
    </row>
    <row r="31" spans="1:14" ht="13">
      <c r="A31" s="1272">
        <f t="shared" si="0"/>
        <v>301</v>
      </c>
      <c r="B31" s="1275" t="s">
        <v>2548</v>
      </c>
      <c r="C31" s="1276"/>
      <c r="D31" s="1277"/>
      <c r="E31" s="1277"/>
      <c r="F31" s="1277"/>
      <c r="G31" s="1277"/>
      <c r="H31" s="1277"/>
      <c r="I31" s="1277"/>
      <c r="J31" s="1319">
        <f t="shared" ref="J31:J45" si="10">SUM(D31:I31)</f>
        <v>0</v>
      </c>
      <c r="K31" s="1319">
        <f>'9-ADIT-3'!I34</f>
        <v>0</v>
      </c>
      <c r="L31" s="1319">
        <f t="shared" ref="L31:L44" si="11">IF(+J31+K31&gt;0,+J31+K31,0)</f>
        <v>0</v>
      </c>
      <c r="M31" s="1319">
        <f t="shared" ref="M31:M44" si="12">IF(+J31+K31&gt;0,0,+J31+K31)</f>
        <v>0</v>
      </c>
      <c r="N31" s="631"/>
    </row>
    <row r="32" spans="1:14" ht="13">
      <c r="A32" s="1272">
        <f t="shared" si="0"/>
        <v>302</v>
      </c>
      <c r="B32" s="1275" t="s">
        <v>2549</v>
      </c>
      <c r="C32" s="1276"/>
      <c r="D32" s="1277"/>
      <c r="E32" s="1277"/>
      <c r="F32" s="1277"/>
      <c r="G32" s="1277"/>
      <c r="H32" s="1277"/>
      <c r="I32" s="1277"/>
      <c r="J32" s="1319">
        <f t="shared" si="10"/>
        <v>0</v>
      </c>
      <c r="K32" s="1319">
        <f>'9-ADIT-3'!I35</f>
        <v>0</v>
      </c>
      <c r="L32" s="1319">
        <f t="shared" si="11"/>
        <v>0</v>
      </c>
      <c r="M32" s="1319">
        <f t="shared" si="12"/>
        <v>0</v>
      </c>
      <c r="N32" s="631"/>
    </row>
    <row r="33" spans="1:14" ht="13">
      <c r="A33" s="1272">
        <f t="shared" si="0"/>
        <v>303</v>
      </c>
      <c r="B33" s="1275" t="s">
        <v>2550</v>
      </c>
      <c r="C33" s="1276"/>
      <c r="D33" s="1277"/>
      <c r="E33" s="1277"/>
      <c r="F33" s="1277"/>
      <c r="G33" s="1277"/>
      <c r="H33" s="1277"/>
      <c r="I33" s="1277"/>
      <c r="J33" s="1319">
        <f t="shared" si="10"/>
        <v>0</v>
      </c>
      <c r="K33" s="1319">
        <f>'9-ADIT-3'!I36</f>
        <v>0</v>
      </c>
      <c r="L33" s="1319">
        <f t="shared" si="11"/>
        <v>0</v>
      </c>
      <c r="M33" s="1319">
        <f t="shared" si="12"/>
        <v>0</v>
      </c>
      <c r="N33" s="631"/>
    </row>
    <row r="34" spans="1:14" ht="13">
      <c r="A34" s="1272">
        <f t="shared" si="0"/>
        <v>304</v>
      </c>
      <c r="B34" s="1275" t="s">
        <v>2608</v>
      </c>
      <c r="C34" s="1276"/>
      <c r="D34" s="1277"/>
      <c r="E34" s="1277"/>
      <c r="F34" s="1277"/>
      <c r="G34" s="1277"/>
      <c r="H34" s="1277"/>
      <c r="I34" s="1277"/>
      <c r="J34" s="1319">
        <f t="shared" si="10"/>
        <v>0</v>
      </c>
      <c r="K34" s="1319">
        <f>'9-ADIT-3'!I37</f>
        <v>0</v>
      </c>
      <c r="L34" s="1319">
        <f t="shared" si="11"/>
        <v>0</v>
      </c>
      <c r="M34" s="1319">
        <f t="shared" si="12"/>
        <v>0</v>
      </c>
      <c r="N34" s="631"/>
    </row>
    <row r="35" spans="1:14" ht="13">
      <c r="A35" s="1272">
        <f t="shared" si="0"/>
        <v>305</v>
      </c>
      <c r="B35" s="1275" t="s">
        <v>2609</v>
      </c>
      <c r="C35" s="1276"/>
      <c r="D35" s="1277"/>
      <c r="E35" s="1277"/>
      <c r="F35" s="1277"/>
      <c r="G35" s="1277"/>
      <c r="H35" s="1277"/>
      <c r="I35" s="1277"/>
      <c r="J35" s="1319">
        <f t="shared" si="10"/>
        <v>0</v>
      </c>
      <c r="K35" s="1319">
        <f>'9-ADIT-3'!I38</f>
        <v>0</v>
      </c>
      <c r="L35" s="1319">
        <f t="shared" si="11"/>
        <v>0</v>
      </c>
      <c r="M35" s="1319">
        <f t="shared" si="12"/>
        <v>0</v>
      </c>
      <c r="N35" s="631"/>
    </row>
    <row r="36" spans="1:14" ht="13">
      <c r="A36" s="1272">
        <f t="shared" si="0"/>
        <v>306</v>
      </c>
      <c r="B36" s="1275" t="s">
        <v>2551</v>
      </c>
      <c r="C36" s="1276"/>
      <c r="D36" s="1277"/>
      <c r="E36" s="1277"/>
      <c r="F36" s="1277"/>
      <c r="G36" s="1277"/>
      <c r="H36" s="1277"/>
      <c r="I36" s="1277"/>
      <c r="J36" s="1319">
        <f t="shared" si="10"/>
        <v>0</v>
      </c>
      <c r="K36" s="1319">
        <f>'9-ADIT-3'!I39</f>
        <v>0</v>
      </c>
      <c r="L36" s="1319">
        <f t="shared" si="11"/>
        <v>0</v>
      </c>
      <c r="M36" s="1319">
        <f t="shared" si="12"/>
        <v>0</v>
      </c>
      <c r="N36" s="631"/>
    </row>
    <row r="37" spans="1:14" ht="13">
      <c r="A37" s="1272">
        <f t="shared" si="0"/>
        <v>307</v>
      </c>
      <c r="B37" s="1275" t="s">
        <v>2552</v>
      </c>
      <c r="C37" s="1276"/>
      <c r="D37" s="1277"/>
      <c r="E37" s="1277"/>
      <c r="F37" s="1277"/>
      <c r="G37" s="1277"/>
      <c r="H37" s="1277"/>
      <c r="I37" s="1277"/>
      <c r="J37" s="1319">
        <f t="shared" si="10"/>
        <v>0</v>
      </c>
      <c r="K37" s="1319">
        <f>'9-ADIT-3'!I40</f>
        <v>0</v>
      </c>
      <c r="L37" s="1319">
        <f t="shared" si="11"/>
        <v>0</v>
      </c>
      <c r="M37" s="1319">
        <f t="shared" si="12"/>
        <v>0</v>
      </c>
      <c r="N37" s="631"/>
    </row>
    <row r="38" spans="1:14" ht="13">
      <c r="A38" s="1272">
        <f t="shared" si="0"/>
        <v>308</v>
      </c>
      <c r="B38" s="1275" t="s">
        <v>2610</v>
      </c>
      <c r="C38" s="1276"/>
      <c r="D38" s="1277"/>
      <c r="E38" s="1277"/>
      <c r="F38" s="1277"/>
      <c r="G38" s="1277"/>
      <c r="H38" s="1277"/>
      <c r="I38" s="1277"/>
      <c r="J38" s="1319">
        <f t="shared" si="10"/>
        <v>0</v>
      </c>
      <c r="K38" s="1319">
        <f>'9-ADIT-3'!I41</f>
        <v>0</v>
      </c>
      <c r="L38" s="1319">
        <f t="shared" si="11"/>
        <v>0</v>
      </c>
      <c r="M38" s="1319">
        <f t="shared" si="12"/>
        <v>0</v>
      </c>
      <c r="N38" s="631"/>
    </row>
    <row r="39" spans="1:14" ht="13">
      <c r="A39" s="1272">
        <f t="shared" si="0"/>
        <v>309</v>
      </c>
      <c r="B39" s="1275" t="s">
        <v>2555</v>
      </c>
      <c r="C39" s="1276"/>
      <c r="D39" s="1277"/>
      <c r="E39" s="1277"/>
      <c r="F39" s="1277"/>
      <c r="G39" s="1277"/>
      <c r="H39" s="1277"/>
      <c r="I39" s="1277"/>
      <c r="J39" s="1319">
        <f t="shared" si="10"/>
        <v>0</v>
      </c>
      <c r="K39" s="1319">
        <f>'9-ADIT-3'!I42</f>
        <v>0</v>
      </c>
      <c r="L39" s="1319">
        <f t="shared" si="11"/>
        <v>0</v>
      </c>
      <c r="M39" s="1319">
        <f t="shared" si="12"/>
        <v>0</v>
      </c>
      <c r="N39" s="631"/>
    </row>
    <row r="40" spans="1:14" ht="13">
      <c r="A40" s="1272">
        <f t="shared" si="0"/>
        <v>310</v>
      </c>
      <c r="B40" s="1275" t="s">
        <v>2553</v>
      </c>
      <c r="C40" s="1276"/>
      <c r="D40" s="1277"/>
      <c r="E40" s="1277"/>
      <c r="F40" s="1277"/>
      <c r="G40" s="1277"/>
      <c r="H40" s="1277"/>
      <c r="I40" s="1277"/>
      <c r="J40" s="1319">
        <f t="shared" si="10"/>
        <v>0</v>
      </c>
      <c r="K40" s="1319">
        <f>'9-ADIT-3'!I43</f>
        <v>0</v>
      </c>
      <c r="L40" s="1319">
        <f t="shared" si="11"/>
        <v>0</v>
      </c>
      <c r="M40" s="1319">
        <f t="shared" si="12"/>
        <v>0</v>
      </c>
      <c r="N40" s="631"/>
    </row>
    <row r="41" spans="1:14" ht="13">
      <c r="A41" s="1272">
        <f t="shared" si="0"/>
        <v>311</v>
      </c>
      <c r="B41" s="1275" t="s">
        <v>2554</v>
      </c>
      <c r="C41" s="1276"/>
      <c r="D41" s="1277"/>
      <c r="E41" s="1277"/>
      <c r="F41" s="1277"/>
      <c r="G41" s="1277"/>
      <c r="H41" s="1277"/>
      <c r="I41" s="1277"/>
      <c r="J41" s="1319">
        <f t="shared" si="10"/>
        <v>0</v>
      </c>
      <c r="K41" s="1319">
        <f>'9-ADIT-3'!I44</f>
        <v>0</v>
      </c>
      <c r="L41" s="1319">
        <f t="shared" si="11"/>
        <v>0</v>
      </c>
      <c r="M41" s="1319">
        <f t="shared" si="12"/>
        <v>0</v>
      </c>
      <c r="N41" s="631"/>
    </row>
    <row r="42" spans="1:14" ht="13">
      <c r="A42" s="1272">
        <f t="shared" si="0"/>
        <v>312</v>
      </c>
      <c r="B42" s="1275" t="s">
        <v>2611</v>
      </c>
      <c r="C42" s="1276"/>
      <c r="D42" s="1277"/>
      <c r="E42" s="1277"/>
      <c r="F42" s="1277"/>
      <c r="G42" s="1277"/>
      <c r="H42" s="1277"/>
      <c r="I42" s="1277"/>
      <c r="J42" s="1319">
        <f t="shared" si="10"/>
        <v>0</v>
      </c>
      <c r="K42" s="1319">
        <f>'9-ADIT-3'!I45</f>
        <v>0</v>
      </c>
      <c r="L42" s="1319">
        <f t="shared" si="11"/>
        <v>0</v>
      </c>
      <c r="M42" s="1319">
        <f t="shared" si="12"/>
        <v>0</v>
      </c>
      <c r="N42" s="631"/>
    </row>
    <row r="43" spans="1:14" ht="13">
      <c r="A43" s="1272">
        <f t="shared" si="0"/>
        <v>313</v>
      </c>
      <c r="B43" s="1275" t="s">
        <v>2556</v>
      </c>
      <c r="C43" s="1276"/>
      <c r="D43" s="1277"/>
      <c r="E43" s="1277"/>
      <c r="F43" s="1277"/>
      <c r="G43" s="1277"/>
      <c r="H43" s="1277"/>
      <c r="I43" s="1277"/>
      <c r="J43" s="1319">
        <f t="shared" si="10"/>
        <v>0</v>
      </c>
      <c r="K43" s="1319">
        <f>'9-ADIT-3'!I46</f>
        <v>0</v>
      </c>
      <c r="L43" s="1319">
        <f t="shared" si="11"/>
        <v>0</v>
      </c>
      <c r="M43" s="1319">
        <f t="shared" si="12"/>
        <v>0</v>
      </c>
      <c r="N43" s="631"/>
    </row>
    <row r="44" spans="1:14" ht="13">
      <c r="A44" s="1272">
        <f t="shared" si="0"/>
        <v>314</v>
      </c>
      <c r="B44" s="1275" t="s">
        <v>2557</v>
      </c>
      <c r="C44" s="1276"/>
      <c r="D44" s="1277"/>
      <c r="E44" s="1277"/>
      <c r="F44" s="1277"/>
      <c r="G44" s="1277"/>
      <c r="H44" s="1277"/>
      <c r="I44" s="1277"/>
      <c r="J44" s="1319">
        <f t="shared" si="10"/>
        <v>0</v>
      </c>
      <c r="K44" s="1319">
        <f>'9-ADIT-3'!I47</f>
        <v>0</v>
      </c>
      <c r="L44" s="1319">
        <f t="shared" si="11"/>
        <v>0</v>
      </c>
      <c r="M44" s="1319">
        <f t="shared" si="12"/>
        <v>0</v>
      </c>
      <c r="N44" s="631"/>
    </row>
    <row r="45" spans="1:14" ht="13">
      <c r="A45" s="1272">
        <f t="shared" si="0"/>
        <v>315</v>
      </c>
      <c r="B45" s="1278" t="s">
        <v>504</v>
      </c>
      <c r="C45" s="1277"/>
      <c r="D45" s="1277"/>
      <c r="E45" s="1277"/>
      <c r="F45" s="1277"/>
      <c r="G45" s="1277"/>
      <c r="H45" s="1277"/>
      <c r="I45" s="1277"/>
      <c r="J45" s="1319">
        <f t="shared" si="10"/>
        <v>0</v>
      </c>
      <c r="K45" s="1324"/>
      <c r="L45" s="1324"/>
      <c r="M45" s="1324"/>
      <c r="N45" s="631"/>
    </row>
    <row r="46" spans="1:14" ht="13.5" thickBot="1">
      <c r="A46" s="1280" t="s">
        <v>2612</v>
      </c>
      <c r="B46" s="1292" t="s">
        <v>2613</v>
      </c>
      <c r="C46" s="1292"/>
      <c r="D46" s="1325">
        <f t="shared" ref="D46" si="13">SUM(D31:D45)</f>
        <v>0</v>
      </c>
      <c r="E46" s="1325">
        <f t="shared" ref="E46:M46" si="14">SUM(E31:E45)</f>
        <v>0</v>
      </c>
      <c r="F46" s="1325">
        <f t="shared" si="14"/>
        <v>0</v>
      </c>
      <c r="G46" s="1325">
        <f t="shared" si="14"/>
        <v>0</v>
      </c>
      <c r="H46" s="1325">
        <f t="shared" si="14"/>
        <v>0</v>
      </c>
      <c r="I46" s="1325">
        <f t="shared" si="14"/>
        <v>0</v>
      </c>
      <c r="J46" s="1325">
        <f t="shared" si="14"/>
        <v>0</v>
      </c>
      <c r="K46" s="1325">
        <f t="shared" si="14"/>
        <v>0</v>
      </c>
      <c r="L46" s="1325">
        <f t="shared" si="14"/>
        <v>0</v>
      </c>
      <c r="M46" s="1325">
        <f t="shared" si="14"/>
        <v>0</v>
      </c>
      <c r="N46" s="631"/>
    </row>
    <row r="47" spans="1:14" ht="13.5" thickTop="1">
      <c r="A47" s="1272"/>
      <c r="B47" s="1256"/>
      <c r="C47" s="1256"/>
      <c r="D47" s="1293"/>
      <c r="E47" s="1293"/>
      <c r="F47" s="1293"/>
      <c r="G47" s="1293"/>
      <c r="H47" s="1293"/>
      <c r="I47" s="1293"/>
      <c r="J47" s="1293"/>
      <c r="K47" s="1293"/>
      <c r="L47" s="1293"/>
      <c r="M47" s="1293"/>
      <c r="N47" s="631"/>
    </row>
    <row r="48" spans="1:14" ht="13.5" thickBot="1">
      <c r="A48" s="1272">
        <v>400</v>
      </c>
      <c r="B48" s="1292" t="s">
        <v>2614</v>
      </c>
      <c r="C48" s="1292"/>
      <c r="D48" s="1326">
        <f t="shared" ref="D48:M48" si="15">D28+D46</f>
        <v>101819399</v>
      </c>
      <c r="E48" s="1326">
        <f t="shared" si="15"/>
        <v>-637169884</v>
      </c>
      <c r="F48" s="1326">
        <f t="shared" si="15"/>
        <v>0</v>
      </c>
      <c r="G48" s="1326">
        <f t="shared" si="15"/>
        <v>0</v>
      </c>
      <c r="H48" s="1326">
        <f t="shared" si="15"/>
        <v>-8433785</v>
      </c>
      <c r="I48" s="1326">
        <f>I28+I46</f>
        <v>27521078</v>
      </c>
      <c r="J48" s="1326">
        <f t="shared" si="15"/>
        <v>-516263192</v>
      </c>
      <c r="K48" s="1326">
        <f t="shared" si="15"/>
        <v>0</v>
      </c>
      <c r="L48" s="1326">
        <f t="shared" si="15"/>
        <v>93385614</v>
      </c>
      <c r="M48" s="1326">
        <f t="shared" si="15"/>
        <v>-609648806</v>
      </c>
      <c r="N48" s="631"/>
    </row>
    <row r="49" spans="1:14" ht="14" thickTop="1" thickBot="1">
      <c r="A49" s="1272">
        <v>500</v>
      </c>
      <c r="B49" s="1292" t="s">
        <v>2615</v>
      </c>
      <c r="C49" s="1294"/>
      <c r="D49" s="1256"/>
      <c r="E49" s="1327">
        <f>+E48+D48</f>
        <v>-535350485</v>
      </c>
      <c r="F49" s="1256"/>
      <c r="G49" s="1256"/>
      <c r="H49" s="1295"/>
      <c r="I49" s="1327">
        <f>+I48+H48</f>
        <v>19087293</v>
      </c>
      <c r="J49" s="1256"/>
      <c r="K49" s="1256"/>
      <c r="L49" s="1256"/>
      <c r="M49" s="1327">
        <f>+M48+L48</f>
        <v>-516263192</v>
      </c>
      <c r="N49" s="631"/>
    </row>
    <row r="50" spans="1:14" ht="13.5" thickTop="1">
      <c r="A50" s="1272"/>
      <c r="B50" s="1296" t="s">
        <v>230</v>
      </c>
      <c r="C50" s="1297"/>
      <c r="D50" s="1256"/>
      <c r="E50" s="1256"/>
      <c r="F50" s="1256"/>
      <c r="G50" s="1256"/>
      <c r="H50" s="1256"/>
      <c r="I50" s="1256"/>
      <c r="J50" s="1256"/>
      <c r="K50" s="1256"/>
      <c r="L50" s="1256"/>
      <c r="M50" s="1256"/>
      <c r="N50" s="631"/>
    </row>
    <row r="51" spans="1:14" ht="13">
      <c r="A51" s="1272"/>
      <c r="B51" s="1298" t="s">
        <v>2616</v>
      </c>
      <c r="C51" s="1256"/>
      <c r="D51" s="1256"/>
      <c r="E51" s="1256"/>
      <c r="F51" s="1256"/>
      <c r="G51" s="1256"/>
      <c r="H51" s="1256"/>
      <c r="I51" s="1256"/>
      <c r="J51" s="1256"/>
      <c r="K51" s="1256"/>
      <c r="L51" s="1256"/>
      <c r="M51" s="1256"/>
      <c r="N51" s="631"/>
    </row>
    <row r="52" spans="1:14" ht="13">
      <c r="A52" s="1272"/>
      <c r="B52" s="1299" t="s">
        <v>2617</v>
      </c>
      <c r="C52" s="1256"/>
      <c r="D52" s="1256"/>
      <c r="E52" s="1256"/>
      <c r="F52" s="1256"/>
      <c r="G52" s="1256"/>
      <c r="H52" s="1256"/>
      <c r="I52" s="1256"/>
      <c r="J52" s="1256"/>
      <c r="K52" s="1256"/>
      <c r="L52" s="1256"/>
      <c r="M52" s="1256"/>
      <c r="N52" s="631"/>
    </row>
    <row r="53" spans="1:14" ht="13">
      <c r="A53" s="1272"/>
      <c r="B53" s="631"/>
      <c r="C53" s="1300" t="s">
        <v>2618</v>
      </c>
      <c r="D53" s="1301">
        <v>4</v>
      </c>
      <c r="E53" s="1301"/>
      <c r="F53" s="1256"/>
      <c r="G53" s="1256"/>
      <c r="H53" s="1256"/>
      <c r="I53" s="1256"/>
      <c r="J53" s="1256"/>
      <c r="K53" s="1256"/>
      <c r="L53" s="1256"/>
      <c r="M53" s="1256"/>
      <c r="N53" s="631"/>
    </row>
    <row r="54" spans="1:14" ht="13">
      <c r="A54" s="1272"/>
      <c r="B54" s="631"/>
      <c r="C54" s="1300" t="s">
        <v>2619</v>
      </c>
      <c r="D54" s="1302">
        <v>2018</v>
      </c>
      <c r="E54" s="1302"/>
      <c r="F54" s="1256"/>
      <c r="G54" s="1256"/>
      <c r="H54" s="1256"/>
      <c r="I54" s="1256"/>
      <c r="J54" s="1256"/>
      <c r="K54" s="1256"/>
      <c r="L54" s="1256"/>
      <c r="M54" s="1256"/>
      <c r="N54" s="631"/>
    </row>
    <row r="55" spans="1:14" ht="13">
      <c r="A55" s="1272"/>
      <c r="B55" s="1299" t="s">
        <v>2620</v>
      </c>
      <c r="C55" s="1256"/>
      <c r="D55" s="1256"/>
      <c r="E55" s="1256"/>
      <c r="F55" s="1256"/>
      <c r="G55" s="1256"/>
      <c r="H55" s="1256"/>
      <c r="I55" s="1256"/>
      <c r="J55" s="1256"/>
      <c r="K55" s="1256"/>
      <c r="L55" s="1256"/>
      <c r="M55" s="1256"/>
      <c r="N55" s="631"/>
    </row>
    <row r="56" spans="1:14" ht="13">
      <c r="A56" s="1272"/>
      <c r="B56" s="631"/>
      <c r="C56" s="1300" t="s">
        <v>2618</v>
      </c>
      <c r="D56" s="1301"/>
      <c r="E56" s="1301"/>
      <c r="F56" s="1256"/>
      <c r="G56" s="1256"/>
      <c r="H56" s="1256"/>
      <c r="I56" s="1256"/>
      <c r="J56" s="1256"/>
      <c r="K56" s="1256"/>
      <c r="L56" s="1256"/>
      <c r="M56" s="1256"/>
      <c r="N56" s="631"/>
    </row>
    <row r="57" spans="1:14" ht="13">
      <c r="A57" s="1272"/>
      <c r="B57" s="631"/>
      <c r="C57" s="1300" t="s">
        <v>2619</v>
      </c>
      <c r="D57" s="1302"/>
      <c r="E57" s="1302"/>
      <c r="F57" s="1256"/>
      <c r="G57" s="1256"/>
      <c r="H57" s="1256"/>
      <c r="I57" s="1256"/>
      <c r="J57" s="1256"/>
      <c r="K57" s="1256"/>
      <c r="L57" s="1256"/>
      <c r="M57" s="1256"/>
      <c r="N57" s="631"/>
    </row>
    <row r="58" spans="1:14">
      <c r="A58" s="1256"/>
      <c r="B58" s="1299" t="s">
        <v>2621</v>
      </c>
      <c r="C58" s="631"/>
      <c r="D58" s="631"/>
      <c r="E58" s="631"/>
      <c r="F58" s="631"/>
      <c r="G58" s="631"/>
      <c r="H58" s="631"/>
      <c r="I58" s="631"/>
      <c r="J58" s="631"/>
      <c r="K58" s="631"/>
      <c r="L58" s="631"/>
      <c r="M58" s="631"/>
      <c r="N58" s="631"/>
    </row>
    <row r="59" spans="1:14">
      <c r="A59" s="1256"/>
      <c r="B59" s="631"/>
      <c r="C59" s="1300" t="s">
        <v>2618</v>
      </c>
      <c r="D59" s="1301">
        <v>1</v>
      </c>
      <c r="E59" s="1301"/>
      <c r="F59" s="631"/>
      <c r="G59" s="631"/>
      <c r="H59" s="631"/>
      <c r="I59" s="631"/>
      <c r="J59" s="631"/>
      <c r="K59" s="631"/>
      <c r="L59" s="631"/>
      <c r="M59" s="631"/>
      <c r="N59" s="631"/>
    </row>
    <row r="60" spans="1:14">
      <c r="A60" s="1256"/>
      <c r="B60" s="631"/>
      <c r="C60" s="1300" t="s">
        <v>2619</v>
      </c>
      <c r="D60" s="1302">
        <v>2018</v>
      </c>
      <c r="E60" s="1302"/>
      <c r="F60" s="631"/>
      <c r="G60" s="631"/>
      <c r="H60" s="631"/>
      <c r="I60" s="631"/>
      <c r="J60" s="631"/>
      <c r="K60" s="631"/>
      <c r="L60" s="631"/>
      <c r="M60" s="631"/>
      <c r="N60" s="631"/>
    </row>
    <row r="61" spans="1:14">
      <c r="A61" s="631"/>
      <c r="B61" s="1299" t="s">
        <v>2622</v>
      </c>
      <c r="C61" s="631"/>
      <c r="D61" s="631"/>
      <c r="E61" s="631"/>
      <c r="F61" s="631"/>
      <c r="G61" s="631"/>
      <c r="H61" s="631"/>
      <c r="I61" s="631"/>
      <c r="J61" s="631"/>
      <c r="K61" s="631"/>
      <c r="L61" s="631"/>
      <c r="M61" s="631"/>
      <c r="N61" s="631"/>
    </row>
    <row r="62" spans="1:14">
      <c r="A62" s="631"/>
      <c r="B62" s="631"/>
      <c r="C62" s="631"/>
      <c r="D62" s="631"/>
      <c r="E62" s="631"/>
      <c r="F62" s="631"/>
      <c r="G62" s="631"/>
      <c r="H62" s="631"/>
      <c r="I62" s="631"/>
      <c r="J62" s="631"/>
      <c r="K62" s="631"/>
      <c r="L62" s="631"/>
      <c r="M62" s="631"/>
      <c r="N62" s="631"/>
    </row>
    <row r="63" spans="1:14">
      <c r="A63" s="631"/>
      <c r="B63" s="631"/>
      <c r="C63" s="631"/>
      <c r="D63" s="631"/>
      <c r="E63" s="631"/>
      <c r="F63" s="631"/>
      <c r="G63" s="631"/>
      <c r="H63" s="631"/>
      <c r="I63" s="631"/>
      <c r="J63" s="631"/>
      <c r="K63" s="631"/>
      <c r="L63" s="631"/>
      <c r="M63" s="631"/>
      <c r="N63" s="631"/>
    </row>
    <row r="64" spans="1:14">
      <c r="A64" s="631"/>
      <c r="B64" s="631"/>
      <c r="C64" s="631"/>
      <c r="D64" s="631"/>
      <c r="E64" s="631"/>
      <c r="F64" s="631"/>
      <c r="G64" s="631"/>
      <c r="H64" s="631"/>
      <c r="I64" s="631"/>
      <c r="J64" s="631"/>
      <c r="K64" s="631"/>
      <c r="L64" s="631"/>
      <c r="M64" s="631"/>
      <c r="N64" s="631"/>
    </row>
  </sheetData>
  <pageMargins left="0.7" right="0.7" top="0.75" bottom="0.75" header="0.3" footer="0.3"/>
  <pageSetup scale="63" orientation="landscape" r:id="rId1"/>
  <headerFooter>
    <oddHeader>&amp;CSchedule 9-ADIT-2
EDIT&amp;RTO2022 Annual Update 
Attachment 1</oddHeader>
    <oddFooter>&amp;R9-ADIT-2</oddFooter>
  </headerFooter>
  <rowBreaks count="1" manualBreakCount="1">
    <brk id="4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D8FC-C6F9-4356-A610-E3701A85BDC0}">
  <dimension ref="A1:J71"/>
  <sheetViews>
    <sheetView zoomScaleNormal="100" zoomScalePageLayoutView="70" workbookViewId="0"/>
  </sheetViews>
  <sheetFormatPr defaultColWidth="14.54296875" defaultRowHeight="12.5"/>
  <cols>
    <col min="1" max="1" width="5.54296875" style="955" customWidth="1"/>
    <col min="2" max="2" width="37.54296875" style="955" customWidth="1"/>
    <col min="3" max="3" width="6.54296875" style="955" customWidth="1"/>
    <col min="4" max="9" width="15.54296875" style="955" customWidth="1"/>
    <col min="10" max="16384" width="14.54296875" style="955"/>
  </cols>
  <sheetData>
    <row r="1" spans="1:10" ht="14.5">
      <c r="A1" s="1292" t="s">
        <v>2623</v>
      </c>
      <c r="B1" s="1303"/>
      <c r="C1" s="1254"/>
      <c r="D1" s="1254"/>
      <c r="E1" s="1254"/>
      <c r="F1" s="1254"/>
      <c r="G1" s="1254"/>
      <c r="H1" s="1254"/>
      <c r="I1" s="1254"/>
      <c r="J1" s="1255"/>
    </row>
    <row r="2" spans="1:10" ht="14.5">
      <c r="A2" s="1292"/>
      <c r="B2" s="1303"/>
      <c r="C2" s="1254"/>
      <c r="D2" s="1254"/>
      <c r="E2" s="1254"/>
      <c r="F2" s="1254"/>
      <c r="G2" s="1254"/>
      <c r="H2" s="1257" t="s">
        <v>1713</v>
      </c>
      <c r="I2" s="1258">
        <v>2020</v>
      </c>
      <c r="J2" s="1255"/>
    </row>
    <row r="3" spans="1:10" ht="14.5">
      <c r="A3" s="1292"/>
      <c r="B3" s="1303"/>
      <c r="C3" s="1254"/>
      <c r="D3" s="1254"/>
      <c r="E3" s="1254"/>
      <c r="F3" s="1254"/>
      <c r="G3" s="1254"/>
      <c r="H3" s="1257" t="s">
        <v>2624</v>
      </c>
      <c r="I3" s="1304" t="s">
        <v>222</v>
      </c>
      <c r="J3" s="1255"/>
    </row>
    <row r="4" spans="1:10" ht="13">
      <c r="A4" s="1256"/>
      <c r="B4" s="1256"/>
      <c r="C4" s="1256"/>
      <c r="D4" s="1256"/>
      <c r="E4" s="1256"/>
      <c r="F4" s="1256"/>
      <c r="G4" s="1256"/>
      <c r="H4" s="1305" t="s">
        <v>2625</v>
      </c>
      <c r="I4" s="1306"/>
      <c r="J4" s="631"/>
    </row>
    <row r="5" spans="1:10" ht="13">
      <c r="A5" s="1256"/>
      <c r="B5" s="1256"/>
      <c r="C5" s="1256"/>
      <c r="D5" s="1256"/>
      <c r="E5" s="1256"/>
      <c r="F5" s="1256"/>
      <c r="G5" s="1256"/>
      <c r="H5" s="1305"/>
      <c r="I5" s="1305"/>
      <c r="J5" s="631"/>
    </row>
    <row r="6" spans="1:10" ht="13">
      <c r="A6" s="1259"/>
      <c r="B6" s="1260" t="s">
        <v>2561</v>
      </c>
      <c r="C6" s="1260" t="s">
        <v>2562</v>
      </c>
      <c r="D6" s="1260" t="s">
        <v>2563</v>
      </c>
      <c r="E6" s="1260" t="s">
        <v>2564</v>
      </c>
      <c r="F6" s="1260" t="s">
        <v>2565</v>
      </c>
      <c r="G6" s="1260" t="s">
        <v>2566</v>
      </c>
      <c r="H6" s="1260" t="s">
        <v>2567</v>
      </c>
      <c r="I6" s="1260" t="s">
        <v>2568</v>
      </c>
      <c r="J6" s="631"/>
    </row>
    <row r="7" spans="1:10" ht="13" thickBot="1">
      <c r="A7" s="1256"/>
      <c r="B7" s="1259"/>
      <c r="C7" s="1259"/>
      <c r="D7" s="1256"/>
      <c r="E7" s="1256"/>
      <c r="F7" s="1256"/>
      <c r="G7" s="1256"/>
      <c r="H7" s="1256"/>
      <c r="I7" s="1256"/>
      <c r="J7" s="631"/>
    </row>
    <row r="8" spans="1:10" ht="13.5" thickBot="1">
      <c r="A8" s="1256"/>
      <c r="B8" s="1259"/>
      <c r="C8" s="1259"/>
      <c r="D8" s="1511" t="s">
        <v>2626</v>
      </c>
      <c r="E8" s="1512"/>
      <c r="F8" s="1512"/>
      <c r="G8" s="1512"/>
      <c r="H8" s="1512"/>
      <c r="I8" s="1513"/>
      <c r="J8" s="631"/>
    </row>
    <row r="9" spans="1:10" ht="13.5" thickBot="1">
      <c r="A9" s="1256"/>
      <c r="B9" s="1259"/>
      <c r="C9" s="1259"/>
      <c r="D9" s="1307" t="s">
        <v>33</v>
      </c>
      <c r="E9" s="1308" t="s">
        <v>33</v>
      </c>
      <c r="F9" s="1309" t="s">
        <v>2627</v>
      </c>
      <c r="G9" s="1310" t="s">
        <v>2628</v>
      </c>
      <c r="H9" s="1309" t="s">
        <v>2629</v>
      </c>
      <c r="I9" s="1309" t="s">
        <v>2630</v>
      </c>
      <c r="J9" s="631"/>
    </row>
    <row r="10" spans="1:10" ht="52.5" thickBot="1">
      <c r="A10" s="1265" t="s">
        <v>329</v>
      </c>
      <c r="B10" s="1256"/>
      <c r="C10" s="1311" t="s">
        <v>2631</v>
      </c>
      <c r="D10" s="1312" t="s">
        <v>2632</v>
      </c>
      <c r="E10" s="1313" t="s">
        <v>2633</v>
      </c>
      <c r="F10" s="1313" t="s">
        <v>2634</v>
      </c>
      <c r="G10" s="1313" t="s">
        <v>2635</v>
      </c>
      <c r="H10" s="1313" t="s">
        <v>2636</v>
      </c>
      <c r="I10" s="1313" t="s">
        <v>2637</v>
      </c>
      <c r="J10" s="631"/>
    </row>
    <row r="11" spans="1:10" ht="13">
      <c r="A11" s="1272">
        <v>1</v>
      </c>
      <c r="B11" s="1273" t="s">
        <v>2645</v>
      </c>
      <c r="C11" s="1274"/>
      <c r="D11" s="1256"/>
      <c r="E11" s="1256"/>
      <c r="F11" s="1256"/>
      <c r="G11" s="1256"/>
      <c r="H11" s="1256"/>
      <c r="I11" s="1256"/>
      <c r="J11" s="631"/>
    </row>
    <row r="12" spans="1:10" ht="13">
      <c r="A12" s="1272">
        <f t="shared" ref="A12:A16" si="0">+A11+1</f>
        <v>2</v>
      </c>
      <c r="B12" s="1275" t="s">
        <v>2587</v>
      </c>
      <c r="C12" s="1276">
        <v>282</v>
      </c>
      <c r="D12" s="1314"/>
      <c r="E12" s="1277"/>
      <c r="F12" s="1319">
        <f>+D12*$I$4</f>
        <v>0</v>
      </c>
      <c r="G12" s="1319">
        <f>+E12-F12</f>
        <v>0</v>
      </c>
      <c r="H12" s="1319">
        <f>IF($I$3="No", 0,'9-ADIT-2'!J9)</f>
        <v>0</v>
      </c>
      <c r="I12" s="1319">
        <f>+G12-H12</f>
        <v>0</v>
      </c>
      <c r="J12" s="631"/>
    </row>
    <row r="13" spans="1:10" ht="13">
      <c r="A13" s="1272">
        <f t="shared" si="0"/>
        <v>3</v>
      </c>
      <c r="B13" s="1275" t="s">
        <v>2588</v>
      </c>
      <c r="C13" s="1276">
        <v>282</v>
      </c>
      <c r="D13" s="1314"/>
      <c r="E13" s="1277"/>
      <c r="F13" s="1319">
        <f t="shared" ref="F13:F15" si="1">+D13*$I$4</f>
        <v>0</v>
      </c>
      <c r="G13" s="1319">
        <f>+E13-F13</f>
        <v>0</v>
      </c>
      <c r="H13" s="1319">
        <f>IF($I$3="No", 0,'9-ADIT-2'!J10)</f>
        <v>0</v>
      </c>
      <c r="I13" s="1319">
        <f t="shared" ref="I13:I15" si="2">+G13-H13</f>
        <v>0</v>
      </c>
      <c r="J13" s="631"/>
    </row>
    <row r="14" spans="1:10" ht="13">
      <c r="A14" s="1272">
        <f t="shared" si="0"/>
        <v>4</v>
      </c>
      <c r="B14" s="1275" t="s">
        <v>2589</v>
      </c>
      <c r="C14" s="1276">
        <v>282</v>
      </c>
      <c r="D14" s="1314"/>
      <c r="E14" s="1277"/>
      <c r="F14" s="1319">
        <f t="shared" si="1"/>
        <v>0</v>
      </c>
      <c r="G14" s="1319">
        <f>+E14-F14</f>
        <v>0</v>
      </c>
      <c r="H14" s="1319">
        <f>IF($I$3="No", 0,'9-ADIT-2'!J11)</f>
        <v>0</v>
      </c>
      <c r="I14" s="1319">
        <f t="shared" si="2"/>
        <v>0</v>
      </c>
      <c r="J14" s="631"/>
    </row>
    <row r="15" spans="1:10" ht="13">
      <c r="A15" s="1272">
        <f t="shared" si="0"/>
        <v>5</v>
      </c>
      <c r="B15" s="1275" t="s">
        <v>2590</v>
      </c>
      <c r="C15" s="1276">
        <v>190</v>
      </c>
      <c r="D15" s="1314"/>
      <c r="E15" s="1277"/>
      <c r="F15" s="1319">
        <f t="shared" si="1"/>
        <v>0</v>
      </c>
      <c r="G15" s="1319">
        <f>+E15-F15</f>
        <v>0</v>
      </c>
      <c r="H15" s="1319">
        <f>IF($I$3="No", 0,'9-ADIT-2'!J12)</f>
        <v>0</v>
      </c>
      <c r="I15" s="1319">
        <f t="shared" si="2"/>
        <v>0</v>
      </c>
      <c r="J15" s="631"/>
    </row>
    <row r="16" spans="1:10" ht="13">
      <c r="A16" s="1272">
        <f t="shared" si="0"/>
        <v>6</v>
      </c>
      <c r="B16" s="1278" t="s">
        <v>504</v>
      </c>
      <c r="C16" s="1279"/>
      <c r="D16" s="1277"/>
      <c r="E16" s="1277"/>
      <c r="F16" s="1275"/>
      <c r="G16" s="1256"/>
      <c r="H16" s="1275"/>
      <c r="I16" s="1275"/>
      <c r="J16" s="631"/>
    </row>
    <row r="17" spans="1:10" ht="13">
      <c r="A17" s="1280" t="s">
        <v>2591</v>
      </c>
      <c r="B17" s="1275"/>
      <c r="C17" s="1282"/>
      <c r="D17" s="1320">
        <f t="shared" ref="D17:H17" si="3">SUM(D12:D16)</f>
        <v>0</v>
      </c>
      <c r="E17" s="1320">
        <f t="shared" si="3"/>
        <v>0</v>
      </c>
      <c r="F17" s="1320">
        <f t="shared" si="3"/>
        <v>0</v>
      </c>
      <c r="G17" s="1328">
        <f t="shared" si="3"/>
        <v>0</v>
      </c>
      <c r="H17" s="1320">
        <f t="shared" si="3"/>
        <v>0</v>
      </c>
      <c r="I17" s="1320">
        <f>SUM(I12:I16)</f>
        <v>0</v>
      </c>
      <c r="J17" s="631"/>
    </row>
    <row r="18" spans="1:10" ht="13">
      <c r="A18" s="1272"/>
      <c r="B18" s="1275"/>
      <c r="C18" s="1282"/>
      <c r="D18" s="1275"/>
      <c r="E18" s="1275"/>
      <c r="F18" s="1275"/>
      <c r="G18" s="1256"/>
      <c r="H18" s="1275"/>
      <c r="I18" s="1275"/>
      <c r="J18" s="631"/>
    </row>
    <row r="19" spans="1:10" ht="13">
      <c r="A19" s="1272">
        <v>100</v>
      </c>
      <c r="B19" s="1315" t="s">
        <v>2638</v>
      </c>
      <c r="C19" s="1284"/>
      <c r="D19" s="1275"/>
      <c r="E19" s="1275"/>
      <c r="F19" s="1275"/>
      <c r="G19" s="1256"/>
      <c r="H19" s="1275"/>
      <c r="I19" s="1275"/>
      <c r="J19" s="631"/>
    </row>
    <row r="20" spans="1:10" ht="13">
      <c r="A20" s="1272">
        <f t="shared" ref="A20:A48" si="4">+A19+1</f>
        <v>101</v>
      </c>
      <c r="B20" s="1275" t="s">
        <v>2594</v>
      </c>
      <c r="C20" s="1276">
        <v>282</v>
      </c>
      <c r="D20" s="1277"/>
      <c r="E20" s="1277"/>
      <c r="F20" s="1319">
        <f t="shared" ref="F20:F25" si="5">+D20*$I$4</f>
        <v>0</v>
      </c>
      <c r="G20" s="1319">
        <f t="shared" ref="G20:G25" si="6">+E20-F20</f>
        <v>0</v>
      </c>
      <c r="H20" s="1319">
        <f>IF($I$3="No", 0,'9-ADIT-2'!J17)</f>
        <v>0</v>
      </c>
      <c r="I20" s="1319">
        <f t="shared" ref="I20:I25" si="7">+G20-H20</f>
        <v>0</v>
      </c>
      <c r="J20" s="631"/>
    </row>
    <row r="21" spans="1:10" ht="13">
      <c r="A21" s="1272">
        <f t="shared" si="4"/>
        <v>102</v>
      </c>
      <c r="B21" s="1275" t="s">
        <v>2595</v>
      </c>
      <c r="C21" s="1276">
        <v>282</v>
      </c>
      <c r="D21" s="1277"/>
      <c r="E21" s="1277"/>
      <c r="F21" s="1319">
        <f t="shared" si="5"/>
        <v>0</v>
      </c>
      <c r="G21" s="1319">
        <f t="shared" si="6"/>
        <v>0</v>
      </c>
      <c r="H21" s="1319">
        <f>IF($I$3="No", 0,'9-ADIT-2'!J18)</f>
        <v>0</v>
      </c>
      <c r="I21" s="1319">
        <f t="shared" si="7"/>
        <v>0</v>
      </c>
      <c r="J21" s="631"/>
    </row>
    <row r="22" spans="1:10" ht="13">
      <c r="A22" s="1272">
        <f t="shared" si="4"/>
        <v>103</v>
      </c>
      <c r="B22" s="1275" t="s">
        <v>2596</v>
      </c>
      <c r="C22" s="1276">
        <v>282</v>
      </c>
      <c r="D22" s="1277"/>
      <c r="E22" s="1277"/>
      <c r="F22" s="1319">
        <f t="shared" si="5"/>
        <v>0</v>
      </c>
      <c r="G22" s="1319">
        <f t="shared" si="6"/>
        <v>0</v>
      </c>
      <c r="H22" s="1319">
        <f>IF($I$3="No", 0,'9-ADIT-2'!J19)</f>
        <v>0</v>
      </c>
      <c r="I22" s="1319">
        <f t="shared" si="7"/>
        <v>0</v>
      </c>
      <c r="J22" s="631"/>
    </row>
    <row r="23" spans="1:10" ht="13">
      <c r="A23" s="1272">
        <f t="shared" si="4"/>
        <v>104</v>
      </c>
      <c r="B23" s="1275" t="s">
        <v>2597</v>
      </c>
      <c r="C23" s="1276">
        <v>282</v>
      </c>
      <c r="D23" s="1277"/>
      <c r="E23" s="1277"/>
      <c r="F23" s="1319">
        <f t="shared" si="5"/>
        <v>0</v>
      </c>
      <c r="G23" s="1319">
        <f t="shared" si="6"/>
        <v>0</v>
      </c>
      <c r="H23" s="1319">
        <f>IF($I$3="No", 0,'9-ADIT-2'!J20)</f>
        <v>0</v>
      </c>
      <c r="I23" s="1319">
        <f t="shared" si="7"/>
        <v>0</v>
      </c>
      <c r="J23" s="631"/>
    </row>
    <row r="24" spans="1:10" ht="13">
      <c r="A24" s="1272">
        <f t="shared" si="4"/>
        <v>105</v>
      </c>
      <c r="B24" s="1275" t="s">
        <v>2598</v>
      </c>
      <c r="C24" s="1276">
        <v>282</v>
      </c>
      <c r="D24" s="1277"/>
      <c r="E24" s="1277"/>
      <c r="F24" s="1319">
        <f t="shared" si="5"/>
        <v>0</v>
      </c>
      <c r="G24" s="1319">
        <f t="shared" si="6"/>
        <v>0</v>
      </c>
      <c r="H24" s="1319">
        <f>IF($I$3="No", 0,'9-ADIT-2'!J21)</f>
        <v>0</v>
      </c>
      <c r="I24" s="1319">
        <f t="shared" si="7"/>
        <v>0</v>
      </c>
      <c r="J24" s="631"/>
    </row>
    <row r="25" spans="1:10" ht="13">
      <c r="A25" s="1272">
        <f t="shared" si="4"/>
        <v>106</v>
      </c>
      <c r="B25" s="1275" t="s">
        <v>2599</v>
      </c>
      <c r="C25" s="1276">
        <v>190</v>
      </c>
      <c r="D25" s="1277"/>
      <c r="E25" s="1277"/>
      <c r="F25" s="1319">
        <f t="shared" si="5"/>
        <v>0</v>
      </c>
      <c r="G25" s="1319">
        <f t="shared" si="6"/>
        <v>0</v>
      </c>
      <c r="H25" s="1319">
        <f>IF($I$3="No", 0,'9-ADIT-2'!J22)</f>
        <v>0</v>
      </c>
      <c r="I25" s="1319">
        <f t="shared" si="7"/>
        <v>0</v>
      </c>
      <c r="J25" s="631"/>
    </row>
    <row r="26" spans="1:10" ht="13">
      <c r="A26" s="1272">
        <f t="shared" si="4"/>
        <v>107</v>
      </c>
      <c r="B26" s="1278" t="s">
        <v>504</v>
      </c>
      <c r="C26" s="1279"/>
      <c r="D26" s="1277"/>
      <c r="E26" s="1277"/>
      <c r="F26" s="1275"/>
      <c r="G26" s="1275"/>
      <c r="H26" s="1275"/>
      <c r="I26" s="1275"/>
      <c r="J26" s="631"/>
    </row>
    <row r="27" spans="1:10" ht="13">
      <c r="A27" s="1272">
        <v>150</v>
      </c>
      <c r="B27" s="1275"/>
      <c r="C27" s="1282"/>
      <c r="D27" s="1321">
        <f t="shared" ref="D27:I27" si="8">SUM(D20:D26)</f>
        <v>0</v>
      </c>
      <c r="E27" s="1321">
        <f t="shared" si="8"/>
        <v>0</v>
      </c>
      <c r="F27" s="1321">
        <f t="shared" si="8"/>
        <v>0</v>
      </c>
      <c r="G27" s="1321">
        <f t="shared" si="8"/>
        <v>0</v>
      </c>
      <c r="H27" s="1321">
        <f t="shared" si="8"/>
        <v>0</v>
      </c>
      <c r="I27" s="1321">
        <f t="shared" si="8"/>
        <v>0</v>
      </c>
      <c r="J27" s="631"/>
    </row>
    <row r="28" spans="1:10" ht="13">
      <c r="A28" s="1272"/>
      <c r="B28" s="1275"/>
      <c r="C28" s="1282"/>
      <c r="D28" s="227"/>
      <c r="E28" s="1285"/>
      <c r="F28" s="227"/>
      <c r="G28" s="227"/>
      <c r="H28" s="227"/>
      <c r="I28" s="227"/>
      <c r="J28" s="631"/>
    </row>
    <row r="29" spans="1:10" ht="13">
      <c r="A29" s="1272">
        <v>200</v>
      </c>
      <c r="B29" s="1288" t="s">
        <v>2639</v>
      </c>
      <c r="C29" s="1276">
        <v>282</v>
      </c>
      <c r="D29" s="1287"/>
      <c r="E29" s="1287"/>
      <c r="F29" s="1329">
        <f t="shared" ref="F29" si="9">+D29*$I$4</f>
        <v>0</v>
      </c>
      <c r="G29" s="1330">
        <f>+E29-F29</f>
        <v>0</v>
      </c>
      <c r="H29" s="1329">
        <f>IF($I$3="No", 0,'9-ADIT-2'!J26)</f>
        <v>0</v>
      </c>
      <c r="I29" s="1329">
        <f>+G29-H29</f>
        <v>0</v>
      </c>
      <c r="J29" s="631"/>
    </row>
    <row r="30" spans="1:10" ht="13">
      <c r="A30" s="1272"/>
      <c r="B30" s="1275"/>
      <c r="C30" s="1282"/>
      <c r="D30" s="227"/>
      <c r="E30" s="227"/>
      <c r="F30" s="227"/>
      <c r="G30" s="227"/>
      <c r="H30" s="227"/>
      <c r="I30" s="227"/>
      <c r="J30" s="631"/>
    </row>
    <row r="31" spans="1:10" ht="13.5" thickBot="1">
      <c r="A31" s="1272">
        <v>250</v>
      </c>
      <c r="B31" s="1288" t="s">
        <v>2640</v>
      </c>
      <c r="C31" s="1289"/>
      <c r="D31" s="1323">
        <f t="shared" ref="D31:I31" si="10">+D29+D27+D17</f>
        <v>0</v>
      </c>
      <c r="E31" s="1323">
        <f t="shared" si="10"/>
        <v>0</v>
      </c>
      <c r="F31" s="1323">
        <f t="shared" si="10"/>
        <v>0</v>
      </c>
      <c r="G31" s="1323">
        <f t="shared" si="10"/>
        <v>0</v>
      </c>
      <c r="H31" s="1323">
        <f t="shared" si="10"/>
        <v>0</v>
      </c>
      <c r="I31" s="1323">
        <f t="shared" si="10"/>
        <v>0</v>
      </c>
      <c r="J31" s="631"/>
    </row>
    <row r="32" spans="1:10" ht="13.5" thickTop="1">
      <c r="A32" s="1272"/>
      <c r="B32" s="1290"/>
      <c r="C32" s="1291"/>
      <c r="D32" s="1275"/>
      <c r="E32" s="1275"/>
      <c r="F32" s="1275"/>
      <c r="G32" s="1275"/>
      <c r="H32" s="1275"/>
      <c r="I32" s="1275"/>
      <c r="J32" s="631"/>
    </row>
    <row r="33" spans="1:10" ht="13">
      <c r="A33" s="1272">
        <v>300</v>
      </c>
      <c r="B33" s="1315" t="s">
        <v>2641</v>
      </c>
      <c r="C33" s="1284"/>
      <c r="D33" s="1275"/>
      <c r="E33" s="1275"/>
      <c r="F33" s="1275"/>
      <c r="G33" s="1275"/>
      <c r="H33" s="1275"/>
      <c r="I33" s="1275"/>
      <c r="J33" s="631"/>
    </row>
    <row r="34" spans="1:10" ht="13">
      <c r="A34" s="1272">
        <f t="shared" si="4"/>
        <v>301</v>
      </c>
      <c r="B34" s="1275" t="s">
        <v>2548</v>
      </c>
      <c r="C34" s="1276">
        <v>190</v>
      </c>
      <c r="D34" s="1314"/>
      <c r="E34" s="1277"/>
      <c r="F34" s="1319">
        <f t="shared" ref="F34:F47" si="11">+D34*$I$4</f>
        <v>0</v>
      </c>
      <c r="G34" s="1319">
        <f t="shared" ref="G34:G47" si="12">+E34-F34</f>
        <v>0</v>
      </c>
      <c r="H34" s="1319">
        <f>IF($I$3="No", 0,'9-ADIT-2'!J31)</f>
        <v>0</v>
      </c>
      <c r="I34" s="1319">
        <f t="shared" ref="I34:I47" si="13">+G34-H34</f>
        <v>0</v>
      </c>
      <c r="J34" s="631"/>
    </row>
    <row r="35" spans="1:10" ht="13">
      <c r="A35" s="1272">
        <f t="shared" si="4"/>
        <v>302</v>
      </c>
      <c r="B35" s="1275" t="s">
        <v>2549</v>
      </c>
      <c r="C35" s="1276">
        <v>190</v>
      </c>
      <c r="D35" s="1314"/>
      <c r="E35" s="1277"/>
      <c r="F35" s="1319">
        <f t="shared" si="11"/>
        <v>0</v>
      </c>
      <c r="G35" s="1319">
        <f t="shared" si="12"/>
        <v>0</v>
      </c>
      <c r="H35" s="1319">
        <f>IF($I$3="No", 0,'9-ADIT-2'!J32)</f>
        <v>0</v>
      </c>
      <c r="I35" s="1319">
        <f t="shared" si="13"/>
        <v>0</v>
      </c>
      <c r="J35" s="631"/>
    </row>
    <row r="36" spans="1:10" ht="13">
      <c r="A36" s="1272">
        <f t="shared" si="4"/>
        <v>303</v>
      </c>
      <c r="B36" s="1275" t="s">
        <v>2550</v>
      </c>
      <c r="C36" s="1276">
        <v>190</v>
      </c>
      <c r="D36" s="1314"/>
      <c r="E36" s="1277"/>
      <c r="F36" s="1319">
        <f t="shared" si="11"/>
        <v>0</v>
      </c>
      <c r="G36" s="1319">
        <f t="shared" si="12"/>
        <v>0</v>
      </c>
      <c r="H36" s="1319">
        <f>IF($I$3="No", 0,'9-ADIT-2'!J33)</f>
        <v>0</v>
      </c>
      <c r="I36" s="1319">
        <f t="shared" si="13"/>
        <v>0</v>
      </c>
      <c r="J36" s="631"/>
    </row>
    <row r="37" spans="1:10" ht="13">
      <c r="A37" s="1272">
        <f t="shared" si="4"/>
        <v>304</v>
      </c>
      <c r="B37" s="1275" t="s">
        <v>2608</v>
      </c>
      <c r="C37" s="1276">
        <v>190</v>
      </c>
      <c r="D37" s="1314"/>
      <c r="E37" s="1277"/>
      <c r="F37" s="1319">
        <f t="shared" si="11"/>
        <v>0</v>
      </c>
      <c r="G37" s="1319">
        <f t="shared" si="12"/>
        <v>0</v>
      </c>
      <c r="H37" s="1319">
        <f>IF($I$3="No", 0,'9-ADIT-2'!J34)</f>
        <v>0</v>
      </c>
      <c r="I37" s="1319">
        <f t="shared" si="13"/>
        <v>0</v>
      </c>
      <c r="J37" s="631"/>
    </row>
    <row r="38" spans="1:10" ht="13">
      <c r="A38" s="1272">
        <f t="shared" si="4"/>
        <v>305</v>
      </c>
      <c r="B38" s="1275" t="s">
        <v>2609</v>
      </c>
      <c r="C38" s="1276">
        <v>190</v>
      </c>
      <c r="D38" s="1314"/>
      <c r="E38" s="1277"/>
      <c r="F38" s="1319">
        <f t="shared" si="11"/>
        <v>0</v>
      </c>
      <c r="G38" s="1319">
        <f t="shared" si="12"/>
        <v>0</v>
      </c>
      <c r="H38" s="1319">
        <f>IF($I$3="No", 0,'9-ADIT-2'!J35)</f>
        <v>0</v>
      </c>
      <c r="I38" s="1319">
        <f t="shared" si="13"/>
        <v>0</v>
      </c>
      <c r="J38" s="631"/>
    </row>
    <row r="39" spans="1:10" ht="13">
      <c r="A39" s="1272">
        <f t="shared" si="4"/>
        <v>306</v>
      </c>
      <c r="B39" s="1275" t="s">
        <v>2551</v>
      </c>
      <c r="C39" s="1276">
        <v>190</v>
      </c>
      <c r="D39" s="1314"/>
      <c r="E39" s="1277"/>
      <c r="F39" s="1319">
        <f t="shared" si="11"/>
        <v>0</v>
      </c>
      <c r="G39" s="1319">
        <f t="shared" si="12"/>
        <v>0</v>
      </c>
      <c r="H39" s="1319">
        <f>IF($I$3="No", 0,'9-ADIT-2'!J36)</f>
        <v>0</v>
      </c>
      <c r="I39" s="1319">
        <f t="shared" si="13"/>
        <v>0</v>
      </c>
      <c r="J39" s="631"/>
    </row>
    <row r="40" spans="1:10" ht="13">
      <c r="A40" s="1272">
        <f t="shared" si="4"/>
        <v>307</v>
      </c>
      <c r="B40" s="1275" t="s">
        <v>2552</v>
      </c>
      <c r="C40" s="1276">
        <v>190</v>
      </c>
      <c r="D40" s="1314"/>
      <c r="E40" s="1277"/>
      <c r="F40" s="1319">
        <f t="shared" si="11"/>
        <v>0</v>
      </c>
      <c r="G40" s="1319">
        <f t="shared" si="12"/>
        <v>0</v>
      </c>
      <c r="H40" s="1319">
        <f>IF($I$3="No", 0,'9-ADIT-2'!J37)</f>
        <v>0</v>
      </c>
      <c r="I40" s="1319">
        <f t="shared" si="13"/>
        <v>0</v>
      </c>
      <c r="J40" s="631"/>
    </row>
    <row r="41" spans="1:10" ht="13">
      <c r="A41" s="1272">
        <f t="shared" si="4"/>
        <v>308</v>
      </c>
      <c r="B41" s="1275" t="s">
        <v>2610</v>
      </c>
      <c r="C41" s="1276">
        <v>190</v>
      </c>
      <c r="D41" s="1314"/>
      <c r="E41" s="1277"/>
      <c r="F41" s="1319">
        <f t="shared" si="11"/>
        <v>0</v>
      </c>
      <c r="G41" s="1319">
        <f t="shared" si="12"/>
        <v>0</v>
      </c>
      <c r="H41" s="1319">
        <f>IF($I$3="No", 0,'9-ADIT-2'!J38)</f>
        <v>0</v>
      </c>
      <c r="I41" s="1319">
        <f t="shared" si="13"/>
        <v>0</v>
      </c>
      <c r="J41" s="631"/>
    </row>
    <row r="42" spans="1:10" ht="13">
      <c r="A42" s="1272">
        <f t="shared" si="4"/>
        <v>309</v>
      </c>
      <c r="B42" s="1275" t="s">
        <v>2555</v>
      </c>
      <c r="C42" s="1276">
        <v>190</v>
      </c>
      <c r="D42" s="1314"/>
      <c r="E42" s="1277"/>
      <c r="F42" s="1319">
        <f t="shared" si="11"/>
        <v>0</v>
      </c>
      <c r="G42" s="1319">
        <f t="shared" si="12"/>
        <v>0</v>
      </c>
      <c r="H42" s="1319">
        <f>IF($I$3="No", 0,'9-ADIT-2'!J39)</f>
        <v>0</v>
      </c>
      <c r="I42" s="1319">
        <f t="shared" si="13"/>
        <v>0</v>
      </c>
      <c r="J42" s="631"/>
    </row>
    <row r="43" spans="1:10" ht="13">
      <c r="A43" s="1272">
        <f t="shared" si="4"/>
        <v>310</v>
      </c>
      <c r="B43" s="1275" t="s">
        <v>2553</v>
      </c>
      <c r="C43" s="1276">
        <v>190</v>
      </c>
      <c r="D43" s="1314"/>
      <c r="E43" s="1277"/>
      <c r="F43" s="1319">
        <f t="shared" si="11"/>
        <v>0</v>
      </c>
      <c r="G43" s="1319">
        <f t="shared" si="12"/>
        <v>0</v>
      </c>
      <c r="H43" s="1319">
        <f>IF($I$3="No", 0,'9-ADIT-2'!J40)</f>
        <v>0</v>
      </c>
      <c r="I43" s="1319">
        <f t="shared" si="13"/>
        <v>0</v>
      </c>
      <c r="J43" s="631"/>
    </row>
    <row r="44" spans="1:10" ht="13">
      <c r="A44" s="1272">
        <f t="shared" si="4"/>
        <v>311</v>
      </c>
      <c r="B44" s="1275" t="s">
        <v>2554</v>
      </c>
      <c r="C44" s="1276">
        <v>190</v>
      </c>
      <c r="D44" s="1314"/>
      <c r="E44" s="1277"/>
      <c r="F44" s="1319">
        <f t="shared" si="11"/>
        <v>0</v>
      </c>
      <c r="G44" s="1319">
        <f t="shared" si="12"/>
        <v>0</v>
      </c>
      <c r="H44" s="1319">
        <f>IF($I$3="No", 0,'9-ADIT-2'!J41)</f>
        <v>0</v>
      </c>
      <c r="I44" s="1319">
        <f t="shared" si="13"/>
        <v>0</v>
      </c>
      <c r="J44" s="631"/>
    </row>
    <row r="45" spans="1:10" ht="13">
      <c r="A45" s="1272">
        <f t="shared" si="4"/>
        <v>312</v>
      </c>
      <c r="B45" s="1275" t="s">
        <v>2611</v>
      </c>
      <c r="C45" s="1276">
        <v>283</v>
      </c>
      <c r="D45" s="1314"/>
      <c r="E45" s="1277"/>
      <c r="F45" s="1319">
        <f t="shared" si="11"/>
        <v>0</v>
      </c>
      <c r="G45" s="1319">
        <f t="shared" si="12"/>
        <v>0</v>
      </c>
      <c r="H45" s="1319">
        <f>IF($I$3="No", 0,'9-ADIT-2'!J42)</f>
        <v>0</v>
      </c>
      <c r="I45" s="1319">
        <f t="shared" si="13"/>
        <v>0</v>
      </c>
      <c r="J45" s="631"/>
    </row>
    <row r="46" spans="1:10" ht="13">
      <c r="A46" s="1272">
        <f t="shared" si="4"/>
        <v>313</v>
      </c>
      <c r="B46" s="1275" t="s">
        <v>2556</v>
      </c>
      <c r="C46" s="1276">
        <v>283</v>
      </c>
      <c r="D46" s="1314"/>
      <c r="E46" s="1277"/>
      <c r="F46" s="1319">
        <f t="shared" si="11"/>
        <v>0</v>
      </c>
      <c r="G46" s="1319">
        <f t="shared" si="12"/>
        <v>0</v>
      </c>
      <c r="H46" s="1319">
        <f>IF($I$3="No", 0,'9-ADIT-2'!J43)</f>
        <v>0</v>
      </c>
      <c r="I46" s="1319">
        <f t="shared" si="13"/>
        <v>0</v>
      </c>
      <c r="J46" s="631"/>
    </row>
    <row r="47" spans="1:10" ht="13">
      <c r="A47" s="1272">
        <f t="shared" si="4"/>
        <v>314</v>
      </c>
      <c r="B47" s="1275" t="s">
        <v>2557</v>
      </c>
      <c r="C47" s="1276">
        <v>283</v>
      </c>
      <c r="D47" s="1314"/>
      <c r="E47" s="1277"/>
      <c r="F47" s="1319">
        <f t="shared" si="11"/>
        <v>0</v>
      </c>
      <c r="G47" s="1319">
        <f t="shared" si="12"/>
        <v>0</v>
      </c>
      <c r="H47" s="1319">
        <f>IF($I$3="No", 0,'9-ADIT-2'!J44)</f>
        <v>0</v>
      </c>
      <c r="I47" s="1319">
        <f t="shared" si="13"/>
        <v>0</v>
      </c>
      <c r="J47" s="631"/>
    </row>
    <row r="48" spans="1:10" ht="13">
      <c r="A48" s="1272">
        <f t="shared" si="4"/>
        <v>315</v>
      </c>
      <c r="B48" s="1278" t="s">
        <v>504</v>
      </c>
      <c r="C48" s="1277"/>
      <c r="D48" s="1277"/>
      <c r="E48" s="1277"/>
      <c r="F48" s="1275"/>
      <c r="G48" s="1275"/>
      <c r="H48" s="1256"/>
      <c r="I48" s="1256"/>
      <c r="J48" s="631"/>
    </row>
    <row r="49" spans="1:10" ht="13.5" thickBot="1">
      <c r="A49" s="1272">
        <v>350</v>
      </c>
      <c r="B49" s="1292" t="s">
        <v>2642</v>
      </c>
      <c r="C49" s="1292"/>
      <c r="D49" s="1325">
        <f t="shared" ref="D49:I49" si="14">SUM(D34:D48)</f>
        <v>0</v>
      </c>
      <c r="E49" s="1325">
        <f t="shared" si="14"/>
        <v>0</v>
      </c>
      <c r="F49" s="1325">
        <f t="shared" si="14"/>
        <v>0</v>
      </c>
      <c r="G49" s="1325">
        <f t="shared" si="14"/>
        <v>0</v>
      </c>
      <c r="H49" s="1325">
        <f t="shared" si="14"/>
        <v>0</v>
      </c>
      <c r="I49" s="1325">
        <f t="shared" si="14"/>
        <v>0</v>
      </c>
      <c r="J49" s="631"/>
    </row>
    <row r="50" spans="1:10" ht="13.5" thickTop="1">
      <c r="A50" s="1272"/>
      <c r="B50" s="1256"/>
      <c r="C50" s="1256"/>
      <c r="D50" s="1293"/>
      <c r="E50" s="1293"/>
      <c r="F50" s="1293"/>
      <c r="G50" s="1293"/>
      <c r="H50" s="1293"/>
      <c r="I50" s="1293"/>
      <c r="J50" s="631"/>
    </row>
    <row r="51" spans="1:10" ht="13.5" thickBot="1">
      <c r="A51" s="1272">
        <v>400</v>
      </c>
      <c r="B51" s="1292" t="s">
        <v>2614</v>
      </c>
      <c r="C51" s="1292"/>
      <c r="D51" s="1326">
        <f t="shared" ref="D51:I51" si="15">D31+D49</f>
        <v>0</v>
      </c>
      <c r="E51" s="1326">
        <f t="shared" si="15"/>
        <v>0</v>
      </c>
      <c r="F51" s="1326">
        <f t="shared" si="15"/>
        <v>0</v>
      </c>
      <c r="G51" s="1326">
        <f t="shared" si="15"/>
        <v>0</v>
      </c>
      <c r="H51" s="1326">
        <f t="shared" si="15"/>
        <v>0</v>
      </c>
      <c r="I51" s="1326">
        <f t="shared" si="15"/>
        <v>0</v>
      </c>
      <c r="J51" s="631"/>
    </row>
    <row r="52" spans="1:10" ht="13.5" thickTop="1">
      <c r="A52" s="1272"/>
      <c r="B52" s="1294"/>
      <c r="C52" s="1294"/>
      <c r="D52" s="1256"/>
      <c r="E52" s="1256"/>
      <c r="F52" s="1256"/>
      <c r="G52" s="1256"/>
      <c r="H52" s="1256"/>
      <c r="I52" s="1256"/>
      <c r="J52" s="631"/>
    </row>
    <row r="53" spans="1:10" ht="13">
      <c r="A53" s="1272"/>
      <c r="B53" s="1296" t="s">
        <v>377</v>
      </c>
      <c r="C53" s="1294"/>
      <c r="D53" s="1256"/>
      <c r="E53" s="1256"/>
      <c r="F53" s="1256"/>
      <c r="G53" s="1256"/>
      <c r="H53" s="1256"/>
      <c r="I53" s="1256"/>
      <c r="J53" s="631"/>
    </row>
    <row r="54" spans="1:10" ht="16">
      <c r="A54" s="1272"/>
      <c r="B54" s="1316" t="s">
        <v>2643</v>
      </c>
      <c r="C54" s="1294"/>
      <c r="D54" s="1256"/>
      <c r="E54" s="1256"/>
      <c r="F54" s="1256"/>
      <c r="G54" s="1256"/>
      <c r="H54" s="1256"/>
      <c r="I54" s="1256"/>
      <c r="J54" s="631"/>
    </row>
    <row r="55" spans="1:10" ht="13">
      <c r="A55" s="1272"/>
      <c r="B55" s="1299" t="s">
        <v>2644</v>
      </c>
      <c r="C55" s="1294"/>
      <c r="D55" s="1256"/>
      <c r="E55" s="1256"/>
      <c r="F55" s="1256"/>
      <c r="G55" s="1256"/>
      <c r="H55" s="1256"/>
      <c r="I55" s="1256"/>
      <c r="J55" s="631"/>
    </row>
    <row r="56" spans="1:10" ht="13">
      <c r="A56" s="1272"/>
      <c r="B56" s="1296"/>
      <c r="C56" s="1297"/>
      <c r="D56" s="1256"/>
      <c r="E56" s="1256"/>
      <c r="F56" s="1256"/>
      <c r="G56" s="1256"/>
      <c r="H56" s="1256"/>
      <c r="I56" s="1256"/>
      <c r="J56" s="631"/>
    </row>
    <row r="57" spans="1:10" ht="13">
      <c r="A57" s="1272"/>
      <c r="B57" s="1299"/>
      <c r="C57" s="1256"/>
      <c r="D57" s="1256"/>
      <c r="E57" s="1256"/>
      <c r="F57" s="1256"/>
      <c r="G57" s="1256"/>
      <c r="H57" s="1256"/>
      <c r="I57" s="1256"/>
      <c r="J57" s="631"/>
    </row>
    <row r="58" spans="1:10" ht="13">
      <c r="A58" s="1272"/>
      <c r="B58" s="1299"/>
      <c r="C58" s="1256"/>
      <c r="D58" s="1256"/>
      <c r="E58" s="1256"/>
      <c r="F58" s="1256"/>
      <c r="G58" s="1256"/>
      <c r="H58" s="1256"/>
      <c r="I58" s="1256"/>
      <c r="J58" s="631"/>
    </row>
    <row r="59" spans="1:10" ht="13">
      <c r="A59" s="1272"/>
      <c r="B59" s="631"/>
      <c r="C59" s="1300"/>
      <c r="D59" s="1256"/>
      <c r="E59" s="1256"/>
      <c r="F59" s="1256"/>
      <c r="G59" s="1256"/>
      <c r="H59" s="1256"/>
      <c r="I59" s="1256"/>
      <c r="J59" s="631"/>
    </row>
    <row r="60" spans="1:10" ht="13">
      <c r="A60" s="1272"/>
      <c r="B60" s="631"/>
      <c r="C60" s="1300"/>
      <c r="D60" s="1256"/>
      <c r="E60" s="1256"/>
      <c r="F60" s="1256"/>
      <c r="G60" s="1256"/>
      <c r="H60" s="1256"/>
      <c r="I60" s="1256"/>
      <c r="J60" s="631"/>
    </row>
    <row r="61" spans="1:10" ht="13">
      <c r="A61" s="1272"/>
      <c r="B61" s="1299"/>
      <c r="C61" s="1256"/>
      <c r="D61" s="1256"/>
      <c r="E61" s="1256"/>
      <c r="F61" s="1256"/>
      <c r="G61" s="1256"/>
      <c r="H61" s="1256"/>
      <c r="I61" s="1256"/>
      <c r="J61" s="631"/>
    </row>
    <row r="62" spans="1:10" ht="13">
      <c r="A62" s="1272"/>
      <c r="B62" s="631"/>
      <c r="C62" s="1300"/>
      <c r="D62" s="1256"/>
      <c r="E62" s="1256"/>
      <c r="F62" s="1256"/>
      <c r="G62" s="1256"/>
      <c r="H62" s="1256"/>
      <c r="I62" s="1256"/>
      <c r="J62" s="631"/>
    </row>
    <row r="63" spans="1:10" ht="13">
      <c r="A63" s="1272"/>
      <c r="B63" s="631"/>
      <c r="C63" s="1300"/>
      <c r="D63" s="1256"/>
      <c r="E63" s="1256"/>
      <c r="F63" s="1256"/>
      <c r="G63" s="1256"/>
      <c r="H63" s="1256"/>
      <c r="I63" s="1256"/>
      <c r="J63" s="631"/>
    </row>
    <row r="64" spans="1:10" ht="13">
      <c r="A64" s="1272"/>
      <c r="B64" s="1299"/>
      <c r="C64" s="631"/>
      <c r="D64" s="1256"/>
      <c r="E64" s="631"/>
      <c r="F64" s="631"/>
      <c r="G64" s="631"/>
      <c r="H64" s="1256"/>
      <c r="I64" s="1256"/>
      <c r="J64" s="631"/>
    </row>
    <row r="65" spans="1:10">
      <c r="A65" s="631"/>
      <c r="B65" s="631"/>
      <c r="C65" s="1300"/>
      <c r="D65" s="1256"/>
      <c r="E65" s="631"/>
      <c r="F65" s="631"/>
      <c r="G65" s="631"/>
      <c r="H65" s="631"/>
      <c r="I65" s="631"/>
      <c r="J65" s="631"/>
    </row>
    <row r="66" spans="1:10">
      <c r="A66" s="631"/>
      <c r="B66" s="631"/>
      <c r="C66" s="1300"/>
      <c r="D66" s="1256"/>
      <c r="E66" s="631"/>
      <c r="F66" s="631"/>
      <c r="G66" s="631"/>
      <c r="H66" s="631"/>
      <c r="I66" s="631"/>
      <c r="J66" s="631"/>
    </row>
    <row r="67" spans="1:10">
      <c r="A67" s="631"/>
      <c r="B67" s="1299"/>
      <c r="C67" s="631"/>
      <c r="D67" s="1256"/>
      <c r="E67" s="631"/>
      <c r="F67" s="631"/>
      <c r="G67" s="631"/>
      <c r="H67" s="631"/>
      <c r="I67" s="631"/>
      <c r="J67" s="631"/>
    </row>
    <row r="68" spans="1:10">
      <c r="A68" s="631"/>
      <c r="B68" s="631"/>
      <c r="C68" s="631"/>
      <c r="D68" s="631"/>
      <c r="E68" s="631"/>
      <c r="F68" s="631"/>
      <c r="G68" s="631"/>
      <c r="H68" s="631"/>
      <c r="I68" s="631"/>
      <c r="J68" s="631"/>
    </row>
    <row r="69" spans="1:10">
      <c r="A69" s="631"/>
      <c r="B69" s="631"/>
      <c r="C69" s="631"/>
      <c r="D69" s="631"/>
      <c r="E69" s="631"/>
      <c r="F69" s="631"/>
      <c r="G69" s="631"/>
      <c r="H69" s="631"/>
      <c r="I69" s="631"/>
      <c r="J69" s="631"/>
    </row>
    <row r="70" spans="1:10">
      <c r="A70" s="631"/>
      <c r="B70" s="631"/>
      <c r="C70" s="631"/>
      <c r="D70" s="631"/>
      <c r="E70" s="631"/>
      <c r="F70" s="631"/>
      <c r="G70" s="631"/>
      <c r="H70" s="631"/>
      <c r="I70" s="631"/>
      <c r="J70" s="631"/>
    </row>
    <row r="71" spans="1:10">
      <c r="A71" s="631"/>
      <c r="B71" s="631"/>
      <c r="C71" s="631"/>
      <c r="D71" s="631"/>
      <c r="E71" s="631"/>
      <c r="F71" s="631"/>
      <c r="G71" s="631"/>
      <c r="H71" s="631"/>
      <c r="I71" s="631"/>
      <c r="J71" s="631"/>
    </row>
  </sheetData>
  <mergeCells count="1">
    <mergeCell ref="D8:I8"/>
  </mergeCells>
  <pageMargins left="0.7" right="0.7" top="0.75" bottom="0.75" header="0.3" footer="0.3"/>
  <pageSetup scale="63" orientation="landscape" r:id="rId1"/>
  <headerFooter>
    <oddHeader>&amp;CSchedule 9-ADIT-3
EDIT - Tax Rate Change&amp;RTO2022 Annual Update 
Attachment 1</oddHeader>
    <oddFooter>&amp;R9-ADIT-3</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84"/>
  <sheetViews>
    <sheetView zoomScaleNormal="100" zoomScalePageLayoutView="90" workbookViewId="0"/>
  </sheetViews>
  <sheetFormatPr defaultRowHeight="12.5"/>
  <cols>
    <col min="1" max="1" width="4.54296875" style="14" customWidth="1"/>
    <col min="2" max="2" width="12.54296875" customWidth="1"/>
    <col min="3" max="3" width="8.54296875" customWidth="1"/>
    <col min="4" max="4" width="15.453125" bestFit="1" customWidth="1"/>
    <col min="5" max="5" width="18.54296875" customWidth="1"/>
    <col min="6" max="6" width="16.453125" customWidth="1"/>
    <col min="7" max="7" width="13.453125" customWidth="1"/>
    <col min="8" max="8" width="13.54296875" bestFit="1" customWidth="1"/>
    <col min="9" max="9" width="16.7265625" bestFit="1" customWidth="1"/>
    <col min="10" max="10" width="15.453125" customWidth="1"/>
    <col min="11" max="11" width="17.453125" customWidth="1"/>
    <col min="12" max="12" width="14.54296875" style="14" bestFit="1" customWidth="1"/>
    <col min="13" max="13" width="13.453125" bestFit="1" customWidth="1"/>
  </cols>
  <sheetData>
    <row r="1" spans="1:12" ht="13">
      <c r="A1" s="44" t="s">
        <v>533</v>
      </c>
      <c r="K1" s="1"/>
    </row>
    <row r="2" spans="1:12" ht="13">
      <c r="A2" s="44"/>
      <c r="K2" s="1"/>
    </row>
    <row r="3" spans="1:12" ht="13">
      <c r="A3" s="44"/>
      <c r="B3" s="463" t="s">
        <v>948</v>
      </c>
      <c r="K3" s="1"/>
    </row>
    <row r="4" spans="1:12" ht="13">
      <c r="B4" s="463" t="s">
        <v>537</v>
      </c>
      <c r="K4" s="1"/>
      <c r="L4" s="465"/>
    </row>
    <row r="5" spans="1:12" ht="13">
      <c r="B5" s="463"/>
      <c r="K5" s="1"/>
    </row>
    <row r="6" spans="1:12" ht="13">
      <c r="A6" s="465"/>
      <c r="B6" s="1" t="s">
        <v>1219</v>
      </c>
      <c r="E6" s="68" t="s">
        <v>2531</v>
      </c>
      <c r="F6" s="1480" t="s">
        <v>2726</v>
      </c>
      <c r="G6" s="96"/>
      <c r="K6" s="1"/>
    </row>
    <row r="7" spans="1:12" ht="13">
      <c r="A7" s="465"/>
      <c r="B7" s="1227"/>
      <c r="D7" s="84" t="s">
        <v>358</v>
      </c>
      <c r="E7" s="84" t="s">
        <v>342</v>
      </c>
      <c r="F7" s="84" t="s">
        <v>343</v>
      </c>
      <c r="G7" s="84" t="s">
        <v>344</v>
      </c>
      <c r="H7" s="84" t="s">
        <v>345</v>
      </c>
      <c r="I7" s="84" t="s">
        <v>346</v>
      </c>
      <c r="J7" s="351"/>
      <c r="K7" s="1"/>
      <c r="L7" s="351"/>
    </row>
    <row r="8" spans="1:12">
      <c r="D8" s="1142" t="s">
        <v>979</v>
      </c>
      <c r="J8" s="14"/>
      <c r="K8" s="14"/>
    </row>
    <row r="9" spans="1:12">
      <c r="D9" s="838" t="s">
        <v>540</v>
      </c>
      <c r="J9" s="14"/>
      <c r="K9" s="14"/>
    </row>
    <row r="10" spans="1:12" ht="13">
      <c r="B10" s="549"/>
      <c r="J10" s="14"/>
      <c r="K10" s="14"/>
    </row>
    <row r="11" spans="1:12" ht="13">
      <c r="B11" s="549"/>
      <c r="D11" s="549" t="s">
        <v>19</v>
      </c>
      <c r="F11" s="549" t="s">
        <v>340</v>
      </c>
      <c r="G11" s="352" t="s">
        <v>986</v>
      </c>
      <c r="H11" s="352" t="s">
        <v>987</v>
      </c>
      <c r="I11" s="549"/>
      <c r="J11" s="109"/>
      <c r="K11" s="463"/>
    </row>
    <row r="12" spans="1:12" ht="13">
      <c r="A12" s="833" t="s">
        <v>329</v>
      </c>
      <c r="B12" s="607" t="s">
        <v>192</v>
      </c>
      <c r="C12" s="607" t="s">
        <v>193</v>
      </c>
      <c r="D12" s="3" t="s">
        <v>535</v>
      </c>
      <c r="E12" s="3" t="s">
        <v>223</v>
      </c>
      <c r="F12" s="3" t="s">
        <v>341</v>
      </c>
      <c r="G12" s="353" t="s">
        <v>985</v>
      </c>
      <c r="H12" s="353" t="s">
        <v>988</v>
      </c>
      <c r="I12" s="3" t="s">
        <v>538</v>
      </c>
      <c r="J12" s="122"/>
      <c r="K12" s="463"/>
    </row>
    <row r="13" spans="1:12" ht="13">
      <c r="A13" s="109">
        <v>1</v>
      </c>
      <c r="B13" s="608" t="s">
        <v>180</v>
      </c>
      <c r="C13" s="609">
        <v>2019</v>
      </c>
      <c r="D13" s="63">
        <f>SUM(E13:I13)+SUM(D33:I33)</f>
        <v>647763205.14999998</v>
      </c>
      <c r="E13" s="510">
        <v>157682.99</v>
      </c>
      <c r="F13" s="977">
        <v>0</v>
      </c>
      <c r="G13" s="977">
        <v>5584199.04</v>
      </c>
      <c r="H13" s="977">
        <v>468121962.68000001</v>
      </c>
      <c r="I13" s="977">
        <v>0</v>
      </c>
      <c r="J13" s="610"/>
    </row>
    <row r="14" spans="1:12" ht="13">
      <c r="A14" s="109">
        <f>A13+1</f>
        <v>2</v>
      </c>
      <c r="B14" s="608" t="s">
        <v>181</v>
      </c>
      <c r="C14" s="609">
        <v>2020</v>
      </c>
      <c r="D14" s="63">
        <f t="shared" ref="D14:D25" si="0">SUM(E14:I14)+SUM(D34:I34)</f>
        <v>667317968.99000001</v>
      </c>
      <c r="E14" s="510">
        <v>157682.99</v>
      </c>
      <c r="F14" s="977">
        <v>0</v>
      </c>
      <c r="G14" s="977">
        <v>5586667.5300000003</v>
      </c>
      <c r="H14" s="977">
        <v>482863223.75999999</v>
      </c>
      <c r="I14" s="977">
        <v>0</v>
      </c>
      <c r="J14" s="610"/>
    </row>
    <row r="15" spans="1:12" ht="13">
      <c r="A15" s="109">
        <f t="shared" ref="A15:A26" si="1">A14+1</f>
        <v>3</v>
      </c>
      <c r="B15" s="611" t="s">
        <v>182</v>
      </c>
      <c r="C15" s="609">
        <v>2020</v>
      </c>
      <c r="D15" s="63">
        <f t="shared" si="0"/>
        <v>686890916.30999994</v>
      </c>
      <c r="E15" s="510">
        <v>157682.99</v>
      </c>
      <c r="F15" s="977">
        <v>0</v>
      </c>
      <c r="G15" s="977">
        <v>5589673.6299999999</v>
      </c>
      <c r="H15" s="977">
        <v>496518128.48000002</v>
      </c>
      <c r="I15" s="977">
        <v>0</v>
      </c>
      <c r="J15" s="610"/>
    </row>
    <row r="16" spans="1:12" ht="13">
      <c r="A16" s="109">
        <f t="shared" si="1"/>
        <v>4</v>
      </c>
      <c r="B16" s="611" t="s">
        <v>195</v>
      </c>
      <c r="C16" s="609">
        <v>2020</v>
      </c>
      <c r="D16" s="63">
        <f t="shared" si="0"/>
        <v>704978186.75</v>
      </c>
      <c r="E16" s="510">
        <v>157682.99</v>
      </c>
      <c r="F16" s="977">
        <v>0</v>
      </c>
      <c r="G16" s="977">
        <v>5593394.5</v>
      </c>
      <c r="H16" s="977">
        <v>508749996.74000001</v>
      </c>
      <c r="I16" s="977">
        <v>0</v>
      </c>
      <c r="J16" s="610"/>
    </row>
    <row r="17" spans="1:11" ht="13">
      <c r="A17" s="109">
        <f t="shared" si="1"/>
        <v>5</v>
      </c>
      <c r="B17" s="608" t="s">
        <v>183</v>
      </c>
      <c r="C17" s="609">
        <v>2020</v>
      </c>
      <c r="D17" s="63">
        <f t="shared" si="0"/>
        <v>736136537.35000002</v>
      </c>
      <c r="E17" s="510">
        <v>158151.93</v>
      </c>
      <c r="F17" s="977">
        <v>0</v>
      </c>
      <c r="G17" s="977">
        <v>5614689.6399999997</v>
      </c>
      <c r="H17" s="977">
        <v>530178178.39999998</v>
      </c>
      <c r="I17" s="977">
        <v>0</v>
      </c>
      <c r="J17" s="610"/>
    </row>
    <row r="18" spans="1:11" ht="13">
      <c r="A18" s="109">
        <f t="shared" si="1"/>
        <v>6</v>
      </c>
      <c r="B18" s="611" t="s">
        <v>184</v>
      </c>
      <c r="C18" s="609">
        <v>2020</v>
      </c>
      <c r="D18" s="63">
        <f t="shared" si="0"/>
        <v>766315723.44000006</v>
      </c>
      <c r="E18" s="510">
        <v>158151.93</v>
      </c>
      <c r="F18" s="977">
        <v>0</v>
      </c>
      <c r="G18" s="977">
        <v>5617457.7699999996</v>
      </c>
      <c r="H18" s="977">
        <v>550183294.63999999</v>
      </c>
      <c r="I18" s="977">
        <v>0</v>
      </c>
      <c r="J18" s="610"/>
    </row>
    <row r="19" spans="1:11" ht="13">
      <c r="A19" s="109">
        <f t="shared" si="1"/>
        <v>7</v>
      </c>
      <c r="B19" s="611" t="s">
        <v>185</v>
      </c>
      <c r="C19" s="609">
        <v>2020</v>
      </c>
      <c r="D19" s="63">
        <f t="shared" si="0"/>
        <v>777699897.32999992</v>
      </c>
      <c r="E19" s="510">
        <v>158151.93</v>
      </c>
      <c r="F19" s="977">
        <v>0</v>
      </c>
      <c r="G19" s="977">
        <v>5621300.7199999997</v>
      </c>
      <c r="H19" s="977">
        <v>566551864.49000001</v>
      </c>
      <c r="I19" s="977">
        <v>0</v>
      </c>
      <c r="J19" s="610"/>
    </row>
    <row r="20" spans="1:11" ht="13">
      <c r="A20" s="109">
        <f t="shared" si="1"/>
        <v>8</v>
      </c>
      <c r="B20" s="608" t="s">
        <v>186</v>
      </c>
      <c r="C20" s="609">
        <v>2020</v>
      </c>
      <c r="D20" s="63">
        <f t="shared" si="0"/>
        <v>806560747.9000001</v>
      </c>
      <c r="E20" s="510">
        <v>158151.93</v>
      </c>
      <c r="F20" s="977">
        <v>0</v>
      </c>
      <c r="G20" s="977">
        <v>5625043.7599999998</v>
      </c>
      <c r="H20" s="977">
        <v>583538005.36000001</v>
      </c>
      <c r="I20" s="977">
        <v>0</v>
      </c>
      <c r="J20" s="610"/>
    </row>
    <row r="21" spans="1:11" ht="13">
      <c r="A21" s="109">
        <f t="shared" si="1"/>
        <v>9</v>
      </c>
      <c r="B21" s="611" t="s">
        <v>187</v>
      </c>
      <c r="C21" s="609">
        <v>2020</v>
      </c>
      <c r="D21" s="63">
        <f t="shared" si="0"/>
        <v>832809381.27999997</v>
      </c>
      <c r="E21" s="510">
        <v>158359.37</v>
      </c>
      <c r="F21" s="977">
        <v>0</v>
      </c>
      <c r="G21" s="977">
        <v>5631722.46</v>
      </c>
      <c r="H21" s="977">
        <v>600823159.78999996</v>
      </c>
      <c r="I21" s="977">
        <v>0</v>
      </c>
      <c r="J21" s="610"/>
    </row>
    <row r="22" spans="1:11" ht="13">
      <c r="A22" s="109">
        <f t="shared" si="1"/>
        <v>10</v>
      </c>
      <c r="B22" s="611" t="s">
        <v>188</v>
      </c>
      <c r="C22" s="609">
        <v>2020</v>
      </c>
      <c r="D22" s="63">
        <f t="shared" si="0"/>
        <v>855968170.97000003</v>
      </c>
      <c r="E22" s="510">
        <v>158440.59</v>
      </c>
      <c r="F22" s="977">
        <v>0</v>
      </c>
      <c r="G22" s="977">
        <v>5642785.7199999997</v>
      </c>
      <c r="H22" s="977">
        <v>611907653.34000003</v>
      </c>
      <c r="I22" s="977">
        <v>0</v>
      </c>
      <c r="J22" s="610"/>
    </row>
    <row r="23" spans="1:11" ht="13">
      <c r="A23" s="109">
        <f t="shared" si="1"/>
        <v>11</v>
      </c>
      <c r="B23" s="608" t="s">
        <v>189</v>
      </c>
      <c r="C23" s="609">
        <v>2020</v>
      </c>
      <c r="D23" s="63">
        <f t="shared" si="0"/>
        <v>912409513.13999987</v>
      </c>
      <c r="E23" s="510">
        <v>158428.57999999999</v>
      </c>
      <c r="F23" s="977">
        <v>0</v>
      </c>
      <c r="G23" s="977">
        <v>5670586.46</v>
      </c>
      <c r="H23" s="977">
        <v>626112034.00999999</v>
      </c>
      <c r="I23" s="977">
        <v>0</v>
      </c>
      <c r="J23" s="610"/>
    </row>
    <row r="24" spans="1:11" ht="13">
      <c r="A24" s="109">
        <f t="shared" si="1"/>
        <v>12</v>
      </c>
      <c r="B24" s="608" t="s">
        <v>190</v>
      </c>
      <c r="C24" s="609">
        <v>2020</v>
      </c>
      <c r="D24" s="63">
        <f t="shared" si="0"/>
        <v>931298657.17999995</v>
      </c>
      <c r="E24" s="510">
        <v>158428.57999999999</v>
      </c>
      <c r="F24" s="977">
        <v>0</v>
      </c>
      <c r="G24" s="977">
        <v>5698173.5300000003</v>
      </c>
      <c r="H24" s="977">
        <v>628963154.42999995</v>
      </c>
      <c r="I24" s="977">
        <v>0</v>
      </c>
      <c r="J24" s="610"/>
    </row>
    <row r="25" spans="1:11" ht="13">
      <c r="A25" s="109">
        <f t="shared" si="1"/>
        <v>13</v>
      </c>
      <c r="B25" s="608" t="s">
        <v>180</v>
      </c>
      <c r="C25" s="609">
        <v>2020</v>
      </c>
      <c r="D25" s="110">
        <f t="shared" si="0"/>
        <v>974174702.11999989</v>
      </c>
      <c r="E25" s="395">
        <v>160227</v>
      </c>
      <c r="F25" s="115">
        <v>0</v>
      </c>
      <c r="G25" s="115">
        <v>5772572.9199999999</v>
      </c>
      <c r="H25" s="115">
        <v>650835316.65999997</v>
      </c>
      <c r="I25" s="115">
        <v>0</v>
      </c>
      <c r="J25" s="610"/>
    </row>
    <row r="26" spans="1:11" ht="13">
      <c r="A26" s="109">
        <f t="shared" si="1"/>
        <v>14</v>
      </c>
      <c r="B26" s="1143"/>
      <c r="C26" s="612" t="s">
        <v>536</v>
      </c>
      <c r="D26" s="508">
        <f t="shared" ref="D26:I26" si="2">SUM(D13:D25)/13</f>
        <v>792332585.2238462</v>
      </c>
      <c r="E26" s="508">
        <f t="shared" si="2"/>
        <v>158247.98461538463</v>
      </c>
      <c r="F26" s="508">
        <f t="shared" si="2"/>
        <v>0</v>
      </c>
      <c r="G26" s="508">
        <f t="shared" si="2"/>
        <v>5634482.1292307684</v>
      </c>
      <c r="H26" s="508">
        <f t="shared" si="2"/>
        <v>561949690.21384621</v>
      </c>
      <c r="I26" s="508">
        <f t="shared" si="2"/>
        <v>0</v>
      </c>
      <c r="J26" s="610"/>
      <c r="K26" s="610"/>
    </row>
    <row r="27" spans="1:11" ht="13">
      <c r="A27" s="109"/>
      <c r="B27" s="608"/>
      <c r="C27" s="612"/>
      <c r="D27" s="508"/>
      <c r="E27" s="508"/>
      <c r="F27" s="508"/>
      <c r="G27" s="508"/>
      <c r="H27" s="508"/>
      <c r="I27" s="610"/>
      <c r="J27" s="467"/>
      <c r="K27" s="610"/>
    </row>
    <row r="28" spans="1:11" ht="13">
      <c r="A28" s="109"/>
      <c r="B28" s="608"/>
      <c r="C28" s="612"/>
      <c r="D28" s="84" t="s">
        <v>347</v>
      </c>
      <c r="E28" s="84" t="s">
        <v>534</v>
      </c>
      <c r="F28" s="84" t="s">
        <v>949</v>
      </c>
      <c r="G28" s="84" t="s">
        <v>961</v>
      </c>
      <c r="H28" s="84" t="s">
        <v>964</v>
      </c>
      <c r="I28" s="84" t="s">
        <v>982</v>
      </c>
      <c r="J28" s="1432" t="s">
        <v>1459</v>
      </c>
      <c r="K28" s="351"/>
    </row>
    <row r="29" spans="1:11" ht="13">
      <c r="A29" s="109"/>
      <c r="B29" s="608"/>
      <c r="C29" s="612"/>
      <c r="E29" s="352" t="s">
        <v>983</v>
      </c>
      <c r="F29" s="352"/>
      <c r="G29" s="352"/>
      <c r="H29" s="508"/>
      <c r="I29" s="610"/>
      <c r="J29" s="1091"/>
      <c r="K29" s="610"/>
    </row>
    <row r="30" spans="1:11" ht="13">
      <c r="B30" s="549"/>
      <c r="D30" s="549" t="s">
        <v>980</v>
      </c>
      <c r="E30" s="549" t="s">
        <v>984</v>
      </c>
      <c r="F30" s="1336"/>
      <c r="G30" s="1336"/>
      <c r="H30" s="1336"/>
      <c r="I30" s="352"/>
      <c r="J30" s="1091"/>
      <c r="K30" s="610"/>
    </row>
    <row r="31" spans="1:11" ht="13">
      <c r="B31" s="549"/>
      <c r="D31" s="549" t="s">
        <v>422</v>
      </c>
      <c r="E31" s="549" t="s">
        <v>422</v>
      </c>
      <c r="F31" s="1345"/>
      <c r="G31" s="1345"/>
      <c r="H31" s="1346" t="s">
        <v>2679</v>
      </c>
      <c r="I31" s="352"/>
      <c r="J31" s="1413"/>
      <c r="K31" s="352"/>
    </row>
    <row r="32" spans="1:11" ht="13">
      <c r="A32" s="833" t="s">
        <v>329</v>
      </c>
      <c r="B32" s="607" t="s">
        <v>192</v>
      </c>
      <c r="C32" s="607" t="s">
        <v>193</v>
      </c>
      <c r="D32" s="3" t="s">
        <v>981</v>
      </c>
      <c r="E32" s="3" t="s">
        <v>981</v>
      </c>
      <c r="F32" s="1345" t="s">
        <v>2418</v>
      </c>
      <c r="G32" s="1345" t="s">
        <v>2419</v>
      </c>
      <c r="H32" s="1345" t="s">
        <v>2680</v>
      </c>
      <c r="I32" s="353" t="s">
        <v>2727</v>
      </c>
      <c r="J32" s="354"/>
      <c r="K32" s="353"/>
    </row>
    <row r="33" spans="1:11" ht="13">
      <c r="A33" s="109">
        <f>+A26+1</f>
        <v>15</v>
      </c>
      <c r="B33" s="608" t="s">
        <v>180</v>
      </c>
      <c r="C33" s="609">
        <v>2019</v>
      </c>
      <c r="D33" s="977">
        <v>0</v>
      </c>
      <c r="E33" s="977">
        <v>301246.76</v>
      </c>
      <c r="F33" s="1410">
        <v>49854942.909999996</v>
      </c>
      <c r="G33" s="1410">
        <v>22001340.41</v>
      </c>
      <c r="H33" s="1410">
        <v>101741830.36</v>
      </c>
      <c r="I33" s="1067">
        <v>0</v>
      </c>
      <c r="J33" s="1067"/>
      <c r="K33" s="1415"/>
    </row>
    <row r="34" spans="1:11" ht="13">
      <c r="A34" s="109">
        <f>A33+1</f>
        <v>16</v>
      </c>
      <c r="B34" s="608" t="s">
        <v>181</v>
      </c>
      <c r="C34" s="609">
        <v>2020</v>
      </c>
      <c r="D34" s="977">
        <v>0</v>
      </c>
      <c r="E34" s="977">
        <v>314578.90999999997</v>
      </c>
      <c r="F34" s="1410">
        <v>52597528.799999997</v>
      </c>
      <c r="G34" s="1410">
        <v>22150961.780000001</v>
      </c>
      <c r="H34" s="1410">
        <v>103647325.22</v>
      </c>
      <c r="I34" s="1067">
        <v>0</v>
      </c>
      <c r="J34" s="1067"/>
      <c r="K34" s="1415"/>
    </row>
    <row r="35" spans="1:11" ht="13">
      <c r="A35" s="109">
        <f t="shared" ref="A35:A46" si="3">A34+1</f>
        <v>17</v>
      </c>
      <c r="B35" s="611" t="s">
        <v>182</v>
      </c>
      <c r="C35" s="609">
        <v>2020</v>
      </c>
      <c r="D35" s="977">
        <v>0</v>
      </c>
      <c r="E35" s="977">
        <v>327688.84999999998</v>
      </c>
      <c r="F35" s="1410">
        <v>57215990.810000002</v>
      </c>
      <c r="G35" s="1410">
        <v>22202739.25</v>
      </c>
      <c r="H35" s="1410">
        <v>104879012.3</v>
      </c>
      <c r="I35" s="1067">
        <v>0</v>
      </c>
      <c r="J35" s="1067"/>
      <c r="K35" s="1415"/>
    </row>
    <row r="36" spans="1:11" ht="13">
      <c r="A36" s="109">
        <f t="shared" si="3"/>
        <v>18</v>
      </c>
      <c r="B36" s="611" t="s">
        <v>195</v>
      </c>
      <c r="C36" s="609">
        <v>2020</v>
      </c>
      <c r="D36" s="977">
        <v>0</v>
      </c>
      <c r="E36" s="977">
        <v>352874.55</v>
      </c>
      <c r="F36" s="1410">
        <v>62131624.969999999</v>
      </c>
      <c r="G36" s="1410">
        <v>22303967.489999998</v>
      </c>
      <c r="H36" s="1410">
        <v>105688645.51000001</v>
      </c>
      <c r="I36" s="1067">
        <v>0</v>
      </c>
      <c r="J36" s="1067"/>
      <c r="K36" s="1415"/>
    </row>
    <row r="37" spans="1:11" ht="13">
      <c r="A37" s="109">
        <f t="shared" si="3"/>
        <v>19</v>
      </c>
      <c r="B37" s="608" t="s">
        <v>183</v>
      </c>
      <c r="C37" s="609">
        <v>2020</v>
      </c>
      <c r="D37" s="977">
        <v>0</v>
      </c>
      <c r="E37" s="977">
        <v>455738.93</v>
      </c>
      <c r="F37" s="1410">
        <v>70825720.700000003</v>
      </c>
      <c r="G37" s="1410">
        <v>22527953.600000001</v>
      </c>
      <c r="H37" s="1410">
        <v>106376104.15000001</v>
      </c>
      <c r="I37" s="1067">
        <v>0</v>
      </c>
      <c r="J37" s="1067"/>
      <c r="K37" s="1415"/>
    </row>
    <row r="38" spans="1:11" ht="13">
      <c r="A38" s="109">
        <f t="shared" si="3"/>
        <v>20</v>
      </c>
      <c r="B38" s="611" t="s">
        <v>184</v>
      </c>
      <c r="C38" s="609">
        <v>2020</v>
      </c>
      <c r="D38" s="977">
        <v>0</v>
      </c>
      <c r="E38" s="977">
        <v>464585.92</v>
      </c>
      <c r="F38" s="1410">
        <v>80230177.480000004</v>
      </c>
      <c r="G38" s="1410">
        <v>22630008.969999999</v>
      </c>
      <c r="H38" s="1410">
        <v>107032046.73</v>
      </c>
      <c r="I38" s="1067">
        <v>0</v>
      </c>
      <c r="J38" s="1067"/>
      <c r="K38" s="1415"/>
    </row>
    <row r="39" spans="1:11" ht="13">
      <c r="A39" s="109">
        <f t="shared" si="3"/>
        <v>21</v>
      </c>
      <c r="B39" s="611" t="s">
        <v>185</v>
      </c>
      <c r="C39" s="609">
        <v>2020</v>
      </c>
      <c r="D39" s="977">
        <v>0</v>
      </c>
      <c r="E39" s="977">
        <v>482716.26</v>
      </c>
      <c r="F39" s="1410">
        <v>74589472.019999996</v>
      </c>
      <c r="G39" s="1410">
        <v>22721075.100000001</v>
      </c>
      <c r="H39" s="1410">
        <v>107575316.81</v>
      </c>
      <c r="I39" s="1067">
        <v>0</v>
      </c>
      <c r="J39" s="1067"/>
      <c r="K39" s="1415"/>
    </row>
    <row r="40" spans="1:11" ht="13">
      <c r="A40" s="109">
        <f t="shared" si="3"/>
        <v>22</v>
      </c>
      <c r="B40" s="608" t="s">
        <v>186</v>
      </c>
      <c r="C40" s="609">
        <v>2020</v>
      </c>
      <c r="D40" s="977">
        <v>0</v>
      </c>
      <c r="E40" s="977">
        <v>2040898.35</v>
      </c>
      <c r="F40" s="1410">
        <v>83350309.900000006</v>
      </c>
      <c r="G40" s="1410">
        <v>23075589.440000001</v>
      </c>
      <c r="H40" s="1410">
        <v>108772749.16</v>
      </c>
      <c r="I40" s="1067">
        <v>0</v>
      </c>
      <c r="J40" s="1067"/>
      <c r="K40" s="1415"/>
    </row>
    <row r="41" spans="1:11" ht="13">
      <c r="A41" s="109">
        <f>A40+1</f>
        <v>23</v>
      </c>
      <c r="B41" s="611" t="s">
        <v>187</v>
      </c>
      <c r="C41" s="609">
        <v>2020</v>
      </c>
      <c r="D41" s="977">
        <v>0</v>
      </c>
      <c r="E41" s="977">
        <v>2559044.91</v>
      </c>
      <c r="F41" s="1410">
        <v>90752927.450000003</v>
      </c>
      <c r="G41" s="1410">
        <v>23141985.949999999</v>
      </c>
      <c r="H41" s="1410">
        <v>109742181.34999999</v>
      </c>
      <c r="I41" s="1067">
        <v>0</v>
      </c>
      <c r="J41" s="1067"/>
      <c r="K41" s="1415"/>
    </row>
    <row r="42" spans="1:11" ht="13">
      <c r="A42" s="109">
        <f t="shared" si="3"/>
        <v>24</v>
      </c>
      <c r="B42" s="611" t="s">
        <v>188</v>
      </c>
      <c r="C42" s="609">
        <v>2020</v>
      </c>
      <c r="D42" s="977">
        <v>0</v>
      </c>
      <c r="E42" s="977">
        <v>2712680.34</v>
      </c>
      <c r="F42" s="1410">
        <v>98713183.930000007</v>
      </c>
      <c r="G42" s="1410">
        <v>23227270.989999998</v>
      </c>
      <c r="H42" s="1410">
        <v>113606156.06</v>
      </c>
      <c r="I42" s="1067">
        <v>0</v>
      </c>
      <c r="J42" s="1067"/>
      <c r="K42" s="1415"/>
    </row>
    <row r="43" spans="1:11" ht="13">
      <c r="A43" s="109">
        <f t="shared" si="3"/>
        <v>25</v>
      </c>
      <c r="B43" s="608" t="s">
        <v>189</v>
      </c>
      <c r="C43" s="609">
        <v>2020</v>
      </c>
      <c r="D43" s="977">
        <v>0</v>
      </c>
      <c r="E43" s="977">
        <v>4219773.9400000004</v>
      </c>
      <c r="F43" s="1410">
        <v>107780542.37</v>
      </c>
      <c r="G43" s="1410">
        <v>23404470.07</v>
      </c>
      <c r="H43" s="1410">
        <v>122055717.27</v>
      </c>
      <c r="I43" s="1067">
        <v>23007960.440000001</v>
      </c>
      <c r="J43" s="1067"/>
      <c r="K43" s="1415"/>
    </row>
    <row r="44" spans="1:11" ht="13">
      <c r="A44" s="109">
        <f t="shared" si="3"/>
        <v>26</v>
      </c>
      <c r="B44" s="608" t="s">
        <v>190</v>
      </c>
      <c r="C44" s="609">
        <v>2020</v>
      </c>
      <c r="D44" s="977">
        <v>0</v>
      </c>
      <c r="E44" s="977">
        <v>4913048.93</v>
      </c>
      <c r="F44" s="1421">
        <v>117426140.42</v>
      </c>
      <c r="G44" s="1421">
        <v>23468082.98</v>
      </c>
      <c r="H44" s="988">
        <v>127566107.83</v>
      </c>
      <c r="I44" s="1067">
        <v>23105520.48</v>
      </c>
      <c r="J44" s="1067"/>
      <c r="K44" s="1415"/>
    </row>
    <row r="45" spans="1:11" ht="13">
      <c r="A45" s="109">
        <f t="shared" si="3"/>
        <v>27</v>
      </c>
      <c r="B45" s="608" t="s">
        <v>180</v>
      </c>
      <c r="C45" s="609">
        <v>2020</v>
      </c>
      <c r="D45" s="115">
        <v>0</v>
      </c>
      <c r="E45" s="115">
        <v>5327831.78</v>
      </c>
      <c r="F45" s="1422">
        <v>130044184.2</v>
      </c>
      <c r="G45" s="1422">
        <v>23818399.359999999</v>
      </c>
      <c r="H45" s="1423">
        <v>134608216.12</v>
      </c>
      <c r="I45" s="1414">
        <v>23607954.079999998</v>
      </c>
      <c r="J45" s="1414"/>
      <c r="K45" s="1416"/>
    </row>
    <row r="46" spans="1:11" ht="13">
      <c r="A46" s="109">
        <f t="shared" si="3"/>
        <v>28</v>
      </c>
      <c r="B46" s="1143"/>
      <c r="C46" s="612" t="s">
        <v>536</v>
      </c>
      <c r="D46" s="508">
        <f t="shared" ref="D46:I46" si="4">SUM(D33:D45)/13</f>
        <v>0</v>
      </c>
      <c r="E46" s="508">
        <f t="shared" si="4"/>
        <v>1882516.0330769231</v>
      </c>
      <c r="F46" s="508">
        <f t="shared" si="4"/>
        <v>82731749.68923077</v>
      </c>
      <c r="G46" s="508">
        <f t="shared" si="4"/>
        <v>22821065.029999997</v>
      </c>
      <c r="H46" s="508">
        <f t="shared" si="4"/>
        <v>111791646.83615384</v>
      </c>
      <c r="I46" s="508">
        <f t="shared" si="4"/>
        <v>5363187.307692308</v>
      </c>
      <c r="J46" s="1029" t="s">
        <v>76</v>
      </c>
      <c r="K46" s="613"/>
    </row>
    <row r="48" spans="1:11" ht="13">
      <c r="B48" s="614" t="s">
        <v>1913</v>
      </c>
    </row>
    <row r="49" spans="1:13" ht="13">
      <c r="B49" s="614"/>
      <c r="D49" s="640" t="s">
        <v>358</v>
      </c>
      <c r="E49" s="640" t="s">
        <v>342</v>
      </c>
      <c r="F49" s="640" t="s">
        <v>343</v>
      </c>
      <c r="G49" s="640" t="s">
        <v>344</v>
      </c>
      <c r="H49" s="640" t="s">
        <v>345</v>
      </c>
      <c r="I49" s="640" t="s">
        <v>346</v>
      </c>
      <c r="J49" s="640" t="s">
        <v>347</v>
      </c>
      <c r="K49" s="640" t="s">
        <v>534</v>
      </c>
    </row>
    <row r="50" spans="1:13" s="641" customFormat="1">
      <c r="A50" s="778"/>
      <c r="D50" s="464" t="s">
        <v>211</v>
      </c>
      <c r="E50" s="464" t="s">
        <v>211</v>
      </c>
      <c r="F50" s="464" t="s">
        <v>211</v>
      </c>
      <c r="G50" s="464" t="s">
        <v>211</v>
      </c>
      <c r="H50" s="464" t="s">
        <v>211</v>
      </c>
      <c r="I50" s="464" t="s">
        <v>211</v>
      </c>
      <c r="J50" s="464" t="s">
        <v>211</v>
      </c>
      <c r="K50" s="464" t="s">
        <v>211</v>
      </c>
      <c r="L50" s="778"/>
    </row>
    <row r="51" spans="1:13" ht="13">
      <c r="G51" s="549" t="s">
        <v>1914</v>
      </c>
      <c r="K51" s="642"/>
    </row>
    <row r="52" spans="1:13" ht="13">
      <c r="A52" s="642"/>
      <c r="B52" s="642"/>
      <c r="C52" s="642"/>
      <c r="D52" s="642" t="s">
        <v>198</v>
      </c>
      <c r="E52" s="642" t="s">
        <v>1897</v>
      </c>
      <c r="F52" s="642" t="s">
        <v>1915</v>
      </c>
      <c r="G52" s="642" t="s">
        <v>196</v>
      </c>
      <c r="H52" s="642" t="s">
        <v>1916</v>
      </c>
      <c r="I52" s="643" t="s">
        <v>1917</v>
      </c>
      <c r="J52" s="642" t="s">
        <v>198</v>
      </c>
      <c r="K52" s="642" t="s">
        <v>18</v>
      </c>
    </row>
    <row r="53" spans="1:13" ht="13">
      <c r="A53" s="833" t="s">
        <v>329</v>
      </c>
      <c r="B53" s="607" t="s">
        <v>192</v>
      </c>
      <c r="C53" s="607" t="s">
        <v>193</v>
      </c>
      <c r="D53" s="640" t="s">
        <v>1918</v>
      </c>
      <c r="E53" s="640" t="s">
        <v>1898</v>
      </c>
      <c r="F53" s="640" t="s">
        <v>1919</v>
      </c>
      <c r="G53" s="640" t="s">
        <v>1920</v>
      </c>
      <c r="H53" s="640" t="s">
        <v>1921</v>
      </c>
      <c r="I53" s="640" t="s">
        <v>1922</v>
      </c>
      <c r="J53" s="640" t="s">
        <v>1923</v>
      </c>
      <c r="K53" s="3" t="s">
        <v>1924</v>
      </c>
    </row>
    <row r="54" spans="1:13" ht="13">
      <c r="A54" s="109">
        <f>A46+1</f>
        <v>29</v>
      </c>
      <c r="B54" s="608" t="s">
        <v>180</v>
      </c>
      <c r="C54" s="609">
        <v>2020</v>
      </c>
      <c r="D54" s="649" t="s">
        <v>76</v>
      </c>
      <c r="E54" s="649" t="s">
        <v>76</v>
      </c>
      <c r="F54" s="649" t="s">
        <v>76</v>
      </c>
      <c r="G54" s="649" t="s">
        <v>76</v>
      </c>
      <c r="H54" s="649" t="s">
        <v>76</v>
      </c>
      <c r="I54" s="649" t="s">
        <v>76</v>
      </c>
      <c r="J54" s="7">
        <f>D25</f>
        <v>974174702.11999989</v>
      </c>
      <c r="K54" s="649" t="s">
        <v>76</v>
      </c>
    </row>
    <row r="55" spans="1:13" ht="13">
      <c r="A55" s="109">
        <f>A54+1</f>
        <v>30</v>
      </c>
      <c r="B55" s="608" t="s">
        <v>181</v>
      </c>
      <c r="C55" s="609">
        <v>2021</v>
      </c>
      <c r="D55" s="7">
        <f t="shared" ref="D55:K55" si="5">D89+D122+D155+D188+D221+D254+D287+D320+D353+D386+D419</f>
        <v>13419719.819800001</v>
      </c>
      <c r="E55" s="7">
        <f t="shared" si="5"/>
        <v>1006478.986485</v>
      </c>
      <c r="F55" s="7">
        <f t="shared" si="5"/>
        <v>14426198.806284998</v>
      </c>
      <c r="G55" s="7">
        <f t="shared" si="5"/>
        <v>13625514.4318</v>
      </c>
      <c r="H55" s="7">
        <f t="shared" si="5"/>
        <v>13498671.640000001</v>
      </c>
      <c r="I55" s="7">
        <f t="shared" si="5"/>
        <v>9513.2093850000529</v>
      </c>
      <c r="J55" s="7">
        <f t="shared" si="5"/>
        <v>974965873.28509998</v>
      </c>
      <c r="K55" s="7">
        <f t="shared" si="5"/>
        <v>791171.16510002315</v>
      </c>
      <c r="L55" s="775"/>
      <c r="M55" s="7"/>
    </row>
    <row r="56" spans="1:13" ht="13">
      <c r="A56" s="109">
        <f t="shared" ref="A56:A79" si="6">A55+1</f>
        <v>31</v>
      </c>
      <c r="B56" s="611" t="s">
        <v>182</v>
      </c>
      <c r="C56" s="609">
        <v>2021</v>
      </c>
      <c r="D56" s="7">
        <f t="shared" ref="D56:K56" si="7">D90+D123+D156+D189+D222+D255+D288+D321+D354+D387+D420</f>
        <v>16488367.842399999</v>
      </c>
      <c r="E56" s="7">
        <f t="shared" si="7"/>
        <v>1236627.5881799997</v>
      </c>
      <c r="F56" s="7">
        <f t="shared" si="7"/>
        <v>17724995.430579998</v>
      </c>
      <c r="G56" s="7">
        <f t="shared" si="7"/>
        <v>-380130.16160000011</v>
      </c>
      <c r="H56" s="7">
        <f t="shared" si="7"/>
        <v>0</v>
      </c>
      <c r="I56" s="7">
        <f t="shared" si="7"/>
        <v>-28509.762120000007</v>
      </c>
      <c r="J56" s="7">
        <f t="shared" si="7"/>
        <v>993099508.63939989</v>
      </c>
      <c r="K56" s="7">
        <f t="shared" si="7"/>
        <v>18924806.519399974</v>
      </c>
      <c r="L56" s="775"/>
      <c r="M56" s="7"/>
    </row>
    <row r="57" spans="1:13" ht="13">
      <c r="A57" s="109">
        <f t="shared" si="6"/>
        <v>32</v>
      </c>
      <c r="B57" s="611" t="s">
        <v>195</v>
      </c>
      <c r="C57" s="609">
        <v>2021</v>
      </c>
      <c r="D57" s="7">
        <f t="shared" ref="D57:K57" si="8">D91+D124+D157+D190+D223+D256+D289+D322+D355+D388+D421</f>
        <v>13325996.853399999</v>
      </c>
      <c r="E57" s="7">
        <f t="shared" si="8"/>
        <v>999449.764005</v>
      </c>
      <c r="F57" s="7">
        <f t="shared" si="8"/>
        <v>14325446.617404999</v>
      </c>
      <c r="G57" s="7">
        <f t="shared" si="8"/>
        <v>173982.38939999999</v>
      </c>
      <c r="H57" s="7">
        <f t="shared" si="8"/>
        <v>0</v>
      </c>
      <c r="I57" s="7">
        <f t="shared" si="8"/>
        <v>13048.679204999999</v>
      </c>
      <c r="J57" s="7">
        <f t="shared" si="8"/>
        <v>1007237924.1881999</v>
      </c>
      <c r="K57" s="7">
        <f t="shared" si="8"/>
        <v>33063222.068199947</v>
      </c>
      <c r="L57" s="775"/>
      <c r="M57" s="7"/>
    </row>
    <row r="58" spans="1:13" ht="13">
      <c r="A58" s="109">
        <f t="shared" si="6"/>
        <v>33</v>
      </c>
      <c r="B58" s="608" t="s">
        <v>183</v>
      </c>
      <c r="C58" s="609">
        <v>2021</v>
      </c>
      <c r="D58" s="7">
        <f t="shared" ref="D58:K58" si="9">D92+D125+D158+D191+D224+D257+D290+D323+D356+D389+D422</f>
        <v>20701972.908999998</v>
      </c>
      <c r="E58" s="7">
        <f t="shared" si="9"/>
        <v>1552647.9681749998</v>
      </c>
      <c r="F58" s="7">
        <f t="shared" si="9"/>
        <v>22254620.877175003</v>
      </c>
      <c r="G58" s="7">
        <f t="shared" si="9"/>
        <v>25406708.900000002</v>
      </c>
      <c r="H58" s="7">
        <f t="shared" si="9"/>
        <v>22566341.899999999</v>
      </c>
      <c r="I58" s="7">
        <f t="shared" si="9"/>
        <v>213027.52500000029</v>
      </c>
      <c r="J58" s="7">
        <f t="shared" si="9"/>
        <v>1003872808.640375</v>
      </c>
      <c r="K58" s="7">
        <f t="shared" si="9"/>
        <v>29698106.520374931</v>
      </c>
      <c r="L58" s="775"/>
      <c r="M58" s="7"/>
    </row>
    <row r="59" spans="1:13" ht="13">
      <c r="A59" s="109">
        <f t="shared" si="6"/>
        <v>34</v>
      </c>
      <c r="B59" s="611" t="s">
        <v>184</v>
      </c>
      <c r="C59" s="609">
        <v>2021</v>
      </c>
      <c r="D59" s="7">
        <f t="shared" ref="D59:K59" si="10">D93+D126+D159+D192+D225+D258+D291+D324+D357+D390+D423</f>
        <v>17590775.908999998</v>
      </c>
      <c r="E59" s="7">
        <f t="shared" si="10"/>
        <v>1319308.1931749999</v>
      </c>
      <c r="F59" s="7">
        <f t="shared" si="10"/>
        <v>18910084.102174997</v>
      </c>
      <c r="G59" s="7">
        <f t="shared" si="10"/>
        <v>653917789.59999979</v>
      </c>
      <c r="H59" s="7">
        <f t="shared" si="10"/>
        <v>628718265.59999979</v>
      </c>
      <c r="I59" s="7">
        <f t="shared" si="10"/>
        <v>1889964.2999999998</v>
      </c>
      <c r="J59" s="7">
        <f t="shared" si="10"/>
        <v>366975138.8425501</v>
      </c>
      <c r="K59" s="7">
        <f t="shared" si="10"/>
        <v>-607199563.27744985</v>
      </c>
      <c r="L59" s="775"/>
      <c r="M59" s="7"/>
    </row>
    <row r="60" spans="1:13" ht="13">
      <c r="A60" s="109">
        <f t="shared" si="6"/>
        <v>35</v>
      </c>
      <c r="B60" s="611" t="s">
        <v>1458</v>
      </c>
      <c r="C60" s="609">
        <v>2021</v>
      </c>
      <c r="D60" s="7">
        <f t="shared" ref="D60:K60" si="11">D94+D127+D160+D193+D226+D259+D292+D325+D358+D391+D424</f>
        <v>16461014.983999999</v>
      </c>
      <c r="E60" s="7">
        <f t="shared" si="11"/>
        <v>1234576.1237999999</v>
      </c>
      <c r="F60" s="7">
        <f t="shared" si="11"/>
        <v>17695591.107799999</v>
      </c>
      <c r="G60" s="7">
        <f t="shared" si="11"/>
        <v>6727999.9400000004</v>
      </c>
      <c r="H60" s="7">
        <f t="shared" si="11"/>
        <v>159289.94</v>
      </c>
      <c r="I60" s="7">
        <f t="shared" si="11"/>
        <v>492653.25</v>
      </c>
      <c r="J60" s="7">
        <f t="shared" si="11"/>
        <v>377450076.76035005</v>
      </c>
      <c r="K60" s="7">
        <f t="shared" si="11"/>
        <v>-596724625.3596499</v>
      </c>
      <c r="L60" s="775"/>
      <c r="M60" s="7"/>
    </row>
    <row r="61" spans="1:13" ht="13">
      <c r="A61" s="109">
        <f t="shared" si="6"/>
        <v>36</v>
      </c>
      <c r="B61" s="608" t="s">
        <v>186</v>
      </c>
      <c r="C61" s="609">
        <v>2021</v>
      </c>
      <c r="D61" s="7">
        <f t="shared" ref="D61:K61" si="12">D95+D128+D161+D194+D227+D260+D293+D326+D359+D392+D425</f>
        <v>13061783.333999999</v>
      </c>
      <c r="E61" s="7">
        <f t="shared" si="12"/>
        <v>979633.75005000015</v>
      </c>
      <c r="F61" s="7">
        <f t="shared" si="12"/>
        <v>14041417.084050002</v>
      </c>
      <c r="G61" s="7">
        <f t="shared" si="12"/>
        <v>9490707.7799999993</v>
      </c>
      <c r="H61" s="7">
        <f t="shared" si="12"/>
        <v>6279995.7800000003</v>
      </c>
      <c r="I61" s="7">
        <f t="shared" si="12"/>
        <v>240803.39999999991</v>
      </c>
      <c r="J61" s="7">
        <f t="shared" si="12"/>
        <v>381759982.66440004</v>
      </c>
      <c r="K61" s="7">
        <f t="shared" si="12"/>
        <v>-592414719.4555999</v>
      </c>
      <c r="L61" s="775"/>
      <c r="M61" s="7"/>
    </row>
    <row r="62" spans="1:13" ht="13">
      <c r="A62" s="109">
        <f t="shared" si="6"/>
        <v>37</v>
      </c>
      <c r="B62" s="611" t="s">
        <v>187</v>
      </c>
      <c r="C62" s="609">
        <v>2021</v>
      </c>
      <c r="D62" s="7">
        <f t="shared" ref="D62:K62" si="13">D96+D129+D162+D195+D228+D261+D294+D327+D360+D393+D426</f>
        <v>12027267.333999999</v>
      </c>
      <c r="E62" s="7">
        <f t="shared" si="13"/>
        <v>902045.05004999996</v>
      </c>
      <c r="F62" s="7">
        <f t="shared" si="13"/>
        <v>12929312.38405</v>
      </c>
      <c r="G62" s="7">
        <f t="shared" si="13"/>
        <v>2490180</v>
      </c>
      <c r="H62" s="7">
        <f t="shared" si="13"/>
        <v>0</v>
      </c>
      <c r="I62" s="7">
        <f t="shared" si="13"/>
        <v>186763.5</v>
      </c>
      <c r="J62" s="7">
        <f t="shared" si="13"/>
        <v>392012351.54845005</v>
      </c>
      <c r="K62" s="7">
        <f t="shared" si="13"/>
        <v>-582162350.57154989</v>
      </c>
      <c r="L62" s="775"/>
      <c r="M62" s="7"/>
    </row>
    <row r="63" spans="1:13" ht="13">
      <c r="A63" s="109">
        <f t="shared" si="6"/>
        <v>38</v>
      </c>
      <c r="B63" s="611" t="s">
        <v>188</v>
      </c>
      <c r="C63" s="609">
        <v>2021</v>
      </c>
      <c r="D63" s="7">
        <f t="shared" ref="D63:K63" si="14">D97+D130+D163+D196+D229+D262+D295+D328+D361+D394+D427</f>
        <v>12878666.689999999</v>
      </c>
      <c r="E63" s="7">
        <f t="shared" si="14"/>
        <v>965900.00174999994</v>
      </c>
      <c r="F63" s="7">
        <f t="shared" si="14"/>
        <v>13844566.691749999</v>
      </c>
      <c r="G63" s="7">
        <f t="shared" si="14"/>
        <v>175102967.69999999</v>
      </c>
      <c r="H63" s="7">
        <f t="shared" si="14"/>
        <v>122968413.7</v>
      </c>
      <c r="I63" s="7">
        <f t="shared" si="14"/>
        <v>3910091.5499999989</v>
      </c>
      <c r="J63" s="7">
        <f t="shared" si="14"/>
        <v>226843858.99020007</v>
      </c>
      <c r="K63" s="7">
        <f t="shared" si="14"/>
        <v>-747330843.12979984</v>
      </c>
      <c r="L63" s="775"/>
      <c r="M63" s="7"/>
    </row>
    <row r="64" spans="1:13" ht="13">
      <c r="A64" s="109">
        <f t="shared" si="6"/>
        <v>39</v>
      </c>
      <c r="B64" s="608" t="s">
        <v>191</v>
      </c>
      <c r="C64" s="609">
        <v>2021</v>
      </c>
      <c r="D64" s="7">
        <f t="shared" ref="D64:K64" si="15">D98+D131+D164+D197+D230+D263+D296+D329+D362+D395+D428</f>
        <v>11820866.733999999</v>
      </c>
      <c r="E64" s="7">
        <f t="shared" si="15"/>
        <v>886565.00505000004</v>
      </c>
      <c r="F64" s="7">
        <f t="shared" si="15"/>
        <v>12707431.739050001</v>
      </c>
      <c r="G64" s="7">
        <f t="shared" si="15"/>
        <v>8150882</v>
      </c>
      <c r="H64" s="7">
        <f t="shared" si="15"/>
        <v>0</v>
      </c>
      <c r="I64" s="7">
        <f t="shared" si="15"/>
        <v>611316.14999999991</v>
      </c>
      <c r="J64" s="7">
        <f t="shared" si="15"/>
        <v>230789092.5792501</v>
      </c>
      <c r="K64" s="7">
        <f t="shared" si="15"/>
        <v>-743385609.54074991</v>
      </c>
      <c r="L64" s="775"/>
      <c r="M64" s="7"/>
    </row>
    <row r="65" spans="1:13" ht="13">
      <c r="A65" s="109">
        <f t="shared" si="6"/>
        <v>40</v>
      </c>
      <c r="B65" s="608" t="s">
        <v>190</v>
      </c>
      <c r="C65" s="609">
        <v>2021</v>
      </c>
      <c r="D65" s="7">
        <f t="shared" ref="D65:K65" si="16">D99+D132+D165+D198+D231+D264+D297+D330+D363+D396+D429</f>
        <v>12961181.608999999</v>
      </c>
      <c r="E65" s="7">
        <f t="shared" si="16"/>
        <v>972088.62067500001</v>
      </c>
      <c r="F65" s="7">
        <f t="shared" si="16"/>
        <v>13933270.229675002</v>
      </c>
      <c r="G65" s="7">
        <f t="shared" si="16"/>
        <v>38661230.410000004</v>
      </c>
      <c r="H65" s="7">
        <f t="shared" si="16"/>
        <v>26135813.41</v>
      </c>
      <c r="I65" s="7">
        <f t="shared" si="16"/>
        <v>939406.27500000037</v>
      </c>
      <c r="J65" s="7">
        <f t="shared" si="16"/>
        <v>205121726.12392506</v>
      </c>
      <c r="K65" s="7">
        <f t="shared" si="16"/>
        <v>-769052975.99607491</v>
      </c>
      <c r="L65" s="775"/>
      <c r="M65" s="7"/>
    </row>
    <row r="66" spans="1:13" ht="13">
      <c r="A66" s="109">
        <f t="shared" si="6"/>
        <v>41</v>
      </c>
      <c r="B66" s="608" t="s">
        <v>180</v>
      </c>
      <c r="C66" s="609">
        <v>2021</v>
      </c>
      <c r="D66" s="7">
        <f t="shared" ref="D66:K66" si="17">D100+D133+D166+D199+D232+D265+D298+D331+D364+D397+D430</f>
        <v>21395642.476000004</v>
      </c>
      <c r="E66" s="7">
        <f t="shared" si="17"/>
        <v>1604673.1857000003</v>
      </c>
      <c r="F66" s="7">
        <f t="shared" si="17"/>
        <v>23000315.661700003</v>
      </c>
      <c r="G66" s="7">
        <f t="shared" si="17"/>
        <v>40311066.800000004</v>
      </c>
      <c r="H66" s="7">
        <f t="shared" si="17"/>
        <v>13866924.800000001</v>
      </c>
      <c r="I66" s="7">
        <f t="shared" si="17"/>
        <v>1983310.6500000004</v>
      </c>
      <c r="J66" s="7">
        <f t="shared" si="17"/>
        <v>185827664.33562508</v>
      </c>
      <c r="K66" s="7">
        <f t="shared" si="17"/>
        <v>-788347037.78437483</v>
      </c>
      <c r="L66" s="775"/>
      <c r="M66" s="7"/>
    </row>
    <row r="67" spans="1:13" ht="13">
      <c r="A67" s="109">
        <f t="shared" si="6"/>
        <v>42</v>
      </c>
      <c r="B67" s="608" t="s">
        <v>181</v>
      </c>
      <c r="C67" s="609">
        <v>2022</v>
      </c>
      <c r="D67" s="7">
        <f t="shared" ref="D67:K67" si="18">D101+D134+D167+D200+D233+D266+D299+D332+D365+D398+D431</f>
        <v>12921481.101</v>
      </c>
      <c r="E67" s="7">
        <f t="shared" si="18"/>
        <v>969111.08257500001</v>
      </c>
      <c r="F67" s="7">
        <f t="shared" si="18"/>
        <v>13890592.183575001</v>
      </c>
      <c r="G67" s="7">
        <f t="shared" si="18"/>
        <v>33222809.440000001</v>
      </c>
      <c r="H67" s="7">
        <f t="shared" si="18"/>
        <v>21197379.440000001</v>
      </c>
      <c r="I67" s="7">
        <f t="shared" si="18"/>
        <v>901907.25</v>
      </c>
      <c r="J67" s="7">
        <f t="shared" si="18"/>
        <v>165593539.82920006</v>
      </c>
      <c r="K67" s="7">
        <f t="shared" si="18"/>
        <v>-808581162.29079998</v>
      </c>
      <c r="L67" s="775"/>
      <c r="M67" s="7"/>
    </row>
    <row r="68" spans="1:13" ht="13">
      <c r="A68" s="109">
        <f t="shared" si="6"/>
        <v>43</v>
      </c>
      <c r="B68" s="611" t="s">
        <v>182</v>
      </c>
      <c r="C68" s="609">
        <v>2022</v>
      </c>
      <c r="D68" s="7">
        <f t="shared" ref="D68:K68" si="19">D102+D135+D168+D201+D234+D267+D300+D333+D366+D399+D432</f>
        <v>14063481.101</v>
      </c>
      <c r="E68" s="7">
        <f t="shared" si="19"/>
        <v>1054761.0825749999</v>
      </c>
      <c r="F68" s="7">
        <f t="shared" si="19"/>
        <v>15118242.183575001</v>
      </c>
      <c r="G68" s="7">
        <f t="shared" si="19"/>
        <v>6667430</v>
      </c>
      <c r="H68" s="7">
        <f t="shared" si="19"/>
        <v>0</v>
      </c>
      <c r="I68" s="7">
        <f t="shared" si="19"/>
        <v>500057.25</v>
      </c>
      <c r="J68" s="7">
        <f t="shared" si="19"/>
        <v>173544294.76277506</v>
      </c>
      <c r="K68" s="7">
        <f t="shared" si="19"/>
        <v>-800630407.35722494</v>
      </c>
      <c r="L68" s="775"/>
      <c r="M68" s="7"/>
    </row>
    <row r="69" spans="1:13" ht="13">
      <c r="A69" s="109">
        <f t="shared" si="6"/>
        <v>44</v>
      </c>
      <c r="B69" s="611" t="s">
        <v>195</v>
      </c>
      <c r="C69" s="609">
        <v>2022</v>
      </c>
      <c r="D69" s="7">
        <f t="shared" ref="D69:K69" si="20">D103+D136+D169+D202+D235+D268+D301+D334+D367+D400+D433</f>
        <v>12956778.101</v>
      </c>
      <c r="E69" s="7">
        <f t="shared" si="20"/>
        <v>971758.35757500003</v>
      </c>
      <c r="F69" s="7">
        <f t="shared" si="20"/>
        <v>13928536.458575001</v>
      </c>
      <c r="G69" s="7">
        <f t="shared" si="20"/>
        <v>4942727</v>
      </c>
      <c r="H69" s="7">
        <f t="shared" si="20"/>
        <v>0</v>
      </c>
      <c r="I69" s="7">
        <f t="shared" si="20"/>
        <v>370704.52500000002</v>
      </c>
      <c r="J69" s="7">
        <f t="shared" si="20"/>
        <v>182159399.69635007</v>
      </c>
      <c r="K69" s="7">
        <f t="shared" si="20"/>
        <v>-792015302.42364991</v>
      </c>
      <c r="L69" s="775"/>
      <c r="M69" s="7"/>
    </row>
    <row r="70" spans="1:13" ht="13">
      <c r="A70" s="109">
        <f t="shared" si="6"/>
        <v>45</v>
      </c>
      <c r="B70" s="608" t="s">
        <v>183</v>
      </c>
      <c r="C70" s="609">
        <v>2022</v>
      </c>
      <c r="D70" s="7">
        <f t="shared" ref="D70:K70" si="21">D104+D137+D170+D203+D236+D269+D302+D335+D368+D401+D434</f>
        <v>13974981.101</v>
      </c>
      <c r="E70" s="7">
        <f t="shared" si="21"/>
        <v>1048123.582575</v>
      </c>
      <c r="F70" s="7">
        <f t="shared" si="21"/>
        <v>15023104.683575001</v>
      </c>
      <c r="G70" s="7">
        <f t="shared" si="21"/>
        <v>5059930</v>
      </c>
      <c r="H70" s="7">
        <f t="shared" si="21"/>
        <v>0</v>
      </c>
      <c r="I70" s="7">
        <f t="shared" si="21"/>
        <v>379494.75</v>
      </c>
      <c r="J70" s="7">
        <f t="shared" si="21"/>
        <v>191743079.62992507</v>
      </c>
      <c r="K70" s="7">
        <f t="shared" si="21"/>
        <v>-782431622.49007487</v>
      </c>
      <c r="L70" s="775"/>
      <c r="M70" s="7"/>
    </row>
    <row r="71" spans="1:13" ht="13">
      <c r="A71" s="109">
        <f t="shared" si="6"/>
        <v>46</v>
      </c>
      <c r="B71" s="611" t="s">
        <v>184</v>
      </c>
      <c r="C71" s="609">
        <v>2022</v>
      </c>
      <c r="D71" s="7">
        <f t="shared" ref="D71:K71" si="22">D105+D138+D171+D204+D237+D270+D303+D336+D369+D402+D435</f>
        <v>13938981.101</v>
      </c>
      <c r="E71" s="7">
        <f t="shared" si="22"/>
        <v>1045423.582575</v>
      </c>
      <c r="F71" s="7">
        <f t="shared" si="22"/>
        <v>14984404.683575001</v>
      </c>
      <c r="G71" s="7">
        <f t="shared" si="22"/>
        <v>33376207.760000002</v>
      </c>
      <c r="H71" s="7">
        <f t="shared" si="22"/>
        <v>22955277.760000002</v>
      </c>
      <c r="I71" s="7">
        <f t="shared" si="22"/>
        <v>781569.75</v>
      </c>
      <c r="J71" s="7">
        <f t="shared" si="22"/>
        <v>172569706.80350009</v>
      </c>
      <c r="K71" s="7">
        <f t="shared" si="22"/>
        <v>-801604995.31649995</v>
      </c>
      <c r="L71" s="775"/>
      <c r="M71" s="7"/>
    </row>
    <row r="72" spans="1:13" ht="13">
      <c r="A72" s="109">
        <f t="shared" si="6"/>
        <v>47</v>
      </c>
      <c r="B72" s="611" t="s">
        <v>1458</v>
      </c>
      <c r="C72" s="609">
        <v>2022</v>
      </c>
      <c r="D72" s="7">
        <f t="shared" ref="D72:K72" si="23">D106+D139+D172+D205+D238+D271+D304+D337+D370+D403+D436</f>
        <v>16125981.101</v>
      </c>
      <c r="E72" s="7">
        <f t="shared" si="23"/>
        <v>1209448.5825749999</v>
      </c>
      <c r="F72" s="7">
        <f t="shared" si="23"/>
        <v>17335429.683575001</v>
      </c>
      <c r="G72" s="7">
        <f t="shared" si="23"/>
        <v>36967385.069999993</v>
      </c>
      <c r="H72" s="7">
        <f t="shared" si="23"/>
        <v>20878455.07</v>
      </c>
      <c r="I72" s="7">
        <f t="shared" si="23"/>
        <v>1206669.7499999995</v>
      </c>
      <c r="J72" s="7">
        <f t="shared" si="23"/>
        <v>151731081.6670751</v>
      </c>
      <c r="K72" s="7">
        <f t="shared" si="23"/>
        <v>-822443620.45292485</v>
      </c>
      <c r="L72" s="775"/>
      <c r="M72" s="7"/>
    </row>
    <row r="73" spans="1:13" ht="13">
      <c r="A73" s="109">
        <f t="shared" si="6"/>
        <v>48</v>
      </c>
      <c r="B73" s="608" t="s">
        <v>186</v>
      </c>
      <c r="C73" s="609">
        <v>2022</v>
      </c>
      <c r="D73" s="7">
        <f t="shared" ref="D73:K73" si="24">D107+D140+D173+D206+D239+D272+D305+D338+D371+D404+D437</f>
        <v>13134981.101</v>
      </c>
      <c r="E73" s="7">
        <f t="shared" si="24"/>
        <v>985123.58257500001</v>
      </c>
      <c r="F73" s="7">
        <f t="shared" si="24"/>
        <v>14120104.683575001</v>
      </c>
      <c r="G73" s="7">
        <f t="shared" si="24"/>
        <v>46258652.660000004</v>
      </c>
      <c r="H73" s="7">
        <f t="shared" si="24"/>
        <v>21750009.66</v>
      </c>
      <c r="I73" s="7">
        <f t="shared" si="24"/>
        <v>1838148.2250000001</v>
      </c>
      <c r="J73" s="7">
        <f t="shared" si="24"/>
        <v>117754385.46565008</v>
      </c>
      <c r="K73" s="7">
        <f t="shared" si="24"/>
        <v>-856420316.6543498</v>
      </c>
      <c r="L73" s="775"/>
      <c r="M73" s="7"/>
    </row>
    <row r="74" spans="1:13" ht="13">
      <c r="A74" s="109">
        <f t="shared" si="6"/>
        <v>49</v>
      </c>
      <c r="B74" s="611" t="s">
        <v>187</v>
      </c>
      <c r="C74" s="609">
        <v>2022</v>
      </c>
      <c r="D74" s="7">
        <f>D108+D141+D174+D207+D240+D273+D306+D339+D372+D405+D438</f>
        <v>12833010.101</v>
      </c>
      <c r="E74" s="7">
        <f t="shared" ref="E74:K74" si="25">E108+E141+E174+E207+E240+E273+E306+E339+E372+E405+E438</f>
        <v>962475.75757499994</v>
      </c>
      <c r="F74" s="7">
        <f t="shared" si="25"/>
        <v>13795485.858575001</v>
      </c>
      <c r="G74" s="7">
        <f t="shared" si="25"/>
        <v>5258959</v>
      </c>
      <c r="H74" s="7">
        <f t="shared" si="25"/>
        <v>0</v>
      </c>
      <c r="I74" s="7">
        <f t="shared" si="25"/>
        <v>394421.92499999999</v>
      </c>
      <c r="J74" s="7">
        <f t="shared" si="25"/>
        <v>125896490.39922509</v>
      </c>
      <c r="K74" s="7">
        <f t="shared" si="25"/>
        <v>-848278211.72077489</v>
      </c>
      <c r="L74" s="775"/>
      <c r="M74" s="7"/>
    </row>
    <row r="75" spans="1:13" ht="13">
      <c r="A75" s="109">
        <f t="shared" si="6"/>
        <v>50</v>
      </c>
      <c r="B75" s="611" t="s">
        <v>188</v>
      </c>
      <c r="C75" s="609">
        <v>2022</v>
      </c>
      <c r="D75" s="7">
        <f t="shared" ref="D75:K75" si="26">D109+D142+D175+D208+D241+D274+D307+D340+D373+D406+D439</f>
        <v>11903445.101</v>
      </c>
      <c r="E75" s="7">
        <f t="shared" si="26"/>
        <v>892758.38257499994</v>
      </c>
      <c r="F75" s="7">
        <f t="shared" si="26"/>
        <v>12796203.483575001</v>
      </c>
      <c r="G75" s="7">
        <f t="shared" si="26"/>
        <v>4239394</v>
      </c>
      <c r="H75" s="7">
        <f t="shared" si="26"/>
        <v>0</v>
      </c>
      <c r="I75" s="7">
        <f t="shared" si="26"/>
        <v>317954.55</v>
      </c>
      <c r="J75" s="7">
        <f t="shared" si="26"/>
        <v>134135345.33280009</v>
      </c>
      <c r="K75" s="7">
        <f t="shared" si="26"/>
        <v>-840039356.78719985</v>
      </c>
      <c r="L75" s="775"/>
      <c r="M75" s="7"/>
    </row>
    <row r="76" spans="1:13" ht="13">
      <c r="A76" s="109">
        <f t="shared" si="6"/>
        <v>51</v>
      </c>
      <c r="B76" s="611" t="s">
        <v>191</v>
      </c>
      <c r="C76" s="609">
        <v>2022</v>
      </c>
      <c r="D76" s="7">
        <f t="shared" ref="D76:K76" si="27">D110+D143+D176+D209+D242+D275+D308+D341+D374+D407+D440</f>
        <v>10650731.101</v>
      </c>
      <c r="E76" s="7">
        <f t="shared" si="27"/>
        <v>798804.83257500001</v>
      </c>
      <c r="F76" s="7">
        <f t="shared" si="27"/>
        <v>11449535.933575001</v>
      </c>
      <c r="G76" s="7">
        <f t="shared" si="27"/>
        <v>2981680</v>
      </c>
      <c r="H76" s="7">
        <f t="shared" si="27"/>
        <v>0</v>
      </c>
      <c r="I76" s="7">
        <f t="shared" si="27"/>
        <v>223626</v>
      </c>
      <c r="J76" s="7">
        <f t="shared" si="27"/>
        <v>142379575.26637509</v>
      </c>
      <c r="K76" s="7">
        <f t="shared" si="27"/>
        <v>-831795126.85362482</v>
      </c>
      <c r="L76" s="775"/>
      <c r="M76" s="7"/>
    </row>
    <row r="77" spans="1:13" ht="13">
      <c r="A77" s="109">
        <f t="shared" si="6"/>
        <v>52</v>
      </c>
      <c r="B77" s="611" t="s">
        <v>190</v>
      </c>
      <c r="C77" s="609">
        <v>2022</v>
      </c>
      <c r="D77" s="7">
        <f t="shared" ref="D77:K77" si="28">D111+D144+D177+D210+D243+D276+D309+D342+D375+D408+D441</f>
        <v>10510731.101</v>
      </c>
      <c r="E77" s="7">
        <f t="shared" si="28"/>
        <v>788304.83257500001</v>
      </c>
      <c r="F77" s="7">
        <f t="shared" si="28"/>
        <v>11299035.933575001</v>
      </c>
      <c r="G77" s="7">
        <f t="shared" si="28"/>
        <v>2846680</v>
      </c>
      <c r="H77" s="7">
        <f t="shared" si="28"/>
        <v>0</v>
      </c>
      <c r="I77" s="7">
        <f t="shared" si="28"/>
        <v>213501</v>
      </c>
      <c r="J77" s="7">
        <f t="shared" si="28"/>
        <v>150618430.1999501</v>
      </c>
      <c r="K77" s="7">
        <f t="shared" si="28"/>
        <v>-823556271.92004979</v>
      </c>
      <c r="L77" s="775"/>
      <c r="M77" s="7"/>
    </row>
    <row r="78" spans="1:13" ht="13">
      <c r="A78" s="109">
        <f t="shared" si="6"/>
        <v>53</v>
      </c>
      <c r="B78" s="611" t="s">
        <v>180</v>
      </c>
      <c r="C78" s="609">
        <v>2022</v>
      </c>
      <c r="D78" s="7">
        <f t="shared" ref="D78:K78" si="29">D112+D145+D178+D211+D244+D277+D310+D343+D376+D409+D442</f>
        <v>33034963.423999999</v>
      </c>
      <c r="E78" s="7">
        <f t="shared" si="29"/>
        <v>2477622.2567999996</v>
      </c>
      <c r="F78" s="7">
        <f t="shared" si="29"/>
        <v>35512585.680799998</v>
      </c>
      <c r="G78" s="7">
        <f t="shared" si="29"/>
        <v>71900026.010000005</v>
      </c>
      <c r="H78" s="7">
        <f t="shared" si="29"/>
        <v>0</v>
      </c>
      <c r="I78" s="7">
        <f t="shared" si="29"/>
        <v>5392501.9507499998</v>
      </c>
      <c r="J78" s="7">
        <f t="shared" si="29"/>
        <v>108838487.92000011</v>
      </c>
      <c r="K78" s="91">
        <f t="shared" si="29"/>
        <v>-865336214.19999981</v>
      </c>
      <c r="L78" s="776"/>
      <c r="M78" s="7"/>
    </row>
    <row r="79" spans="1:13" ht="13">
      <c r="A79" s="109">
        <f t="shared" si="6"/>
        <v>54</v>
      </c>
      <c r="C79" s="644" t="s">
        <v>1603</v>
      </c>
      <c r="K79" s="73">
        <f>AVERAGE(K66:K78)</f>
        <v>-820113818.9424268</v>
      </c>
      <c r="L79" s="779"/>
    </row>
    <row r="81" spans="1:11" ht="13">
      <c r="B81" s="614" t="s">
        <v>1925</v>
      </c>
      <c r="F81" s="68" t="s">
        <v>2531</v>
      </c>
      <c r="G81" s="1480" t="s">
        <v>2728</v>
      </c>
      <c r="H81" s="96"/>
    </row>
    <row r="82" spans="1:11" s="645" customFormat="1" ht="13">
      <c r="B82" s="646" t="s">
        <v>1926</v>
      </c>
      <c r="D82" s="1514" t="s">
        <v>223</v>
      </c>
      <c r="E82" s="1514"/>
    </row>
    <row r="83" spans="1:11" s="640" customFormat="1" ht="13">
      <c r="D83" s="640" t="s">
        <v>358</v>
      </c>
      <c r="E83" s="640" t="s">
        <v>342</v>
      </c>
      <c r="F83" s="640" t="s">
        <v>343</v>
      </c>
      <c r="G83" s="640" t="s">
        <v>344</v>
      </c>
      <c r="H83" s="640" t="s">
        <v>345</v>
      </c>
      <c r="I83" s="640" t="s">
        <v>346</v>
      </c>
      <c r="J83" s="640" t="s">
        <v>347</v>
      </c>
      <c r="K83" s="640" t="s">
        <v>534</v>
      </c>
    </row>
    <row r="84" spans="1:11" s="645" customFormat="1" ht="26.15" customHeight="1">
      <c r="D84" s="647"/>
      <c r="E84" s="648" t="s">
        <v>2061</v>
      </c>
      <c r="F84" s="649" t="s">
        <v>1927</v>
      </c>
      <c r="G84" s="525"/>
      <c r="H84" s="647"/>
      <c r="I84" s="648" t="s">
        <v>2062</v>
      </c>
      <c r="J84" s="648" t="s">
        <v>1928</v>
      </c>
      <c r="K84" s="648" t="s">
        <v>1929</v>
      </c>
    </row>
    <row r="85" spans="1:11" s="645" customFormat="1" ht="13">
      <c r="D85" s="647"/>
      <c r="E85" s="650"/>
      <c r="F85" s="650"/>
      <c r="G85" s="549" t="str">
        <f>G51</f>
        <v>Unloaded</v>
      </c>
      <c r="H85" s="647"/>
      <c r="I85" s="650"/>
      <c r="J85" s="650"/>
      <c r="K85" s="549"/>
    </row>
    <row r="86" spans="1:11" s="642" customFormat="1" ht="13">
      <c r="D86" s="642" t="str">
        <f>D$52</f>
        <v>Forecast</v>
      </c>
      <c r="E86" s="642" t="str">
        <f t="shared" ref="E86:J86" si="30">E$52</f>
        <v>Corporate</v>
      </c>
      <c r="F86" s="642" t="str">
        <f t="shared" si="30"/>
        <v xml:space="preserve">Total </v>
      </c>
      <c r="G86" s="549" t="str">
        <f>G52</f>
        <v>Total</v>
      </c>
      <c r="H86" s="642" t="str">
        <f t="shared" si="30"/>
        <v>Prior Period</v>
      </c>
      <c r="I86" s="642" t="str">
        <f t="shared" si="30"/>
        <v>Over Heads</v>
      </c>
      <c r="J86" s="642" t="str">
        <f t="shared" si="30"/>
        <v>Forecast</v>
      </c>
      <c r="K86" s="549" t="str">
        <f>K$52</f>
        <v>Forecast Period</v>
      </c>
    </row>
    <row r="87" spans="1:11" s="645" customFormat="1" ht="13">
      <c r="A87" s="833" t="s">
        <v>329</v>
      </c>
      <c r="B87" s="607" t="s">
        <v>192</v>
      </c>
      <c r="C87" s="607" t="s">
        <v>193</v>
      </c>
      <c r="D87" s="640" t="str">
        <f>D$53</f>
        <v>Expenditures</v>
      </c>
      <c r="E87" s="640" t="str">
        <f t="shared" ref="E87:J87" si="31">E$53</f>
        <v>Overheads</v>
      </c>
      <c r="F87" s="640" t="str">
        <f t="shared" si="31"/>
        <v>CWIP Exp</v>
      </c>
      <c r="G87" s="3" t="str">
        <f>G53</f>
        <v>Plant Adds</v>
      </c>
      <c r="H87" s="640" t="str">
        <f t="shared" si="31"/>
        <v>CWIP Closed</v>
      </c>
      <c r="I87" s="640" t="str">
        <f t="shared" si="31"/>
        <v>Closed to PIS</v>
      </c>
      <c r="J87" s="640" t="str">
        <f t="shared" si="31"/>
        <v>Period CWIP</v>
      </c>
      <c r="K87" s="640" t="str">
        <f>K$53</f>
        <v>Incremental CWIP</v>
      </c>
    </row>
    <row r="88" spans="1:11" s="645" customFormat="1" ht="13">
      <c r="A88" s="109">
        <f>A79+1</f>
        <v>55</v>
      </c>
      <c r="B88" s="608" t="s">
        <v>180</v>
      </c>
      <c r="C88" s="609">
        <v>2020</v>
      </c>
      <c r="D88" s="649" t="s">
        <v>76</v>
      </c>
      <c r="E88" s="649" t="s">
        <v>76</v>
      </c>
      <c r="F88" s="649" t="s">
        <v>76</v>
      </c>
      <c r="G88" s="649" t="s">
        <v>76</v>
      </c>
      <c r="H88" s="649" t="s">
        <v>76</v>
      </c>
      <c r="I88" s="649" t="s">
        <v>76</v>
      </c>
      <c r="J88" s="63">
        <f>E25</f>
        <v>160227</v>
      </c>
      <c r="K88" s="649" t="s">
        <v>76</v>
      </c>
    </row>
    <row r="89" spans="1:11" s="645" customFormat="1" ht="13">
      <c r="A89" s="109">
        <f>A88+1</f>
        <v>56</v>
      </c>
      <c r="B89" s="608" t="s">
        <v>181</v>
      </c>
      <c r="C89" s="609">
        <v>2021</v>
      </c>
      <c r="D89" s="977">
        <v>23682.000000000004</v>
      </c>
      <c r="E89" s="63">
        <f>D89*'16-PlantAdditions'!$E$103</f>
        <v>1776.1500000000003</v>
      </c>
      <c r="F89" s="63">
        <f>E89+D89</f>
        <v>25458.150000000005</v>
      </c>
      <c r="G89" s="977">
        <v>17945.999999999996</v>
      </c>
      <c r="H89" s="977">
        <v>0</v>
      </c>
      <c r="I89" s="63">
        <f>(G89-H89)*'16-PlantAdditions'!$E$103</f>
        <v>1345.9499999999996</v>
      </c>
      <c r="J89" s="63">
        <f>J88+F89-G89-I89</f>
        <v>166393.19999999998</v>
      </c>
      <c r="K89" s="63">
        <f>J89-$J$88</f>
        <v>6166.1999999999825</v>
      </c>
    </row>
    <row r="90" spans="1:11" s="645" customFormat="1" ht="13">
      <c r="A90" s="109">
        <f t="shared" ref="A90:A108" si="32">A89+1</f>
        <v>57</v>
      </c>
      <c r="B90" s="611" t="s">
        <v>182</v>
      </c>
      <c r="C90" s="609">
        <v>2021</v>
      </c>
      <c r="D90" s="977">
        <v>236474.99999999997</v>
      </c>
      <c r="E90" s="63">
        <f>D90*'16-PlantAdditions'!$E$103</f>
        <v>17735.624999999996</v>
      </c>
      <c r="F90" s="63">
        <f t="shared" ref="F90:F112" si="33">E90+D90</f>
        <v>254210.62499999997</v>
      </c>
      <c r="G90" s="977">
        <v>21459.000000000004</v>
      </c>
      <c r="H90" s="977">
        <v>0</v>
      </c>
      <c r="I90" s="63">
        <f>(G90-H90)*'16-PlantAdditions'!$E$103</f>
        <v>1609.4250000000002</v>
      </c>
      <c r="J90" s="63">
        <f t="shared" ref="J90:J108" si="34">J89+F90-G90-I90</f>
        <v>397535.39999999997</v>
      </c>
      <c r="K90" s="63">
        <f t="shared" ref="K90:K112" si="35">J90-$J$88</f>
        <v>237308.39999999997</v>
      </c>
    </row>
    <row r="91" spans="1:11" s="645" customFormat="1" ht="13">
      <c r="A91" s="109">
        <f t="shared" si="32"/>
        <v>58</v>
      </c>
      <c r="B91" s="611" t="s">
        <v>195</v>
      </c>
      <c r="C91" s="609">
        <v>2021</v>
      </c>
      <c r="D91" s="977">
        <v>384895</v>
      </c>
      <c r="E91" s="63">
        <f>D91*'16-PlantAdditions'!$E$103</f>
        <v>28867.125</v>
      </c>
      <c r="F91" s="63">
        <f t="shared" si="33"/>
        <v>413762.125</v>
      </c>
      <c r="G91" s="977">
        <v>11438.000000000002</v>
      </c>
      <c r="H91" s="977">
        <v>0</v>
      </c>
      <c r="I91" s="63">
        <f>(G91-H91)*'16-PlantAdditions'!$E$103</f>
        <v>857.85000000000014</v>
      </c>
      <c r="J91" s="63">
        <f t="shared" si="34"/>
        <v>799001.67499999993</v>
      </c>
      <c r="K91" s="63">
        <f>J91-$J$88</f>
        <v>638774.67499999993</v>
      </c>
    </row>
    <row r="92" spans="1:11" s="645" customFormat="1" ht="13">
      <c r="A92" s="109">
        <f t="shared" si="32"/>
        <v>59</v>
      </c>
      <c r="B92" s="608" t="s">
        <v>183</v>
      </c>
      <c r="C92" s="609">
        <v>2021</v>
      </c>
      <c r="D92" s="977">
        <v>420000</v>
      </c>
      <c r="E92" s="63">
        <f>D92*'16-PlantAdditions'!$E$103</f>
        <v>31500</v>
      </c>
      <c r="F92" s="63">
        <f t="shared" si="33"/>
        <v>451500</v>
      </c>
      <c r="G92" s="977">
        <v>0</v>
      </c>
      <c r="H92" s="977">
        <v>0</v>
      </c>
      <c r="I92" s="63">
        <f>(G92-H92)*'16-PlantAdditions'!$E$103</f>
        <v>0</v>
      </c>
      <c r="J92" s="63">
        <f>J91+F92-G92-I92</f>
        <v>1250501.6749999998</v>
      </c>
      <c r="K92" s="63">
        <f>J92-$J$88</f>
        <v>1090274.6749999998</v>
      </c>
    </row>
    <row r="93" spans="1:11" s="645" customFormat="1" ht="13">
      <c r="A93" s="109">
        <f t="shared" si="32"/>
        <v>60</v>
      </c>
      <c r="B93" s="611" t="s">
        <v>184</v>
      </c>
      <c r="C93" s="609">
        <v>2021</v>
      </c>
      <c r="D93" s="977">
        <v>470000</v>
      </c>
      <c r="E93" s="63">
        <f>D93*'16-PlantAdditions'!$E$103</f>
        <v>35250</v>
      </c>
      <c r="F93" s="63">
        <f t="shared" si="33"/>
        <v>505250</v>
      </c>
      <c r="G93" s="977">
        <v>0</v>
      </c>
      <c r="H93" s="977">
        <v>0</v>
      </c>
      <c r="I93" s="63">
        <f>(G93-H93)*'16-PlantAdditions'!$E$103</f>
        <v>0</v>
      </c>
      <c r="J93" s="63">
        <f t="shared" si="34"/>
        <v>1755751.6749999998</v>
      </c>
      <c r="K93" s="63">
        <f t="shared" si="35"/>
        <v>1595524.6749999998</v>
      </c>
    </row>
    <row r="94" spans="1:11" s="645" customFormat="1" ht="13">
      <c r="A94" s="109">
        <f t="shared" si="32"/>
        <v>61</v>
      </c>
      <c r="B94" s="611" t="s">
        <v>1458</v>
      </c>
      <c r="C94" s="609">
        <v>2021</v>
      </c>
      <c r="D94" s="977">
        <v>520000</v>
      </c>
      <c r="E94" s="63">
        <f>D94*'16-PlantAdditions'!$E$103</f>
        <v>39000</v>
      </c>
      <c r="F94" s="63">
        <f t="shared" si="33"/>
        <v>559000</v>
      </c>
      <c r="G94" s="977">
        <v>160011.94</v>
      </c>
      <c r="H94" s="977">
        <v>159289.94</v>
      </c>
      <c r="I94" s="63">
        <f>(G94-H94)*'16-PlantAdditions'!$E$103</f>
        <v>54.15</v>
      </c>
      <c r="J94" s="63">
        <f t="shared" si="34"/>
        <v>2154685.585</v>
      </c>
      <c r="K94" s="63">
        <f t="shared" si="35"/>
        <v>1994458.585</v>
      </c>
    </row>
    <row r="95" spans="1:11" s="645" customFormat="1" ht="13">
      <c r="A95" s="109">
        <f t="shared" si="32"/>
        <v>62</v>
      </c>
      <c r="B95" s="608" t="s">
        <v>186</v>
      </c>
      <c r="C95" s="609">
        <v>2021</v>
      </c>
      <c r="D95" s="977">
        <v>516212</v>
      </c>
      <c r="E95" s="63">
        <f>D95*'16-PlantAdditions'!$E$103</f>
        <v>38715.9</v>
      </c>
      <c r="F95" s="63">
        <f t="shared" si="33"/>
        <v>554927.9</v>
      </c>
      <c r="G95" s="977">
        <v>0</v>
      </c>
      <c r="H95" s="977">
        <v>0</v>
      </c>
      <c r="I95" s="63">
        <f>(G95-H95)*'16-PlantAdditions'!$E$103</f>
        <v>0</v>
      </c>
      <c r="J95" s="63">
        <f t="shared" si="34"/>
        <v>2709613.4849999999</v>
      </c>
      <c r="K95" s="63">
        <f t="shared" si="35"/>
        <v>2549386.4849999999</v>
      </c>
    </row>
    <row r="96" spans="1:11" s="645" customFormat="1" ht="13">
      <c r="A96" s="109">
        <f t="shared" si="32"/>
        <v>63</v>
      </c>
      <c r="B96" s="611" t="s">
        <v>187</v>
      </c>
      <c r="C96" s="609">
        <v>2021</v>
      </c>
      <c r="D96" s="977">
        <v>675000</v>
      </c>
      <c r="E96" s="63">
        <f>D96*'16-PlantAdditions'!$E$103</f>
        <v>50625</v>
      </c>
      <c r="F96" s="63">
        <f t="shared" si="33"/>
        <v>725625</v>
      </c>
      <c r="G96" s="977">
        <v>0</v>
      </c>
      <c r="H96" s="977">
        <v>0</v>
      </c>
      <c r="I96" s="63">
        <f>(G96-H96)*'16-PlantAdditions'!$E$103</f>
        <v>0</v>
      </c>
      <c r="J96" s="63">
        <f t="shared" si="34"/>
        <v>3435238.4849999999</v>
      </c>
      <c r="K96" s="63">
        <f t="shared" si="35"/>
        <v>3275011.4849999999</v>
      </c>
    </row>
    <row r="97" spans="1:11" s="645" customFormat="1" ht="13">
      <c r="A97" s="109">
        <f t="shared" si="32"/>
        <v>64</v>
      </c>
      <c r="B97" s="611" t="s">
        <v>188</v>
      </c>
      <c r="C97" s="609">
        <v>2021</v>
      </c>
      <c r="D97" s="977">
        <v>500000</v>
      </c>
      <c r="E97" s="63">
        <f>D97*'16-PlantAdditions'!$E$103</f>
        <v>37500</v>
      </c>
      <c r="F97" s="63">
        <f t="shared" si="33"/>
        <v>537500</v>
      </c>
      <c r="G97" s="977">
        <v>0</v>
      </c>
      <c r="H97" s="977">
        <v>0</v>
      </c>
      <c r="I97" s="63">
        <f>(G97-H97)*'16-PlantAdditions'!$E$103</f>
        <v>0</v>
      </c>
      <c r="J97" s="63">
        <f t="shared" si="34"/>
        <v>3972738.4849999999</v>
      </c>
      <c r="K97" s="63">
        <f t="shared" si="35"/>
        <v>3812511.4849999999</v>
      </c>
    </row>
    <row r="98" spans="1:11" s="645" customFormat="1" ht="13">
      <c r="A98" s="109">
        <f t="shared" si="32"/>
        <v>65</v>
      </c>
      <c r="B98" s="608" t="s">
        <v>191</v>
      </c>
      <c r="C98" s="609">
        <v>2021</v>
      </c>
      <c r="D98" s="977">
        <v>575000</v>
      </c>
      <c r="E98" s="63">
        <f>D98*'16-PlantAdditions'!$E$103</f>
        <v>43125</v>
      </c>
      <c r="F98" s="63">
        <f t="shared" si="33"/>
        <v>618125</v>
      </c>
      <c r="G98" s="977">
        <v>0</v>
      </c>
      <c r="H98" s="977">
        <v>0</v>
      </c>
      <c r="I98" s="63">
        <f>(G98-H98)*'16-PlantAdditions'!$E$103</f>
        <v>0</v>
      </c>
      <c r="J98" s="63">
        <f t="shared" si="34"/>
        <v>4590863.4849999994</v>
      </c>
      <c r="K98" s="63">
        <f t="shared" si="35"/>
        <v>4430636.4849999994</v>
      </c>
    </row>
    <row r="99" spans="1:11" s="645" customFormat="1" ht="13">
      <c r="A99" s="109">
        <f t="shared" si="32"/>
        <v>66</v>
      </c>
      <c r="B99" s="608" t="s">
        <v>190</v>
      </c>
      <c r="C99" s="609">
        <v>2021</v>
      </c>
      <c r="D99" s="977">
        <v>645824.00000000012</v>
      </c>
      <c r="E99" s="63">
        <f>D99*'16-PlantAdditions'!$E$103</f>
        <v>48436.80000000001</v>
      </c>
      <c r="F99" s="63">
        <f t="shared" si="33"/>
        <v>694260.80000000016</v>
      </c>
      <c r="G99" s="977">
        <v>0</v>
      </c>
      <c r="H99" s="977">
        <v>0</v>
      </c>
      <c r="I99" s="63">
        <f>(G99-H99)*'16-PlantAdditions'!$E$103</f>
        <v>0</v>
      </c>
      <c r="J99" s="63">
        <f t="shared" si="34"/>
        <v>5285124.2849999992</v>
      </c>
      <c r="K99" s="63">
        <f t="shared" si="35"/>
        <v>5124897.2849999992</v>
      </c>
    </row>
    <row r="100" spans="1:11" s="645" customFormat="1" ht="13">
      <c r="A100" s="109">
        <f t="shared" si="32"/>
        <v>67</v>
      </c>
      <c r="B100" s="608" t="s">
        <v>180</v>
      </c>
      <c r="C100" s="609">
        <v>2021</v>
      </c>
      <c r="D100" s="977">
        <v>901401</v>
      </c>
      <c r="E100" s="63">
        <f>D100*'16-PlantAdditions'!$E$103</f>
        <v>67605.074999999997</v>
      </c>
      <c r="F100" s="63">
        <f t="shared" si="33"/>
        <v>969006.07499999995</v>
      </c>
      <c r="G100" s="977">
        <v>150000</v>
      </c>
      <c r="H100" s="977">
        <v>0</v>
      </c>
      <c r="I100" s="63">
        <f>(G100-H100)*'16-PlantAdditions'!$E$103</f>
        <v>11250</v>
      </c>
      <c r="J100" s="63">
        <f t="shared" si="34"/>
        <v>6092880.3599999994</v>
      </c>
      <c r="K100" s="63">
        <f t="shared" si="35"/>
        <v>5932653.3599999994</v>
      </c>
    </row>
    <row r="101" spans="1:11" s="645" customFormat="1" ht="13">
      <c r="A101" s="109">
        <f t="shared" si="32"/>
        <v>68</v>
      </c>
      <c r="B101" s="608" t="s">
        <v>181</v>
      </c>
      <c r="C101" s="609">
        <v>2022</v>
      </c>
      <c r="D101" s="977">
        <v>0</v>
      </c>
      <c r="E101" s="63">
        <f>D101*'16-PlantAdditions'!$E$103</f>
        <v>0</v>
      </c>
      <c r="F101" s="63">
        <f t="shared" si="33"/>
        <v>0</v>
      </c>
      <c r="G101" s="977">
        <v>0</v>
      </c>
      <c r="H101" s="977">
        <v>0</v>
      </c>
      <c r="I101" s="63">
        <f>(G101-H101)*'16-PlantAdditions'!$E$103</f>
        <v>0</v>
      </c>
      <c r="J101" s="63">
        <f t="shared" si="34"/>
        <v>6092880.3599999994</v>
      </c>
      <c r="K101" s="63">
        <f t="shared" si="35"/>
        <v>5932653.3599999994</v>
      </c>
    </row>
    <row r="102" spans="1:11" s="645" customFormat="1" ht="13">
      <c r="A102" s="109">
        <f t="shared" si="32"/>
        <v>69</v>
      </c>
      <c r="B102" s="611" t="s">
        <v>182</v>
      </c>
      <c r="C102" s="609">
        <v>2022</v>
      </c>
      <c r="D102" s="977">
        <v>210000</v>
      </c>
      <c r="E102" s="63">
        <f>D102*'16-PlantAdditions'!$E$103</f>
        <v>15750</v>
      </c>
      <c r="F102" s="63">
        <f t="shared" si="33"/>
        <v>225750</v>
      </c>
      <c r="G102" s="977">
        <v>0</v>
      </c>
      <c r="H102" s="977">
        <v>0</v>
      </c>
      <c r="I102" s="63">
        <f>(G102-H102)*'16-PlantAdditions'!$E$103</f>
        <v>0</v>
      </c>
      <c r="J102" s="63">
        <f t="shared" si="34"/>
        <v>6318630.3599999994</v>
      </c>
      <c r="K102" s="63">
        <f t="shared" si="35"/>
        <v>6158403.3599999994</v>
      </c>
    </row>
    <row r="103" spans="1:11" s="645" customFormat="1" ht="13">
      <c r="A103" s="109">
        <f t="shared" si="32"/>
        <v>70</v>
      </c>
      <c r="B103" s="611" t="s">
        <v>195</v>
      </c>
      <c r="C103" s="609">
        <v>2022</v>
      </c>
      <c r="D103" s="977">
        <v>255000</v>
      </c>
      <c r="E103" s="63">
        <f>D103*'16-PlantAdditions'!$E$103</f>
        <v>19125</v>
      </c>
      <c r="F103" s="63">
        <f t="shared" si="33"/>
        <v>274125</v>
      </c>
      <c r="G103" s="977">
        <v>0</v>
      </c>
      <c r="H103" s="977">
        <v>0</v>
      </c>
      <c r="I103" s="63">
        <f>(G103-H103)*'16-PlantAdditions'!$E$103</f>
        <v>0</v>
      </c>
      <c r="J103" s="63">
        <f t="shared" si="34"/>
        <v>6592755.3599999994</v>
      </c>
      <c r="K103" s="63">
        <f t="shared" si="35"/>
        <v>6432528.3599999994</v>
      </c>
    </row>
    <row r="104" spans="1:11" s="645" customFormat="1" ht="13">
      <c r="A104" s="109">
        <f t="shared" si="32"/>
        <v>71</v>
      </c>
      <c r="B104" s="608" t="s">
        <v>183</v>
      </c>
      <c r="C104" s="609">
        <v>2022</v>
      </c>
      <c r="D104" s="977">
        <v>285000</v>
      </c>
      <c r="E104" s="63">
        <f>D104*'16-PlantAdditions'!$E$103</f>
        <v>21375</v>
      </c>
      <c r="F104" s="63">
        <f t="shared" si="33"/>
        <v>306375</v>
      </c>
      <c r="G104" s="977">
        <v>0</v>
      </c>
      <c r="H104" s="977">
        <v>0</v>
      </c>
      <c r="I104" s="63">
        <f>(G104-H104)*'16-PlantAdditions'!$E$103</f>
        <v>0</v>
      </c>
      <c r="J104" s="63">
        <f t="shared" si="34"/>
        <v>6899130.3599999994</v>
      </c>
      <c r="K104" s="63">
        <f t="shared" si="35"/>
        <v>6738903.3599999994</v>
      </c>
    </row>
    <row r="105" spans="1:11" s="645" customFormat="1" ht="13">
      <c r="A105" s="109">
        <f t="shared" si="32"/>
        <v>72</v>
      </c>
      <c r="B105" s="611" t="s">
        <v>184</v>
      </c>
      <c r="C105" s="609">
        <v>2022</v>
      </c>
      <c r="D105" s="977">
        <v>320000</v>
      </c>
      <c r="E105" s="63">
        <f>D105*'16-PlantAdditions'!$E$103</f>
        <v>24000</v>
      </c>
      <c r="F105" s="63">
        <f t="shared" si="33"/>
        <v>344000</v>
      </c>
      <c r="G105" s="977">
        <v>0</v>
      </c>
      <c r="H105" s="977">
        <v>0</v>
      </c>
      <c r="I105" s="63">
        <f>(G105-H105)*'16-PlantAdditions'!$E$103</f>
        <v>0</v>
      </c>
      <c r="J105" s="63">
        <f t="shared" si="34"/>
        <v>7243130.3599999994</v>
      </c>
      <c r="K105" s="63">
        <f t="shared" si="35"/>
        <v>7082903.3599999994</v>
      </c>
    </row>
    <row r="106" spans="1:11" s="645" customFormat="1" ht="13">
      <c r="A106" s="109">
        <f t="shared" si="32"/>
        <v>73</v>
      </c>
      <c r="B106" s="611" t="s">
        <v>1458</v>
      </c>
      <c r="C106" s="609">
        <v>2022</v>
      </c>
      <c r="D106" s="977">
        <v>340000</v>
      </c>
      <c r="E106" s="63">
        <f>D106*'16-PlantAdditions'!$E$103</f>
        <v>25500</v>
      </c>
      <c r="F106" s="63">
        <f t="shared" si="33"/>
        <v>365500</v>
      </c>
      <c r="G106" s="977">
        <v>0</v>
      </c>
      <c r="H106" s="977">
        <v>0</v>
      </c>
      <c r="I106" s="63">
        <f>(G106-H106)*'16-PlantAdditions'!$E$103</f>
        <v>0</v>
      </c>
      <c r="J106" s="63">
        <f t="shared" si="34"/>
        <v>7608630.3599999994</v>
      </c>
      <c r="K106" s="63">
        <f t="shared" si="35"/>
        <v>7448403.3599999994</v>
      </c>
    </row>
    <row r="107" spans="1:11" s="645" customFormat="1" ht="13">
      <c r="A107" s="109">
        <f t="shared" si="32"/>
        <v>74</v>
      </c>
      <c r="B107" s="608" t="s">
        <v>186</v>
      </c>
      <c r="C107" s="609">
        <v>2022</v>
      </c>
      <c r="D107" s="977">
        <v>320000</v>
      </c>
      <c r="E107" s="63">
        <f>D107*'16-PlantAdditions'!$E$103</f>
        <v>24000</v>
      </c>
      <c r="F107" s="63">
        <f t="shared" si="33"/>
        <v>344000</v>
      </c>
      <c r="G107" s="977">
        <v>0</v>
      </c>
      <c r="H107" s="977">
        <v>0</v>
      </c>
      <c r="I107" s="63">
        <f>(G107-H107)*'16-PlantAdditions'!$E$103</f>
        <v>0</v>
      </c>
      <c r="J107" s="63">
        <f t="shared" si="34"/>
        <v>7952630.3599999994</v>
      </c>
      <c r="K107" s="63">
        <f t="shared" si="35"/>
        <v>7792403.3599999994</v>
      </c>
    </row>
    <row r="108" spans="1:11" s="645" customFormat="1" ht="13">
      <c r="A108" s="109">
        <f t="shared" si="32"/>
        <v>75</v>
      </c>
      <c r="B108" s="611" t="s">
        <v>187</v>
      </c>
      <c r="C108" s="609">
        <v>2022</v>
      </c>
      <c r="D108" s="977">
        <v>345000</v>
      </c>
      <c r="E108" s="63">
        <f>D108*'16-PlantAdditions'!$E$103</f>
        <v>25875</v>
      </c>
      <c r="F108" s="63">
        <f t="shared" si="33"/>
        <v>370875</v>
      </c>
      <c r="G108" s="977">
        <v>0</v>
      </c>
      <c r="H108" s="977">
        <v>0</v>
      </c>
      <c r="I108" s="63">
        <f>(G108-H108)*'16-PlantAdditions'!$E$103</f>
        <v>0</v>
      </c>
      <c r="J108" s="63">
        <f t="shared" si="34"/>
        <v>8323505.3599999994</v>
      </c>
      <c r="K108" s="63">
        <f t="shared" si="35"/>
        <v>8163278.3599999994</v>
      </c>
    </row>
    <row r="109" spans="1:11" s="645" customFormat="1" ht="13">
      <c r="A109" s="109">
        <f>A108+1</f>
        <v>76</v>
      </c>
      <c r="B109" s="611" t="s">
        <v>188</v>
      </c>
      <c r="C109" s="609">
        <v>2022</v>
      </c>
      <c r="D109" s="977">
        <v>435000</v>
      </c>
      <c r="E109" s="63">
        <f>D109*'16-PlantAdditions'!$E$103</f>
        <v>32625</v>
      </c>
      <c r="F109" s="63">
        <f t="shared" si="33"/>
        <v>467625</v>
      </c>
      <c r="G109" s="977">
        <v>0</v>
      </c>
      <c r="H109" s="977">
        <v>0</v>
      </c>
      <c r="I109" s="63">
        <f>(G109-H109)*'16-PlantAdditions'!$E$103</f>
        <v>0</v>
      </c>
      <c r="J109" s="63">
        <f>J108+F109-G109-I109</f>
        <v>8791130.3599999994</v>
      </c>
      <c r="K109" s="63">
        <f t="shared" si="35"/>
        <v>8630903.3599999994</v>
      </c>
    </row>
    <row r="110" spans="1:11" s="645" customFormat="1" ht="13">
      <c r="A110" s="109">
        <f t="shared" ref="A110:A113" si="36">A109+1</f>
        <v>77</v>
      </c>
      <c r="B110" s="611" t="s">
        <v>191</v>
      </c>
      <c r="C110" s="609">
        <v>2022</v>
      </c>
      <c r="D110" s="977">
        <v>440000</v>
      </c>
      <c r="E110" s="63">
        <f>D110*'16-PlantAdditions'!$E$103</f>
        <v>33000</v>
      </c>
      <c r="F110" s="63">
        <f t="shared" si="33"/>
        <v>473000</v>
      </c>
      <c r="G110" s="977">
        <v>0</v>
      </c>
      <c r="H110" s="977">
        <v>0</v>
      </c>
      <c r="I110" s="63">
        <f>(G110-H110)*'16-PlantAdditions'!$E$103</f>
        <v>0</v>
      </c>
      <c r="J110" s="63">
        <f t="shared" ref="J110:J112" si="37">J109+F110-G110-I110</f>
        <v>9264130.3599999994</v>
      </c>
      <c r="K110" s="63">
        <f t="shared" si="35"/>
        <v>9103903.3599999994</v>
      </c>
    </row>
    <row r="111" spans="1:11" s="645" customFormat="1" ht="13">
      <c r="A111" s="109">
        <f t="shared" si="36"/>
        <v>78</v>
      </c>
      <c r="B111" s="611" t="s">
        <v>190</v>
      </c>
      <c r="C111" s="609">
        <v>2022</v>
      </c>
      <c r="D111" s="977">
        <v>435000</v>
      </c>
      <c r="E111" s="63">
        <f>D111*'16-PlantAdditions'!$E$103</f>
        <v>32625</v>
      </c>
      <c r="F111" s="63">
        <f t="shared" si="33"/>
        <v>467625</v>
      </c>
      <c r="G111" s="977">
        <v>0</v>
      </c>
      <c r="H111" s="977">
        <v>0</v>
      </c>
      <c r="I111" s="63">
        <f>(G111-H111)*'16-PlantAdditions'!$E$103</f>
        <v>0</v>
      </c>
      <c r="J111" s="63">
        <f t="shared" si="37"/>
        <v>9731755.3599999994</v>
      </c>
      <c r="K111" s="63">
        <f t="shared" si="35"/>
        <v>9571528.3599999994</v>
      </c>
    </row>
    <row r="112" spans="1:11" s="645" customFormat="1" ht="13">
      <c r="A112" s="109">
        <f t="shared" si="36"/>
        <v>79</v>
      </c>
      <c r="B112" s="611" t="s">
        <v>180</v>
      </c>
      <c r="C112" s="609">
        <v>2022</v>
      </c>
      <c r="D112" s="977">
        <v>520400.00000000012</v>
      </c>
      <c r="E112" s="63">
        <f>D112*'16-PlantAdditions'!$E$103</f>
        <v>39030.000000000007</v>
      </c>
      <c r="F112" s="63">
        <f t="shared" si="33"/>
        <v>559430.00000000012</v>
      </c>
      <c r="G112" s="977">
        <v>0</v>
      </c>
      <c r="H112" s="977">
        <v>0</v>
      </c>
      <c r="I112" s="63">
        <f>(G112-H112)*'16-PlantAdditions'!$E$103</f>
        <v>0</v>
      </c>
      <c r="J112" s="63">
        <f t="shared" si="37"/>
        <v>10291185.359999999</v>
      </c>
      <c r="K112" s="110">
        <f t="shared" si="35"/>
        <v>10130958.359999999</v>
      </c>
    </row>
    <row r="113" spans="1:11" s="645" customFormat="1" ht="13">
      <c r="A113" s="109">
        <f t="shared" si="36"/>
        <v>80</v>
      </c>
      <c r="B113"/>
      <c r="C113" s="644" t="s">
        <v>1603</v>
      </c>
      <c r="D113"/>
      <c r="E113"/>
      <c r="F113"/>
      <c r="G113"/>
      <c r="H113"/>
      <c r="I113"/>
      <c r="J113"/>
      <c r="K113" s="73">
        <f>AVERAGE(K100:K112)</f>
        <v>7624571.0523076914</v>
      </c>
    </row>
    <row r="114" spans="1:11" s="645" customFormat="1" ht="13">
      <c r="A114" s="109"/>
      <c r="B114"/>
      <c r="C114" s="644"/>
      <c r="D114"/>
      <c r="E114"/>
      <c r="F114"/>
      <c r="G114"/>
      <c r="H114"/>
      <c r="I114"/>
      <c r="J114"/>
      <c r="K114" s="73"/>
    </row>
    <row r="115" spans="1:11" s="645" customFormat="1" ht="13">
      <c r="B115" s="646" t="s">
        <v>1930</v>
      </c>
      <c r="D115" s="1514" t="s">
        <v>2729</v>
      </c>
      <c r="E115" s="1514"/>
    </row>
    <row r="116" spans="1:11" s="645" customFormat="1" ht="13">
      <c r="A116" s="640"/>
      <c r="B116" s="640"/>
      <c r="C116" s="640"/>
      <c r="D116" s="640" t="s">
        <v>358</v>
      </c>
      <c r="E116" s="640" t="s">
        <v>342</v>
      </c>
      <c r="F116" s="640" t="s">
        <v>343</v>
      </c>
      <c r="G116" s="640" t="s">
        <v>344</v>
      </c>
      <c r="H116" s="640" t="s">
        <v>345</v>
      </c>
      <c r="I116" s="640" t="s">
        <v>346</v>
      </c>
      <c r="J116" s="640" t="s">
        <v>347</v>
      </c>
      <c r="K116" s="640" t="s">
        <v>534</v>
      </c>
    </row>
    <row r="117" spans="1:11" s="645" customFormat="1" ht="38">
      <c r="D117" s="647"/>
      <c r="E117" s="648" t="s">
        <v>2061</v>
      </c>
      <c r="F117" s="649" t="s">
        <v>1927</v>
      </c>
      <c r="G117" s="525"/>
      <c r="H117" s="647"/>
      <c r="I117" s="648" t="s">
        <v>2062</v>
      </c>
      <c r="J117" s="648" t="s">
        <v>1928</v>
      </c>
      <c r="K117" s="648" t="s">
        <v>1929</v>
      </c>
    </row>
    <row r="118" spans="1:11" s="645" customFormat="1" ht="13">
      <c r="D118" s="647"/>
      <c r="E118" s="647"/>
      <c r="F118" s="647"/>
      <c r="G118" s="549" t="str">
        <f>G51</f>
        <v>Unloaded</v>
      </c>
      <c r="H118" s="647"/>
      <c r="I118" s="647"/>
    </row>
    <row r="119" spans="1:11" s="645" customFormat="1" ht="13">
      <c r="A119" s="642"/>
      <c r="B119" s="642"/>
      <c r="C119" s="642"/>
      <c r="D119" s="642" t="str">
        <f>D$52</f>
        <v>Forecast</v>
      </c>
      <c r="E119" s="642" t="str">
        <f t="shared" ref="E119:J119" si="38">E$52</f>
        <v>Corporate</v>
      </c>
      <c r="F119" s="642" t="str">
        <f t="shared" si="38"/>
        <v xml:space="preserve">Total </v>
      </c>
      <c r="G119" s="549" t="str">
        <f>G52</f>
        <v>Total</v>
      </c>
      <c r="H119" s="642" t="str">
        <f t="shared" si="38"/>
        <v>Prior Period</v>
      </c>
      <c r="I119" s="642" t="str">
        <f t="shared" si="38"/>
        <v>Over Heads</v>
      </c>
      <c r="J119" s="642" t="str">
        <f t="shared" si="38"/>
        <v>Forecast</v>
      </c>
      <c r="K119" s="549" t="str">
        <f>K$52</f>
        <v>Forecast Period</v>
      </c>
    </row>
    <row r="120" spans="1:11" s="645" customFormat="1" ht="13">
      <c r="A120" s="833" t="s">
        <v>329</v>
      </c>
      <c r="B120" s="607" t="s">
        <v>192</v>
      </c>
      <c r="C120" s="607" t="s">
        <v>193</v>
      </c>
      <c r="D120" s="640" t="str">
        <f>D$53</f>
        <v>Expenditures</v>
      </c>
      <c r="E120" s="640" t="str">
        <f t="shared" ref="E120:J120" si="39">E$53</f>
        <v>Overheads</v>
      </c>
      <c r="F120" s="640" t="str">
        <f t="shared" si="39"/>
        <v>CWIP Exp</v>
      </c>
      <c r="G120" s="3" t="str">
        <f>G53</f>
        <v>Plant Adds</v>
      </c>
      <c r="H120" s="640" t="str">
        <f t="shared" si="39"/>
        <v>CWIP Closed</v>
      </c>
      <c r="I120" s="640" t="str">
        <f t="shared" si="39"/>
        <v>Closed to PIS</v>
      </c>
      <c r="J120" s="640" t="str">
        <f t="shared" si="39"/>
        <v>Period CWIP</v>
      </c>
      <c r="K120" s="640" t="str">
        <f>K$53</f>
        <v>Incremental CWIP</v>
      </c>
    </row>
    <row r="121" spans="1:11" s="645" customFormat="1" ht="13">
      <c r="A121" s="109">
        <f>A113+1</f>
        <v>81</v>
      </c>
      <c r="B121" s="608" t="s">
        <v>180</v>
      </c>
      <c r="C121" s="609">
        <v>2020</v>
      </c>
      <c r="D121" s="649" t="s">
        <v>76</v>
      </c>
      <c r="E121" s="649" t="s">
        <v>76</v>
      </c>
      <c r="F121" s="649" t="s">
        <v>76</v>
      </c>
      <c r="G121" s="649" t="s">
        <v>76</v>
      </c>
      <c r="H121" s="649" t="s">
        <v>76</v>
      </c>
      <c r="I121" s="649" t="s">
        <v>76</v>
      </c>
      <c r="J121" s="63">
        <f>F25</f>
        <v>0</v>
      </c>
      <c r="K121" s="649" t="s">
        <v>76</v>
      </c>
    </row>
    <row r="122" spans="1:11" s="645" customFormat="1" ht="13">
      <c r="A122" s="109">
        <f>A121+1</f>
        <v>82</v>
      </c>
      <c r="B122" s="608" t="s">
        <v>181</v>
      </c>
      <c r="C122" s="609">
        <v>2021</v>
      </c>
      <c r="D122" s="977">
        <v>0</v>
      </c>
      <c r="E122" s="63">
        <f>D122*'16-PlantAdditions'!$E$103</f>
        <v>0</v>
      </c>
      <c r="F122" s="63">
        <f>E122+D122</f>
        <v>0</v>
      </c>
      <c r="G122" s="977">
        <v>0</v>
      </c>
      <c r="H122" s="977">
        <v>0</v>
      </c>
      <c r="I122" s="63">
        <f>(G122-H122)*'16-PlantAdditions'!$E$103</f>
        <v>0</v>
      </c>
      <c r="J122" s="63">
        <f>J121+F122-G122-I122</f>
        <v>0</v>
      </c>
      <c r="K122" s="477">
        <f>J122-$J$121</f>
        <v>0</v>
      </c>
    </row>
    <row r="123" spans="1:11" s="645" customFormat="1" ht="13">
      <c r="A123" s="109">
        <f t="shared" ref="A123:A146" si="40">A122+1</f>
        <v>83</v>
      </c>
      <c r="B123" s="611" t="s">
        <v>182</v>
      </c>
      <c r="C123" s="609">
        <v>2021</v>
      </c>
      <c r="D123" s="977">
        <v>0</v>
      </c>
      <c r="E123" s="63">
        <f>D123*'16-PlantAdditions'!$E$103</f>
        <v>0</v>
      </c>
      <c r="F123" s="63">
        <f t="shared" ref="F123:F145" si="41">E123+D123</f>
        <v>0</v>
      </c>
      <c r="G123" s="977">
        <v>0</v>
      </c>
      <c r="H123" s="977">
        <v>0</v>
      </c>
      <c r="I123" s="63">
        <f>(G123-H123)*'16-PlantAdditions'!$E$103</f>
        <v>0</v>
      </c>
      <c r="J123" s="63">
        <f t="shared" ref="J123:J145" si="42">J122+F123-G123-I123</f>
        <v>0</v>
      </c>
      <c r="K123" s="477">
        <f t="shared" ref="K123:K145" si="43">J123-$J$121</f>
        <v>0</v>
      </c>
    </row>
    <row r="124" spans="1:11" s="645" customFormat="1" ht="13">
      <c r="A124" s="109">
        <f t="shared" si="40"/>
        <v>84</v>
      </c>
      <c r="B124" s="611" t="s">
        <v>195</v>
      </c>
      <c r="C124" s="609">
        <v>2021</v>
      </c>
      <c r="D124" s="977">
        <v>0</v>
      </c>
      <c r="E124" s="63">
        <f>D124*'16-PlantAdditions'!$E$103</f>
        <v>0</v>
      </c>
      <c r="F124" s="63">
        <f t="shared" si="41"/>
        <v>0</v>
      </c>
      <c r="G124" s="977">
        <v>0</v>
      </c>
      <c r="H124" s="977">
        <v>0</v>
      </c>
      <c r="I124" s="63">
        <f>(G124-H124)*'16-PlantAdditions'!$E$103</f>
        <v>0</v>
      </c>
      <c r="J124" s="63">
        <f t="shared" si="42"/>
        <v>0</v>
      </c>
      <c r="K124" s="477">
        <f t="shared" si="43"/>
        <v>0</v>
      </c>
    </row>
    <row r="125" spans="1:11" s="645" customFormat="1" ht="13">
      <c r="A125" s="109">
        <f t="shared" si="40"/>
        <v>85</v>
      </c>
      <c r="B125" s="608" t="s">
        <v>183</v>
      </c>
      <c r="C125" s="609">
        <v>2021</v>
      </c>
      <c r="D125" s="977">
        <v>0</v>
      </c>
      <c r="E125" s="63">
        <f>D125*'16-PlantAdditions'!$E$103</f>
        <v>0</v>
      </c>
      <c r="F125" s="63">
        <f t="shared" si="41"/>
        <v>0</v>
      </c>
      <c r="G125" s="977">
        <v>0</v>
      </c>
      <c r="H125" s="977">
        <v>0</v>
      </c>
      <c r="I125" s="63">
        <f>(G125-H125)*'16-PlantAdditions'!$E$103</f>
        <v>0</v>
      </c>
      <c r="J125" s="63">
        <f t="shared" si="42"/>
        <v>0</v>
      </c>
      <c r="K125" s="477">
        <f t="shared" si="43"/>
        <v>0</v>
      </c>
    </row>
    <row r="126" spans="1:11" s="645" customFormat="1" ht="13">
      <c r="A126" s="109">
        <f t="shared" si="40"/>
        <v>86</v>
      </c>
      <c r="B126" s="611" t="s">
        <v>184</v>
      </c>
      <c r="C126" s="609">
        <v>2021</v>
      </c>
      <c r="D126" s="977">
        <v>0</v>
      </c>
      <c r="E126" s="63">
        <f>D126*'16-PlantAdditions'!$E$103</f>
        <v>0</v>
      </c>
      <c r="F126" s="63">
        <f t="shared" si="41"/>
        <v>0</v>
      </c>
      <c r="G126" s="977">
        <v>0</v>
      </c>
      <c r="H126" s="977">
        <v>0</v>
      </c>
      <c r="I126" s="63">
        <f>(G126-H126)*'16-PlantAdditions'!$E$103</f>
        <v>0</v>
      </c>
      <c r="J126" s="63">
        <f t="shared" si="42"/>
        <v>0</v>
      </c>
      <c r="K126" s="477">
        <f t="shared" si="43"/>
        <v>0</v>
      </c>
    </row>
    <row r="127" spans="1:11" s="645" customFormat="1" ht="13">
      <c r="A127" s="109">
        <f t="shared" si="40"/>
        <v>87</v>
      </c>
      <c r="B127" s="611" t="s">
        <v>1458</v>
      </c>
      <c r="C127" s="609">
        <v>2021</v>
      </c>
      <c r="D127" s="977">
        <v>0</v>
      </c>
      <c r="E127" s="63">
        <f>D127*'16-PlantAdditions'!$E$103</f>
        <v>0</v>
      </c>
      <c r="F127" s="63">
        <f t="shared" si="41"/>
        <v>0</v>
      </c>
      <c r="G127" s="977">
        <v>0</v>
      </c>
      <c r="H127" s="977">
        <v>0</v>
      </c>
      <c r="I127" s="63">
        <f>(G127-H127)*'16-PlantAdditions'!$E$103</f>
        <v>0</v>
      </c>
      <c r="J127" s="63">
        <f t="shared" si="42"/>
        <v>0</v>
      </c>
      <c r="K127" s="477">
        <f t="shared" si="43"/>
        <v>0</v>
      </c>
    </row>
    <row r="128" spans="1:11" s="645" customFormat="1" ht="13">
      <c r="A128" s="109">
        <f t="shared" si="40"/>
        <v>88</v>
      </c>
      <c r="B128" s="608" t="s">
        <v>186</v>
      </c>
      <c r="C128" s="609">
        <v>2021</v>
      </c>
      <c r="D128" s="977">
        <v>0</v>
      </c>
      <c r="E128" s="63">
        <f>D128*'16-PlantAdditions'!$E$103</f>
        <v>0</v>
      </c>
      <c r="F128" s="63">
        <f t="shared" si="41"/>
        <v>0</v>
      </c>
      <c r="G128" s="977">
        <v>0</v>
      </c>
      <c r="H128" s="977">
        <v>0</v>
      </c>
      <c r="I128" s="63">
        <f>(G128-H128)*'16-PlantAdditions'!$E$103</f>
        <v>0</v>
      </c>
      <c r="J128" s="63">
        <f t="shared" si="42"/>
        <v>0</v>
      </c>
      <c r="K128" s="477">
        <f t="shared" si="43"/>
        <v>0</v>
      </c>
    </row>
    <row r="129" spans="1:11" s="645" customFormat="1" ht="13">
      <c r="A129" s="109">
        <f t="shared" si="40"/>
        <v>89</v>
      </c>
      <c r="B129" s="611" t="s">
        <v>187</v>
      </c>
      <c r="C129" s="609">
        <v>2021</v>
      </c>
      <c r="D129" s="977">
        <v>0</v>
      </c>
      <c r="E129" s="63">
        <f>D129*'16-PlantAdditions'!$E$103</f>
        <v>0</v>
      </c>
      <c r="F129" s="63">
        <f t="shared" si="41"/>
        <v>0</v>
      </c>
      <c r="G129" s="977">
        <v>0</v>
      </c>
      <c r="H129" s="977">
        <v>0</v>
      </c>
      <c r="I129" s="63">
        <f>(G129-H129)*'16-PlantAdditions'!$E$103</f>
        <v>0</v>
      </c>
      <c r="J129" s="63">
        <f t="shared" si="42"/>
        <v>0</v>
      </c>
      <c r="K129" s="477">
        <f t="shared" si="43"/>
        <v>0</v>
      </c>
    </row>
    <row r="130" spans="1:11" s="645" customFormat="1" ht="13">
      <c r="A130" s="109">
        <f t="shared" si="40"/>
        <v>90</v>
      </c>
      <c r="B130" s="611" t="s">
        <v>188</v>
      </c>
      <c r="C130" s="609">
        <v>2021</v>
      </c>
      <c r="D130" s="977">
        <v>0</v>
      </c>
      <c r="E130" s="63">
        <f>D130*'16-PlantAdditions'!$E$103</f>
        <v>0</v>
      </c>
      <c r="F130" s="63">
        <f t="shared" si="41"/>
        <v>0</v>
      </c>
      <c r="G130" s="977">
        <v>0</v>
      </c>
      <c r="H130" s="977">
        <v>0</v>
      </c>
      <c r="I130" s="63">
        <f>(G130-H130)*'16-PlantAdditions'!$E$103</f>
        <v>0</v>
      </c>
      <c r="J130" s="63">
        <f t="shared" si="42"/>
        <v>0</v>
      </c>
      <c r="K130" s="477">
        <f t="shared" si="43"/>
        <v>0</v>
      </c>
    </row>
    <row r="131" spans="1:11" s="645" customFormat="1" ht="13">
      <c r="A131" s="109">
        <f t="shared" si="40"/>
        <v>91</v>
      </c>
      <c r="B131" s="608" t="s">
        <v>191</v>
      </c>
      <c r="C131" s="609">
        <v>2021</v>
      </c>
      <c r="D131" s="977">
        <v>0</v>
      </c>
      <c r="E131" s="63">
        <f>D131*'16-PlantAdditions'!$E$103</f>
        <v>0</v>
      </c>
      <c r="F131" s="63">
        <f t="shared" si="41"/>
        <v>0</v>
      </c>
      <c r="G131" s="977">
        <v>0</v>
      </c>
      <c r="H131" s="977">
        <v>0</v>
      </c>
      <c r="I131" s="63">
        <f>(G131-H131)*'16-PlantAdditions'!$E$103</f>
        <v>0</v>
      </c>
      <c r="J131" s="63">
        <f t="shared" si="42"/>
        <v>0</v>
      </c>
      <c r="K131" s="477">
        <f t="shared" si="43"/>
        <v>0</v>
      </c>
    </row>
    <row r="132" spans="1:11" s="645" customFormat="1" ht="13">
      <c r="A132" s="109">
        <f t="shared" si="40"/>
        <v>92</v>
      </c>
      <c r="B132" s="608" t="s">
        <v>190</v>
      </c>
      <c r="C132" s="609">
        <v>2021</v>
      </c>
      <c r="D132" s="977">
        <v>0</v>
      </c>
      <c r="E132" s="63">
        <f>D132*'16-PlantAdditions'!$E$103</f>
        <v>0</v>
      </c>
      <c r="F132" s="63">
        <f t="shared" si="41"/>
        <v>0</v>
      </c>
      <c r="G132" s="977">
        <v>0</v>
      </c>
      <c r="H132" s="977">
        <v>0</v>
      </c>
      <c r="I132" s="63">
        <f>(G132-H132)*'16-PlantAdditions'!$E$103</f>
        <v>0</v>
      </c>
      <c r="J132" s="63">
        <f t="shared" si="42"/>
        <v>0</v>
      </c>
      <c r="K132" s="477">
        <f t="shared" si="43"/>
        <v>0</v>
      </c>
    </row>
    <row r="133" spans="1:11" s="645" customFormat="1" ht="13">
      <c r="A133" s="109">
        <f t="shared" si="40"/>
        <v>93</v>
      </c>
      <c r="B133" s="608" t="s">
        <v>180</v>
      </c>
      <c r="C133" s="609">
        <v>2021</v>
      </c>
      <c r="D133" s="977">
        <v>0</v>
      </c>
      <c r="E133" s="63">
        <f>D133*'16-PlantAdditions'!$E$103</f>
        <v>0</v>
      </c>
      <c r="F133" s="63">
        <f t="shared" si="41"/>
        <v>0</v>
      </c>
      <c r="G133" s="977">
        <v>0</v>
      </c>
      <c r="H133" s="977">
        <v>0</v>
      </c>
      <c r="I133" s="63">
        <f>(G133-H133)*'16-PlantAdditions'!$E$103</f>
        <v>0</v>
      </c>
      <c r="J133" s="63">
        <f t="shared" si="42"/>
        <v>0</v>
      </c>
      <c r="K133" s="477">
        <f t="shared" si="43"/>
        <v>0</v>
      </c>
    </row>
    <row r="134" spans="1:11" s="645" customFormat="1" ht="13">
      <c r="A134" s="109">
        <f t="shared" si="40"/>
        <v>94</v>
      </c>
      <c r="B134" s="608" t="s">
        <v>181</v>
      </c>
      <c r="C134" s="609">
        <v>2022</v>
      </c>
      <c r="D134" s="977">
        <v>0</v>
      </c>
      <c r="E134" s="63">
        <f>D134*'16-PlantAdditions'!$E$103</f>
        <v>0</v>
      </c>
      <c r="F134" s="63">
        <f t="shared" si="41"/>
        <v>0</v>
      </c>
      <c r="G134" s="977">
        <v>0</v>
      </c>
      <c r="H134" s="977">
        <v>0</v>
      </c>
      <c r="I134" s="63">
        <f>(G134-H134)*'16-PlantAdditions'!$E$103</f>
        <v>0</v>
      </c>
      <c r="J134" s="63">
        <f t="shared" si="42"/>
        <v>0</v>
      </c>
      <c r="K134" s="477">
        <f t="shared" si="43"/>
        <v>0</v>
      </c>
    </row>
    <row r="135" spans="1:11" s="645" customFormat="1" ht="13">
      <c r="A135" s="109">
        <f t="shared" si="40"/>
        <v>95</v>
      </c>
      <c r="B135" s="611" t="s">
        <v>182</v>
      </c>
      <c r="C135" s="609">
        <v>2022</v>
      </c>
      <c r="D135" s="977">
        <v>0</v>
      </c>
      <c r="E135" s="63">
        <f>D135*'16-PlantAdditions'!$E$103</f>
        <v>0</v>
      </c>
      <c r="F135" s="63">
        <f t="shared" si="41"/>
        <v>0</v>
      </c>
      <c r="G135" s="977">
        <v>0</v>
      </c>
      <c r="H135" s="977">
        <v>0</v>
      </c>
      <c r="I135" s="63">
        <f>(G135-H135)*'16-PlantAdditions'!$E$103</f>
        <v>0</v>
      </c>
      <c r="J135" s="63">
        <f t="shared" si="42"/>
        <v>0</v>
      </c>
      <c r="K135" s="477">
        <f t="shared" si="43"/>
        <v>0</v>
      </c>
    </row>
    <row r="136" spans="1:11" s="645" customFormat="1" ht="13">
      <c r="A136" s="109">
        <f t="shared" si="40"/>
        <v>96</v>
      </c>
      <c r="B136" s="611" t="s">
        <v>195</v>
      </c>
      <c r="C136" s="609">
        <v>2022</v>
      </c>
      <c r="D136" s="977">
        <v>0</v>
      </c>
      <c r="E136" s="63">
        <f>D136*'16-PlantAdditions'!$E$103</f>
        <v>0</v>
      </c>
      <c r="F136" s="63">
        <f t="shared" si="41"/>
        <v>0</v>
      </c>
      <c r="G136" s="977">
        <v>0</v>
      </c>
      <c r="H136" s="977">
        <v>0</v>
      </c>
      <c r="I136" s="63">
        <f>(G136-H136)*'16-PlantAdditions'!$E$103</f>
        <v>0</v>
      </c>
      <c r="J136" s="63">
        <f t="shared" si="42"/>
        <v>0</v>
      </c>
      <c r="K136" s="477">
        <f t="shared" si="43"/>
        <v>0</v>
      </c>
    </row>
    <row r="137" spans="1:11" s="645" customFormat="1" ht="13">
      <c r="A137" s="109">
        <f t="shared" si="40"/>
        <v>97</v>
      </c>
      <c r="B137" s="608" t="s">
        <v>183</v>
      </c>
      <c r="C137" s="609">
        <v>2022</v>
      </c>
      <c r="D137" s="977">
        <v>0</v>
      </c>
      <c r="E137" s="63">
        <f>D137*'16-PlantAdditions'!$E$103</f>
        <v>0</v>
      </c>
      <c r="F137" s="63">
        <f t="shared" si="41"/>
        <v>0</v>
      </c>
      <c r="G137" s="977">
        <v>0</v>
      </c>
      <c r="H137" s="977">
        <v>0</v>
      </c>
      <c r="I137" s="63">
        <f>(G137-H137)*'16-PlantAdditions'!$E$103</f>
        <v>0</v>
      </c>
      <c r="J137" s="63">
        <f t="shared" si="42"/>
        <v>0</v>
      </c>
      <c r="K137" s="477">
        <f t="shared" si="43"/>
        <v>0</v>
      </c>
    </row>
    <row r="138" spans="1:11" s="645" customFormat="1" ht="13">
      <c r="A138" s="109">
        <f t="shared" si="40"/>
        <v>98</v>
      </c>
      <c r="B138" s="611" t="s">
        <v>184</v>
      </c>
      <c r="C138" s="609">
        <v>2022</v>
      </c>
      <c r="D138" s="977">
        <v>0</v>
      </c>
      <c r="E138" s="63">
        <f>D138*'16-PlantAdditions'!$E$103</f>
        <v>0</v>
      </c>
      <c r="F138" s="63">
        <f t="shared" si="41"/>
        <v>0</v>
      </c>
      <c r="G138" s="977">
        <v>0</v>
      </c>
      <c r="H138" s="977">
        <v>0</v>
      </c>
      <c r="I138" s="63">
        <f>(G138-H138)*'16-PlantAdditions'!$E$103</f>
        <v>0</v>
      </c>
      <c r="J138" s="63">
        <f t="shared" si="42"/>
        <v>0</v>
      </c>
      <c r="K138" s="477">
        <f t="shared" si="43"/>
        <v>0</v>
      </c>
    </row>
    <row r="139" spans="1:11" s="645" customFormat="1" ht="13">
      <c r="A139" s="109">
        <f t="shared" si="40"/>
        <v>99</v>
      </c>
      <c r="B139" s="611" t="s">
        <v>1458</v>
      </c>
      <c r="C139" s="609">
        <v>2022</v>
      </c>
      <c r="D139" s="977">
        <v>0</v>
      </c>
      <c r="E139" s="63">
        <f>D139*'16-PlantAdditions'!$E$103</f>
        <v>0</v>
      </c>
      <c r="F139" s="63">
        <f t="shared" si="41"/>
        <v>0</v>
      </c>
      <c r="G139" s="977">
        <v>0</v>
      </c>
      <c r="H139" s="977">
        <v>0</v>
      </c>
      <c r="I139" s="63">
        <f>(G139-H139)*'16-PlantAdditions'!$E$103</f>
        <v>0</v>
      </c>
      <c r="J139" s="63">
        <f t="shared" si="42"/>
        <v>0</v>
      </c>
      <c r="K139" s="477">
        <f t="shared" si="43"/>
        <v>0</v>
      </c>
    </row>
    <row r="140" spans="1:11" s="645" customFormat="1" ht="13">
      <c r="A140" s="109">
        <f t="shared" si="40"/>
        <v>100</v>
      </c>
      <c r="B140" s="608" t="s">
        <v>186</v>
      </c>
      <c r="C140" s="609">
        <v>2022</v>
      </c>
      <c r="D140" s="977">
        <v>0</v>
      </c>
      <c r="E140" s="63">
        <f>D140*'16-PlantAdditions'!$E$103</f>
        <v>0</v>
      </c>
      <c r="F140" s="63">
        <f t="shared" si="41"/>
        <v>0</v>
      </c>
      <c r="G140" s="977">
        <v>0</v>
      </c>
      <c r="H140" s="977">
        <v>0</v>
      </c>
      <c r="I140" s="63">
        <f>(G140-H140)*'16-PlantAdditions'!$E$103</f>
        <v>0</v>
      </c>
      <c r="J140" s="63">
        <f t="shared" si="42"/>
        <v>0</v>
      </c>
      <c r="K140" s="477">
        <f t="shared" si="43"/>
        <v>0</v>
      </c>
    </row>
    <row r="141" spans="1:11" s="645" customFormat="1" ht="13">
      <c r="A141" s="109">
        <f t="shared" si="40"/>
        <v>101</v>
      </c>
      <c r="B141" s="611" t="s">
        <v>187</v>
      </c>
      <c r="C141" s="609">
        <v>2022</v>
      </c>
      <c r="D141" s="977">
        <v>0</v>
      </c>
      <c r="E141" s="63">
        <f>D141*'16-PlantAdditions'!$E$103</f>
        <v>0</v>
      </c>
      <c r="F141" s="63">
        <f t="shared" si="41"/>
        <v>0</v>
      </c>
      <c r="G141" s="977">
        <v>0</v>
      </c>
      <c r="H141" s="977">
        <v>0</v>
      </c>
      <c r="I141" s="63">
        <f>(G141-H141)*'16-PlantAdditions'!$E$103</f>
        <v>0</v>
      </c>
      <c r="J141" s="63">
        <f t="shared" si="42"/>
        <v>0</v>
      </c>
      <c r="K141" s="477">
        <f t="shared" si="43"/>
        <v>0</v>
      </c>
    </row>
    <row r="142" spans="1:11" s="645" customFormat="1" ht="13">
      <c r="A142" s="109">
        <f t="shared" si="40"/>
        <v>102</v>
      </c>
      <c r="B142" s="611" t="s">
        <v>188</v>
      </c>
      <c r="C142" s="609">
        <v>2022</v>
      </c>
      <c r="D142" s="977">
        <v>0</v>
      </c>
      <c r="E142" s="63">
        <f>D142*'16-PlantAdditions'!$E$103</f>
        <v>0</v>
      </c>
      <c r="F142" s="63">
        <f t="shared" si="41"/>
        <v>0</v>
      </c>
      <c r="G142" s="977">
        <v>0</v>
      </c>
      <c r="H142" s="977">
        <v>0</v>
      </c>
      <c r="I142" s="63">
        <f>(G142-H142)*'16-PlantAdditions'!$E$103</f>
        <v>0</v>
      </c>
      <c r="J142" s="63">
        <f t="shared" si="42"/>
        <v>0</v>
      </c>
      <c r="K142" s="477">
        <f t="shared" si="43"/>
        <v>0</v>
      </c>
    </row>
    <row r="143" spans="1:11" s="645" customFormat="1" ht="13">
      <c r="A143" s="109">
        <f t="shared" si="40"/>
        <v>103</v>
      </c>
      <c r="B143" s="611" t="s">
        <v>191</v>
      </c>
      <c r="C143" s="609">
        <v>2022</v>
      </c>
      <c r="D143" s="977">
        <v>0</v>
      </c>
      <c r="E143" s="63">
        <f>D143*'16-PlantAdditions'!$E$103</f>
        <v>0</v>
      </c>
      <c r="F143" s="63">
        <f t="shared" si="41"/>
        <v>0</v>
      </c>
      <c r="G143" s="977">
        <v>0</v>
      </c>
      <c r="H143" s="977">
        <v>0</v>
      </c>
      <c r="I143" s="63">
        <f>(G143-H143)*'16-PlantAdditions'!$E$103</f>
        <v>0</v>
      </c>
      <c r="J143" s="63">
        <f t="shared" si="42"/>
        <v>0</v>
      </c>
      <c r="K143" s="477">
        <f t="shared" si="43"/>
        <v>0</v>
      </c>
    </row>
    <row r="144" spans="1:11" s="645" customFormat="1" ht="13">
      <c r="A144" s="109">
        <f t="shared" si="40"/>
        <v>104</v>
      </c>
      <c r="B144" s="611" t="s">
        <v>190</v>
      </c>
      <c r="C144" s="609">
        <v>2022</v>
      </c>
      <c r="D144" s="977">
        <v>0</v>
      </c>
      <c r="E144" s="63">
        <f>D144*'16-PlantAdditions'!$E$103</f>
        <v>0</v>
      </c>
      <c r="F144" s="63">
        <f t="shared" si="41"/>
        <v>0</v>
      </c>
      <c r="G144" s="977">
        <v>0</v>
      </c>
      <c r="H144" s="977">
        <v>0</v>
      </c>
      <c r="I144" s="63">
        <f>(G144-H144)*'16-PlantAdditions'!$E$103</f>
        <v>0</v>
      </c>
      <c r="J144" s="63">
        <f t="shared" si="42"/>
        <v>0</v>
      </c>
      <c r="K144" s="477">
        <f t="shared" si="43"/>
        <v>0</v>
      </c>
    </row>
    <row r="145" spans="1:11" s="645" customFormat="1" ht="13">
      <c r="A145" s="109">
        <f t="shared" si="40"/>
        <v>105</v>
      </c>
      <c r="B145" s="611" t="s">
        <v>180</v>
      </c>
      <c r="C145" s="609">
        <v>2022</v>
      </c>
      <c r="D145" s="977">
        <v>0</v>
      </c>
      <c r="E145" s="63">
        <f>D145*'16-PlantAdditions'!$E$103</f>
        <v>0</v>
      </c>
      <c r="F145" s="63">
        <f t="shared" si="41"/>
        <v>0</v>
      </c>
      <c r="G145" s="977">
        <v>0</v>
      </c>
      <c r="H145" s="977">
        <v>0</v>
      </c>
      <c r="I145" s="63">
        <f>(G145-H145)*'16-PlantAdditions'!$E$103</f>
        <v>0</v>
      </c>
      <c r="J145" s="63">
        <f t="shared" si="42"/>
        <v>0</v>
      </c>
      <c r="K145" s="110">
        <f t="shared" si="43"/>
        <v>0</v>
      </c>
    </row>
    <row r="146" spans="1:11" s="645" customFormat="1" ht="13">
      <c r="A146" s="109">
        <f t="shared" si="40"/>
        <v>106</v>
      </c>
      <c r="B146"/>
      <c r="C146" s="644" t="s">
        <v>1603</v>
      </c>
      <c r="D146"/>
      <c r="E146"/>
      <c r="F146"/>
      <c r="G146"/>
      <c r="H146"/>
      <c r="I146"/>
      <c r="J146"/>
      <c r="K146" s="73">
        <f>AVERAGE(K133:K145)</f>
        <v>0</v>
      </c>
    </row>
    <row r="147" spans="1:11" s="645" customFormat="1" ht="13">
      <c r="A147" s="109"/>
      <c r="B147"/>
      <c r="C147" s="644"/>
      <c r="D147"/>
      <c r="E147"/>
      <c r="F147"/>
      <c r="G147"/>
      <c r="H147"/>
      <c r="I147"/>
      <c r="J147"/>
      <c r="K147" s="73"/>
    </row>
    <row r="148" spans="1:11" s="645" customFormat="1" ht="13">
      <c r="B148" s="646" t="s">
        <v>1931</v>
      </c>
      <c r="D148" s="1514" t="s">
        <v>2730</v>
      </c>
      <c r="E148" s="1514"/>
    </row>
    <row r="149" spans="1:11" s="645" customFormat="1" ht="13">
      <c r="B149" s="646"/>
      <c r="D149" s="640" t="s">
        <v>358</v>
      </c>
      <c r="E149" s="640" t="s">
        <v>342</v>
      </c>
      <c r="F149" s="640" t="s">
        <v>343</v>
      </c>
      <c r="G149" s="640" t="s">
        <v>344</v>
      </c>
      <c r="H149" s="640" t="s">
        <v>345</v>
      </c>
      <c r="I149" s="640" t="s">
        <v>346</v>
      </c>
      <c r="J149" s="640" t="s">
        <v>347</v>
      </c>
      <c r="K149" s="640" t="s">
        <v>534</v>
      </c>
    </row>
    <row r="150" spans="1:11" s="645" customFormat="1" ht="38">
      <c r="B150" s="646"/>
      <c r="D150" s="647"/>
      <c r="E150" s="648" t="s">
        <v>2061</v>
      </c>
      <c r="F150" s="649" t="s">
        <v>1927</v>
      </c>
      <c r="G150" s="525"/>
      <c r="H150" s="647"/>
      <c r="I150" s="648" t="s">
        <v>2062</v>
      </c>
      <c r="J150" s="648" t="s">
        <v>1928</v>
      </c>
      <c r="K150" s="648" t="s">
        <v>1929</v>
      </c>
    </row>
    <row r="151" spans="1:11" s="645" customFormat="1" ht="13">
      <c r="D151" s="647"/>
      <c r="E151" s="647"/>
      <c r="F151" s="647"/>
      <c r="G151" s="549" t="str">
        <f>G51</f>
        <v>Unloaded</v>
      </c>
      <c r="H151" s="647"/>
      <c r="I151" s="647"/>
    </row>
    <row r="152" spans="1:11" s="645" customFormat="1" ht="13">
      <c r="A152" s="642"/>
      <c r="B152" s="642"/>
      <c r="C152" s="642"/>
      <c r="D152" s="642" t="str">
        <f>D$52</f>
        <v>Forecast</v>
      </c>
      <c r="E152" s="642" t="str">
        <f t="shared" ref="E152:J152" si="44">E$52</f>
        <v>Corporate</v>
      </c>
      <c r="F152" s="642" t="str">
        <f t="shared" si="44"/>
        <v xml:space="preserve">Total </v>
      </c>
      <c r="G152" s="549" t="str">
        <f>G52</f>
        <v>Total</v>
      </c>
      <c r="H152" s="642" t="str">
        <f t="shared" si="44"/>
        <v>Prior Period</v>
      </c>
      <c r="I152" s="642" t="str">
        <f t="shared" si="44"/>
        <v>Over Heads</v>
      </c>
      <c r="J152" s="642" t="str">
        <f t="shared" si="44"/>
        <v>Forecast</v>
      </c>
      <c r="K152" s="549" t="str">
        <f>K$52</f>
        <v>Forecast Period</v>
      </c>
    </row>
    <row r="153" spans="1:11" s="645" customFormat="1" ht="13">
      <c r="A153" s="833" t="s">
        <v>329</v>
      </c>
      <c r="B153" s="607" t="s">
        <v>192</v>
      </c>
      <c r="C153" s="607" t="s">
        <v>193</v>
      </c>
      <c r="D153" s="640" t="str">
        <f>D$53</f>
        <v>Expenditures</v>
      </c>
      <c r="E153" s="640" t="str">
        <f t="shared" ref="E153:J153" si="45">E$53</f>
        <v>Overheads</v>
      </c>
      <c r="F153" s="640" t="str">
        <f t="shared" si="45"/>
        <v>CWIP Exp</v>
      </c>
      <c r="G153" s="122" t="str">
        <f>G53</f>
        <v>Plant Adds</v>
      </c>
      <c r="H153" s="640" t="str">
        <f t="shared" si="45"/>
        <v>CWIP Closed</v>
      </c>
      <c r="I153" s="640" t="str">
        <f t="shared" si="45"/>
        <v>Closed to PIS</v>
      </c>
      <c r="J153" s="640" t="str">
        <f t="shared" si="45"/>
        <v>Period CWIP</v>
      </c>
      <c r="K153" s="640" t="str">
        <f>K$53</f>
        <v>Incremental CWIP</v>
      </c>
    </row>
    <row r="154" spans="1:11" s="645" customFormat="1" ht="13">
      <c r="A154" s="109">
        <f>A146+1</f>
        <v>107</v>
      </c>
      <c r="B154" s="608" t="s">
        <v>180</v>
      </c>
      <c r="C154" s="609">
        <v>2020</v>
      </c>
      <c r="D154" s="649" t="s">
        <v>76</v>
      </c>
      <c r="E154" s="649" t="s">
        <v>76</v>
      </c>
      <c r="F154" s="649" t="s">
        <v>76</v>
      </c>
      <c r="G154" s="649" t="s">
        <v>76</v>
      </c>
      <c r="H154" s="649" t="s">
        <v>76</v>
      </c>
      <c r="I154" s="649" t="s">
        <v>76</v>
      </c>
      <c r="J154" s="63">
        <f>G25</f>
        <v>5772572.9199999999</v>
      </c>
      <c r="K154" s="649" t="s">
        <v>76</v>
      </c>
    </row>
    <row r="155" spans="1:11" s="645" customFormat="1" ht="13">
      <c r="A155" s="109">
        <f>A154+1</f>
        <v>108</v>
      </c>
      <c r="B155" s="608" t="s">
        <v>181</v>
      </c>
      <c r="C155" s="609">
        <v>2021</v>
      </c>
      <c r="D155" s="977">
        <v>18952</v>
      </c>
      <c r="E155" s="63">
        <f>D155*'16-PlantAdditions'!$E$103</f>
        <v>1421.3999999999999</v>
      </c>
      <c r="F155" s="63">
        <f>E155+D155</f>
        <v>20373.400000000001</v>
      </c>
      <c r="G155" s="977">
        <v>0</v>
      </c>
      <c r="H155" s="977">
        <v>0</v>
      </c>
      <c r="I155" s="63">
        <f>(G155-H155)*'16-PlantAdditions'!$E$103</f>
        <v>0</v>
      </c>
      <c r="J155" s="63">
        <f>J154+F155-G155-I155</f>
        <v>5792946.3200000003</v>
      </c>
      <c r="K155" s="63">
        <f>J155-$J$154</f>
        <v>20373.400000000373</v>
      </c>
    </row>
    <row r="156" spans="1:11" s="645" customFormat="1" ht="13">
      <c r="A156" s="109">
        <f t="shared" ref="A156:A179" si="46">A155+1</f>
        <v>109</v>
      </c>
      <c r="B156" s="611" t="s">
        <v>182</v>
      </c>
      <c r="C156" s="609">
        <v>2021</v>
      </c>
      <c r="D156" s="977">
        <v>14837</v>
      </c>
      <c r="E156" s="63">
        <f>D156*'16-PlantAdditions'!$E$103</f>
        <v>1112.7749999999999</v>
      </c>
      <c r="F156" s="63">
        <f t="shared" ref="F156:F178" si="47">E156+D156</f>
        <v>15949.775</v>
      </c>
      <c r="G156" s="977">
        <v>0</v>
      </c>
      <c r="H156" s="977">
        <v>0</v>
      </c>
      <c r="I156" s="63">
        <f>(G156-H156)*'16-PlantAdditions'!$E$103</f>
        <v>0</v>
      </c>
      <c r="J156" s="63">
        <f t="shared" ref="J156:J175" si="48">J155+F156-G156-I156</f>
        <v>5808896.0950000007</v>
      </c>
      <c r="K156" s="63">
        <f t="shared" ref="K156:K178" si="49">J156-$J$154</f>
        <v>36323.175000000745</v>
      </c>
    </row>
    <row r="157" spans="1:11" s="645" customFormat="1" ht="13">
      <c r="A157" s="109">
        <f t="shared" si="46"/>
        <v>110</v>
      </c>
      <c r="B157" s="611" t="s">
        <v>195</v>
      </c>
      <c r="C157" s="609">
        <v>2021</v>
      </c>
      <c r="D157" s="977">
        <v>12669</v>
      </c>
      <c r="E157" s="63">
        <f>D157*'16-PlantAdditions'!$E$103</f>
        <v>950.17499999999995</v>
      </c>
      <c r="F157" s="63">
        <f t="shared" si="47"/>
        <v>13619.174999999999</v>
      </c>
      <c r="G157" s="977">
        <v>0</v>
      </c>
      <c r="H157" s="977">
        <v>0</v>
      </c>
      <c r="I157" s="63">
        <f>(G157-H157)*'16-PlantAdditions'!$E$103</f>
        <v>0</v>
      </c>
      <c r="J157" s="63">
        <f t="shared" si="48"/>
        <v>5822515.2700000005</v>
      </c>
      <c r="K157" s="63">
        <f t="shared" si="49"/>
        <v>49942.350000000559</v>
      </c>
    </row>
    <row r="158" spans="1:11" s="645" customFormat="1" ht="13">
      <c r="A158" s="109">
        <f t="shared" si="46"/>
        <v>111</v>
      </c>
      <c r="B158" s="608" t="s">
        <v>183</v>
      </c>
      <c r="C158" s="609">
        <v>2021</v>
      </c>
      <c r="D158" s="977">
        <v>20000</v>
      </c>
      <c r="E158" s="63">
        <f>D158*'16-PlantAdditions'!$E$103</f>
        <v>1500</v>
      </c>
      <c r="F158" s="63">
        <f t="shared" si="47"/>
        <v>21500</v>
      </c>
      <c r="G158" s="977">
        <v>0</v>
      </c>
      <c r="H158" s="977">
        <v>0</v>
      </c>
      <c r="I158" s="63">
        <f>(G158-H158)*'16-PlantAdditions'!$E$103</f>
        <v>0</v>
      </c>
      <c r="J158" s="63">
        <f t="shared" si="48"/>
        <v>5844015.2700000005</v>
      </c>
      <c r="K158" s="63">
        <f t="shared" si="49"/>
        <v>71442.350000000559</v>
      </c>
    </row>
    <row r="159" spans="1:11" s="645" customFormat="1" ht="13">
      <c r="A159" s="109">
        <f t="shared" si="46"/>
        <v>112</v>
      </c>
      <c r="B159" s="611" t="s">
        <v>184</v>
      </c>
      <c r="C159" s="609">
        <v>2021</v>
      </c>
      <c r="D159" s="977">
        <v>20000</v>
      </c>
      <c r="E159" s="63">
        <f>D159*'16-PlantAdditions'!$E$103</f>
        <v>1500</v>
      </c>
      <c r="F159" s="63">
        <f t="shared" si="47"/>
        <v>21500</v>
      </c>
      <c r="G159" s="977">
        <v>0</v>
      </c>
      <c r="H159" s="977">
        <v>0</v>
      </c>
      <c r="I159" s="63">
        <f>(G159-H159)*'16-PlantAdditions'!$E$103</f>
        <v>0</v>
      </c>
      <c r="J159" s="63">
        <f t="shared" si="48"/>
        <v>5865515.2700000005</v>
      </c>
      <c r="K159" s="63">
        <f t="shared" si="49"/>
        <v>92942.350000000559</v>
      </c>
    </row>
    <row r="160" spans="1:11" s="645" customFormat="1" ht="13">
      <c r="A160" s="109">
        <f t="shared" si="46"/>
        <v>113</v>
      </c>
      <c r="B160" s="611" t="s">
        <v>1458</v>
      </c>
      <c r="C160" s="609">
        <v>2021</v>
      </c>
      <c r="D160" s="977">
        <v>20000</v>
      </c>
      <c r="E160" s="63">
        <f>D160*'16-PlantAdditions'!$E$103</f>
        <v>1500</v>
      </c>
      <c r="F160" s="63">
        <f t="shared" si="47"/>
        <v>21500</v>
      </c>
      <c r="G160" s="977">
        <v>0</v>
      </c>
      <c r="H160" s="977">
        <v>0</v>
      </c>
      <c r="I160" s="63">
        <f>(G160-H160)*'16-PlantAdditions'!$E$103</f>
        <v>0</v>
      </c>
      <c r="J160" s="63">
        <f t="shared" si="48"/>
        <v>5887015.2700000005</v>
      </c>
      <c r="K160" s="63">
        <f t="shared" si="49"/>
        <v>114442.35000000056</v>
      </c>
    </row>
    <row r="161" spans="1:11" s="645" customFormat="1" ht="13">
      <c r="A161" s="109">
        <f t="shared" si="46"/>
        <v>114</v>
      </c>
      <c r="B161" s="608" t="s">
        <v>186</v>
      </c>
      <c r="C161" s="609">
        <v>2021</v>
      </c>
      <c r="D161" s="977">
        <v>36211</v>
      </c>
      <c r="E161" s="63">
        <f>D161*'16-PlantAdditions'!$E$103</f>
        <v>2715.8249999999998</v>
      </c>
      <c r="F161" s="63">
        <f t="shared" si="47"/>
        <v>38926.824999999997</v>
      </c>
      <c r="G161" s="977">
        <v>0</v>
      </c>
      <c r="H161" s="977">
        <v>0</v>
      </c>
      <c r="I161" s="63">
        <f>(G161-H161)*'16-PlantAdditions'!$E$103</f>
        <v>0</v>
      </c>
      <c r="J161" s="63">
        <f t="shared" si="48"/>
        <v>5925942.0950000007</v>
      </c>
      <c r="K161" s="63">
        <f t="shared" si="49"/>
        <v>153369.17500000075</v>
      </c>
    </row>
    <row r="162" spans="1:11" s="645" customFormat="1" ht="13">
      <c r="A162" s="109">
        <f t="shared" si="46"/>
        <v>115</v>
      </c>
      <c r="B162" s="611" t="s">
        <v>187</v>
      </c>
      <c r="C162" s="609">
        <v>2021</v>
      </c>
      <c r="D162" s="977">
        <v>50000</v>
      </c>
      <c r="E162" s="63">
        <f>D162*'16-PlantAdditions'!$E$103</f>
        <v>3750</v>
      </c>
      <c r="F162" s="63">
        <f t="shared" si="47"/>
        <v>53750</v>
      </c>
      <c r="G162" s="977">
        <v>0</v>
      </c>
      <c r="H162" s="977">
        <v>0</v>
      </c>
      <c r="I162" s="63">
        <f>(G162-H162)*'16-PlantAdditions'!$E$103</f>
        <v>0</v>
      </c>
      <c r="J162" s="63">
        <f t="shared" si="48"/>
        <v>5979692.0950000007</v>
      </c>
      <c r="K162" s="63">
        <f t="shared" si="49"/>
        <v>207119.17500000075</v>
      </c>
    </row>
    <row r="163" spans="1:11" s="645" customFormat="1" ht="13">
      <c r="A163" s="109">
        <f t="shared" si="46"/>
        <v>116</v>
      </c>
      <c r="B163" s="611" t="s">
        <v>188</v>
      </c>
      <c r="C163" s="609">
        <v>2021</v>
      </c>
      <c r="D163" s="977">
        <v>50000</v>
      </c>
      <c r="E163" s="63">
        <f>D163*'16-PlantAdditions'!$E$103</f>
        <v>3750</v>
      </c>
      <c r="F163" s="63">
        <f t="shared" si="47"/>
        <v>53750</v>
      </c>
      <c r="G163" s="977">
        <v>0</v>
      </c>
      <c r="H163" s="977">
        <v>0</v>
      </c>
      <c r="I163" s="63">
        <f>(G163-H163)*'16-PlantAdditions'!$E$103</f>
        <v>0</v>
      </c>
      <c r="J163" s="63">
        <f t="shared" si="48"/>
        <v>6033442.0950000007</v>
      </c>
      <c r="K163" s="63">
        <f t="shared" si="49"/>
        <v>260869.17500000075</v>
      </c>
    </row>
    <row r="164" spans="1:11" s="645" customFormat="1" ht="13">
      <c r="A164" s="109">
        <f t="shared" si="46"/>
        <v>117</v>
      </c>
      <c r="B164" s="608" t="s">
        <v>191</v>
      </c>
      <c r="C164" s="609">
        <v>2021</v>
      </c>
      <c r="D164" s="977">
        <v>50000</v>
      </c>
      <c r="E164" s="63">
        <f>D164*'16-PlantAdditions'!$E$103</f>
        <v>3750</v>
      </c>
      <c r="F164" s="63">
        <f t="shared" si="47"/>
        <v>53750</v>
      </c>
      <c r="G164" s="977">
        <v>0</v>
      </c>
      <c r="H164" s="977">
        <v>0</v>
      </c>
      <c r="I164" s="63">
        <f>(G164-H164)*'16-PlantAdditions'!$E$103</f>
        <v>0</v>
      </c>
      <c r="J164" s="63">
        <f t="shared" si="48"/>
        <v>6087192.0950000007</v>
      </c>
      <c r="K164" s="63">
        <f t="shared" si="49"/>
        <v>314619.17500000075</v>
      </c>
    </row>
    <row r="165" spans="1:11" s="645" customFormat="1" ht="13">
      <c r="A165" s="109">
        <f t="shared" si="46"/>
        <v>118</v>
      </c>
      <c r="B165" s="608" t="s">
        <v>190</v>
      </c>
      <c r="C165" s="609">
        <v>2021</v>
      </c>
      <c r="D165" s="977">
        <v>50000</v>
      </c>
      <c r="E165" s="63">
        <f>D165*'16-PlantAdditions'!$E$103</f>
        <v>3750</v>
      </c>
      <c r="F165" s="63">
        <f t="shared" si="47"/>
        <v>53750</v>
      </c>
      <c r="G165" s="977">
        <v>0</v>
      </c>
      <c r="H165" s="977">
        <v>0</v>
      </c>
      <c r="I165" s="63">
        <f>(G165-H165)*'16-PlantAdditions'!$E$103</f>
        <v>0</v>
      </c>
      <c r="J165" s="63">
        <f t="shared" si="48"/>
        <v>6140942.0950000007</v>
      </c>
      <c r="K165" s="63">
        <f t="shared" si="49"/>
        <v>368369.17500000075</v>
      </c>
    </row>
    <row r="166" spans="1:11" s="645" customFormat="1" ht="13">
      <c r="A166" s="109">
        <f t="shared" si="46"/>
        <v>119</v>
      </c>
      <c r="B166" s="608" t="s">
        <v>180</v>
      </c>
      <c r="C166" s="609">
        <v>2021</v>
      </c>
      <c r="D166" s="977">
        <v>57331</v>
      </c>
      <c r="E166" s="63">
        <f>D166*'16-PlantAdditions'!$E$103</f>
        <v>4299.8249999999998</v>
      </c>
      <c r="F166" s="63">
        <f t="shared" si="47"/>
        <v>61630.824999999997</v>
      </c>
      <c r="G166" s="977">
        <v>0</v>
      </c>
      <c r="H166" s="977">
        <v>0</v>
      </c>
      <c r="I166" s="63">
        <f>(G166-H166)*'16-PlantAdditions'!$E$103</f>
        <v>0</v>
      </c>
      <c r="J166" s="63">
        <f t="shared" si="48"/>
        <v>6202572.9200000009</v>
      </c>
      <c r="K166" s="63">
        <f t="shared" si="49"/>
        <v>430000.00000000093</v>
      </c>
    </row>
    <row r="167" spans="1:11" s="645" customFormat="1" ht="13">
      <c r="A167" s="109">
        <f t="shared" si="46"/>
        <v>120</v>
      </c>
      <c r="B167" s="608" t="s">
        <v>181</v>
      </c>
      <c r="C167" s="609">
        <v>2022</v>
      </c>
      <c r="D167" s="977">
        <v>80000</v>
      </c>
      <c r="E167" s="63">
        <f>D167*'16-PlantAdditions'!$E$103</f>
        <v>6000</v>
      </c>
      <c r="F167" s="63">
        <f t="shared" si="47"/>
        <v>86000</v>
      </c>
      <c r="G167" s="977">
        <v>0</v>
      </c>
      <c r="H167" s="977">
        <v>0</v>
      </c>
      <c r="I167" s="63">
        <f>(G167-H167)*'16-PlantAdditions'!$E$103</f>
        <v>0</v>
      </c>
      <c r="J167" s="63">
        <f t="shared" si="48"/>
        <v>6288572.9200000009</v>
      </c>
      <c r="K167" s="63">
        <f t="shared" si="49"/>
        <v>516000.00000000093</v>
      </c>
    </row>
    <row r="168" spans="1:11" s="645" customFormat="1" ht="13">
      <c r="A168" s="109">
        <f t="shared" si="46"/>
        <v>121</v>
      </c>
      <c r="B168" s="611" t="s">
        <v>182</v>
      </c>
      <c r="C168" s="609">
        <v>2022</v>
      </c>
      <c r="D168" s="977">
        <v>80000</v>
      </c>
      <c r="E168" s="63">
        <f>D168*'16-PlantAdditions'!$E$103</f>
        <v>6000</v>
      </c>
      <c r="F168" s="63">
        <f t="shared" si="47"/>
        <v>86000</v>
      </c>
      <c r="G168" s="977">
        <v>0</v>
      </c>
      <c r="H168" s="977">
        <v>0</v>
      </c>
      <c r="I168" s="63">
        <f>(G168-H168)*'16-PlantAdditions'!$E$103</f>
        <v>0</v>
      </c>
      <c r="J168" s="63">
        <f t="shared" si="48"/>
        <v>6374572.9200000009</v>
      </c>
      <c r="K168" s="63">
        <f t="shared" si="49"/>
        <v>602000.00000000093</v>
      </c>
    </row>
    <row r="169" spans="1:11" s="645" customFormat="1" ht="13">
      <c r="A169" s="109">
        <f t="shared" si="46"/>
        <v>122</v>
      </c>
      <c r="B169" s="611" t="s">
        <v>195</v>
      </c>
      <c r="C169" s="609">
        <v>2022</v>
      </c>
      <c r="D169" s="977">
        <v>180000</v>
      </c>
      <c r="E169" s="63">
        <f>D169*'16-PlantAdditions'!$E$103</f>
        <v>13500</v>
      </c>
      <c r="F169" s="63">
        <f t="shared" si="47"/>
        <v>193500</v>
      </c>
      <c r="G169" s="977">
        <v>0</v>
      </c>
      <c r="H169" s="977">
        <v>0</v>
      </c>
      <c r="I169" s="63">
        <f>(G169-H169)*'16-PlantAdditions'!$E$103</f>
        <v>0</v>
      </c>
      <c r="J169" s="63">
        <f t="shared" si="48"/>
        <v>6568072.9200000009</v>
      </c>
      <c r="K169" s="63">
        <f t="shared" si="49"/>
        <v>795500.00000000093</v>
      </c>
    </row>
    <row r="170" spans="1:11" s="645" customFormat="1" ht="13">
      <c r="A170" s="109">
        <f t="shared" si="46"/>
        <v>123</v>
      </c>
      <c r="B170" s="608" t="s">
        <v>183</v>
      </c>
      <c r="C170" s="609">
        <v>2022</v>
      </c>
      <c r="D170" s="977">
        <v>180000</v>
      </c>
      <c r="E170" s="63">
        <f>D170*'16-PlantAdditions'!$E$103</f>
        <v>13500</v>
      </c>
      <c r="F170" s="63">
        <f t="shared" si="47"/>
        <v>193500</v>
      </c>
      <c r="G170" s="977">
        <v>0</v>
      </c>
      <c r="H170" s="977">
        <v>0</v>
      </c>
      <c r="I170" s="63">
        <f>(G170-H170)*'16-PlantAdditions'!$E$103</f>
        <v>0</v>
      </c>
      <c r="J170" s="63">
        <f t="shared" si="48"/>
        <v>6761572.9200000009</v>
      </c>
      <c r="K170" s="63">
        <f t="shared" si="49"/>
        <v>989000.00000000093</v>
      </c>
    </row>
    <row r="171" spans="1:11" s="645" customFormat="1" ht="13">
      <c r="A171" s="109">
        <f t="shared" si="46"/>
        <v>124</v>
      </c>
      <c r="B171" s="611" t="s">
        <v>184</v>
      </c>
      <c r="C171" s="609">
        <v>2022</v>
      </c>
      <c r="D171" s="977">
        <v>180000</v>
      </c>
      <c r="E171" s="63">
        <f>D171*'16-PlantAdditions'!$E$103</f>
        <v>13500</v>
      </c>
      <c r="F171" s="63">
        <f t="shared" si="47"/>
        <v>193500</v>
      </c>
      <c r="G171" s="977">
        <v>0</v>
      </c>
      <c r="H171" s="977">
        <v>0</v>
      </c>
      <c r="I171" s="63">
        <f>(G171-H171)*'16-PlantAdditions'!$E$103</f>
        <v>0</v>
      </c>
      <c r="J171" s="63">
        <f t="shared" si="48"/>
        <v>6955072.9200000009</v>
      </c>
      <c r="K171" s="63">
        <f t="shared" si="49"/>
        <v>1182500.0000000009</v>
      </c>
    </row>
    <row r="172" spans="1:11" s="645" customFormat="1" ht="13">
      <c r="A172" s="109">
        <f t="shared" si="46"/>
        <v>125</v>
      </c>
      <c r="B172" s="611" t="s">
        <v>1458</v>
      </c>
      <c r="C172" s="609">
        <v>2022</v>
      </c>
      <c r="D172" s="977">
        <v>180000</v>
      </c>
      <c r="E172" s="63">
        <f>D172*'16-PlantAdditions'!$E$103</f>
        <v>13500</v>
      </c>
      <c r="F172" s="63">
        <f t="shared" si="47"/>
        <v>193500</v>
      </c>
      <c r="G172" s="977">
        <v>0</v>
      </c>
      <c r="H172" s="977">
        <v>0</v>
      </c>
      <c r="I172" s="63">
        <f>(G172-H172)*'16-PlantAdditions'!$E$103</f>
        <v>0</v>
      </c>
      <c r="J172" s="63">
        <f t="shared" si="48"/>
        <v>7148572.9200000009</v>
      </c>
      <c r="K172" s="63">
        <f t="shared" si="49"/>
        <v>1376000.0000000009</v>
      </c>
    </row>
    <row r="173" spans="1:11" s="645" customFormat="1" ht="13">
      <c r="A173" s="109">
        <f t="shared" si="46"/>
        <v>126</v>
      </c>
      <c r="B173" s="608" t="s">
        <v>186</v>
      </c>
      <c r="C173" s="609">
        <v>2022</v>
      </c>
      <c r="D173" s="977">
        <v>180000</v>
      </c>
      <c r="E173" s="63">
        <f>D173*'16-PlantAdditions'!$E$103</f>
        <v>13500</v>
      </c>
      <c r="F173" s="63">
        <f t="shared" si="47"/>
        <v>193500</v>
      </c>
      <c r="G173" s="977">
        <v>0</v>
      </c>
      <c r="H173" s="977">
        <v>0</v>
      </c>
      <c r="I173" s="63">
        <f>(G173-H173)*'16-PlantAdditions'!$E$103</f>
        <v>0</v>
      </c>
      <c r="J173" s="63">
        <f t="shared" si="48"/>
        <v>7342072.9200000009</v>
      </c>
      <c r="K173" s="63">
        <f t="shared" si="49"/>
        <v>1569500.0000000009</v>
      </c>
    </row>
    <row r="174" spans="1:11" s="645" customFormat="1" ht="13">
      <c r="A174" s="109">
        <f t="shared" si="46"/>
        <v>127</v>
      </c>
      <c r="B174" s="611" t="s">
        <v>187</v>
      </c>
      <c r="C174" s="609">
        <v>2022</v>
      </c>
      <c r="D174" s="977">
        <v>1080000</v>
      </c>
      <c r="E174" s="63">
        <f>D174*'16-PlantAdditions'!$E$103</f>
        <v>81000</v>
      </c>
      <c r="F174" s="63">
        <f t="shared" si="47"/>
        <v>1161000</v>
      </c>
      <c r="G174" s="977">
        <v>0</v>
      </c>
      <c r="H174" s="977">
        <v>0</v>
      </c>
      <c r="I174" s="63">
        <f>(G174-H174)*'16-PlantAdditions'!$E$103</f>
        <v>0</v>
      </c>
      <c r="J174" s="63">
        <f t="shared" si="48"/>
        <v>8503072.9200000018</v>
      </c>
      <c r="K174" s="63">
        <f t="shared" si="49"/>
        <v>2730500.0000000019</v>
      </c>
    </row>
    <row r="175" spans="1:11" s="645" customFormat="1" ht="13">
      <c r="A175" s="109">
        <f t="shared" si="46"/>
        <v>128</v>
      </c>
      <c r="B175" s="611" t="s">
        <v>188</v>
      </c>
      <c r="C175" s="609">
        <v>2022</v>
      </c>
      <c r="D175" s="977">
        <v>1080000</v>
      </c>
      <c r="E175" s="63">
        <f>D175*'16-PlantAdditions'!$E$103</f>
        <v>81000</v>
      </c>
      <c r="F175" s="63">
        <f t="shared" si="47"/>
        <v>1161000</v>
      </c>
      <c r="G175" s="977">
        <v>0</v>
      </c>
      <c r="H175" s="977">
        <v>0</v>
      </c>
      <c r="I175" s="63">
        <f>(G175-H175)*'16-PlantAdditions'!$E$103</f>
        <v>0</v>
      </c>
      <c r="J175" s="63">
        <f t="shared" si="48"/>
        <v>9664072.9200000018</v>
      </c>
      <c r="K175" s="63">
        <f t="shared" si="49"/>
        <v>3891500.0000000019</v>
      </c>
    </row>
    <row r="176" spans="1:11" s="645" customFormat="1" ht="13">
      <c r="A176" s="109">
        <f t="shared" si="46"/>
        <v>129</v>
      </c>
      <c r="B176" s="611" t="s">
        <v>191</v>
      </c>
      <c r="C176" s="609">
        <v>2022</v>
      </c>
      <c r="D176" s="977">
        <v>1080000</v>
      </c>
      <c r="E176" s="63">
        <f>D176*'16-PlantAdditions'!$E$103</f>
        <v>81000</v>
      </c>
      <c r="F176" s="63">
        <f t="shared" si="47"/>
        <v>1161000</v>
      </c>
      <c r="G176" s="977">
        <v>0</v>
      </c>
      <c r="H176" s="977">
        <v>0</v>
      </c>
      <c r="I176" s="63">
        <f>(G176-H176)*'16-PlantAdditions'!$E$103</f>
        <v>0</v>
      </c>
      <c r="J176" s="63">
        <f t="shared" ref="J176:J178" si="50">J175+F176-G176-I176</f>
        <v>10825072.920000002</v>
      </c>
      <c r="K176" s="63">
        <f t="shared" si="49"/>
        <v>5052500.0000000019</v>
      </c>
    </row>
    <row r="177" spans="1:11" s="645" customFormat="1" ht="13">
      <c r="A177" s="109">
        <f t="shared" si="46"/>
        <v>130</v>
      </c>
      <c r="B177" s="611" t="s">
        <v>190</v>
      </c>
      <c r="C177" s="609">
        <v>2022</v>
      </c>
      <c r="D177" s="977">
        <v>1080000</v>
      </c>
      <c r="E177" s="63">
        <f>D177*'16-PlantAdditions'!$E$103</f>
        <v>81000</v>
      </c>
      <c r="F177" s="63">
        <f t="shared" si="47"/>
        <v>1161000</v>
      </c>
      <c r="G177" s="977">
        <v>0</v>
      </c>
      <c r="H177" s="977">
        <v>0</v>
      </c>
      <c r="I177" s="63">
        <f>(G177-H177)*'16-PlantAdditions'!$E$103</f>
        <v>0</v>
      </c>
      <c r="J177" s="63">
        <f t="shared" si="50"/>
        <v>11986072.920000002</v>
      </c>
      <c r="K177" s="63">
        <f t="shared" si="49"/>
        <v>6213500.0000000019</v>
      </c>
    </row>
    <row r="178" spans="1:11" s="645" customFormat="1" ht="13">
      <c r="A178" s="109">
        <f t="shared" si="46"/>
        <v>131</v>
      </c>
      <c r="B178" s="611" t="s">
        <v>180</v>
      </c>
      <c r="C178" s="609">
        <v>2022</v>
      </c>
      <c r="D178" s="977">
        <v>120000</v>
      </c>
      <c r="E178" s="63">
        <f>D178*'16-PlantAdditions'!$E$103</f>
        <v>9000</v>
      </c>
      <c r="F178" s="63">
        <f t="shared" si="47"/>
        <v>129000</v>
      </c>
      <c r="G178" s="977">
        <v>0</v>
      </c>
      <c r="H178" s="977">
        <v>0</v>
      </c>
      <c r="I178" s="63">
        <f>(G178-H178)*'16-PlantAdditions'!$E$103</f>
        <v>0</v>
      </c>
      <c r="J178" s="63">
        <f t="shared" si="50"/>
        <v>12115072.920000002</v>
      </c>
      <c r="K178" s="110">
        <f t="shared" si="49"/>
        <v>6342500.0000000019</v>
      </c>
    </row>
    <row r="179" spans="1:11" s="645" customFormat="1" ht="13">
      <c r="A179" s="109">
        <f t="shared" si="46"/>
        <v>132</v>
      </c>
      <c r="B179"/>
      <c r="C179" s="644" t="s">
        <v>1603</v>
      </c>
      <c r="D179"/>
      <c r="E179"/>
      <c r="F179"/>
      <c r="G179"/>
      <c r="H179"/>
      <c r="I179"/>
      <c r="J179"/>
      <c r="K179" s="73">
        <f>AVERAGE(K166:K178)</f>
        <v>2437769.2307692319</v>
      </c>
    </row>
    <row r="180" spans="1:11" s="645" customFormat="1" ht="13">
      <c r="A180" s="109"/>
      <c r="B180"/>
      <c r="C180" s="644"/>
      <c r="D180"/>
      <c r="E180"/>
      <c r="F180"/>
      <c r="G180"/>
      <c r="H180"/>
      <c r="I180"/>
      <c r="J180"/>
      <c r="K180" s="73"/>
    </row>
    <row r="181" spans="1:11" s="645" customFormat="1" ht="13">
      <c r="B181" s="646" t="s">
        <v>1932</v>
      </c>
      <c r="D181" s="1514" t="s">
        <v>2731</v>
      </c>
      <c r="E181" s="1514"/>
    </row>
    <row r="182" spans="1:11" s="645" customFormat="1" ht="13">
      <c r="A182" s="640"/>
      <c r="B182" s="640"/>
      <c r="C182" s="640"/>
      <c r="D182" s="640" t="s">
        <v>358</v>
      </c>
      <c r="E182" s="640" t="s">
        <v>342</v>
      </c>
      <c r="F182" s="640" t="s">
        <v>343</v>
      </c>
      <c r="G182" s="640" t="s">
        <v>344</v>
      </c>
      <c r="H182" s="640" t="s">
        <v>345</v>
      </c>
      <c r="I182" s="640" t="s">
        <v>346</v>
      </c>
      <c r="J182" s="640" t="s">
        <v>347</v>
      </c>
      <c r="K182" s="640" t="s">
        <v>534</v>
      </c>
    </row>
    <row r="183" spans="1:11" s="645" customFormat="1" ht="38">
      <c r="D183" s="647"/>
      <c r="E183" s="648" t="s">
        <v>2061</v>
      </c>
      <c r="F183" s="649" t="s">
        <v>1927</v>
      </c>
      <c r="G183" s="525"/>
      <c r="H183" s="647"/>
      <c r="I183" s="648" t="s">
        <v>2062</v>
      </c>
      <c r="J183" s="648" t="s">
        <v>1928</v>
      </c>
      <c r="K183" s="648" t="s">
        <v>1929</v>
      </c>
    </row>
    <row r="184" spans="1:11" s="645" customFormat="1" ht="13">
      <c r="D184" s="647"/>
      <c r="E184" s="648"/>
      <c r="F184" s="649"/>
      <c r="G184" s="4" t="str">
        <f>G51</f>
        <v>Unloaded</v>
      </c>
      <c r="H184" s="647"/>
      <c r="I184" s="648"/>
      <c r="J184" s="648"/>
      <c r="K184" s="648"/>
    </row>
    <row r="185" spans="1:11" s="645" customFormat="1" ht="13">
      <c r="A185" s="642"/>
      <c r="B185" s="642"/>
      <c r="C185" s="642"/>
      <c r="D185" s="642" t="str">
        <f>D$52</f>
        <v>Forecast</v>
      </c>
      <c r="E185" s="642" t="str">
        <f t="shared" ref="E185:J185" si="51">E$52</f>
        <v>Corporate</v>
      </c>
      <c r="F185" s="642" t="str">
        <f t="shared" si="51"/>
        <v xml:space="preserve">Total </v>
      </c>
      <c r="G185" s="4" t="str">
        <f>G52</f>
        <v>Total</v>
      </c>
      <c r="H185" s="642" t="str">
        <f t="shared" si="51"/>
        <v>Prior Period</v>
      </c>
      <c r="I185" s="642" t="str">
        <f t="shared" si="51"/>
        <v>Over Heads</v>
      </c>
      <c r="J185" s="642" t="str">
        <f t="shared" si="51"/>
        <v>Forecast</v>
      </c>
      <c r="K185" s="549" t="str">
        <f>K$52</f>
        <v>Forecast Period</v>
      </c>
    </row>
    <row r="186" spans="1:11" s="645" customFormat="1" ht="13">
      <c r="A186" s="833" t="s">
        <v>329</v>
      </c>
      <c r="B186" s="607" t="s">
        <v>192</v>
      </c>
      <c r="C186" s="607" t="s">
        <v>193</v>
      </c>
      <c r="D186" s="640" t="str">
        <f>D$53</f>
        <v>Expenditures</v>
      </c>
      <c r="E186" s="640" t="str">
        <f t="shared" ref="E186:J186" si="52">E$53</f>
        <v>Overheads</v>
      </c>
      <c r="F186" s="640" t="str">
        <f t="shared" si="52"/>
        <v>CWIP Exp</v>
      </c>
      <c r="G186" s="84" t="str">
        <f>G53</f>
        <v>Plant Adds</v>
      </c>
      <c r="H186" s="640" t="str">
        <f t="shared" si="52"/>
        <v>CWIP Closed</v>
      </c>
      <c r="I186" s="640" t="str">
        <f t="shared" si="52"/>
        <v>Closed to PIS</v>
      </c>
      <c r="J186" s="640" t="str">
        <f t="shared" si="52"/>
        <v>Period CWIP</v>
      </c>
      <c r="K186" s="640" t="str">
        <f>K$53</f>
        <v>Incremental CWIP</v>
      </c>
    </row>
    <row r="187" spans="1:11" s="645" customFormat="1" ht="13">
      <c r="A187" s="109">
        <f>A179+1</f>
        <v>133</v>
      </c>
      <c r="B187" s="608" t="s">
        <v>180</v>
      </c>
      <c r="C187" s="609">
        <v>2020</v>
      </c>
      <c r="D187" s="649" t="s">
        <v>76</v>
      </c>
      <c r="E187" s="649" t="s">
        <v>76</v>
      </c>
      <c r="F187" s="649" t="s">
        <v>76</v>
      </c>
      <c r="G187" s="649" t="s">
        <v>76</v>
      </c>
      <c r="H187" s="649" t="s">
        <v>76</v>
      </c>
      <c r="I187" s="649" t="s">
        <v>76</v>
      </c>
      <c r="J187" s="63">
        <f>H25</f>
        <v>650835316.65999997</v>
      </c>
      <c r="K187" s="649" t="s">
        <v>76</v>
      </c>
    </row>
    <row r="188" spans="1:11" s="645" customFormat="1" ht="13">
      <c r="A188" s="109">
        <f>A187+1</f>
        <v>134</v>
      </c>
      <c r="B188" s="608" t="s">
        <v>181</v>
      </c>
      <c r="C188" s="609">
        <v>2021</v>
      </c>
      <c r="D188" s="977">
        <v>5671306</v>
      </c>
      <c r="E188" s="63">
        <f>D188*'16-PlantAdditions'!$E$103</f>
        <v>425347.95</v>
      </c>
      <c r="F188" s="63">
        <f>E188+D188</f>
        <v>6096653.9500000002</v>
      </c>
      <c r="G188" s="977">
        <v>8467157.3200000003</v>
      </c>
      <c r="H188" s="977">
        <v>8293380.3200000003</v>
      </c>
      <c r="I188" s="63">
        <f>(G188-H188)*'16-PlantAdditions'!$E$103</f>
        <v>13033.275</v>
      </c>
      <c r="J188" s="63">
        <f>J187+F188-G188-I188</f>
        <v>648451780.01499999</v>
      </c>
      <c r="K188" s="63">
        <f>J188-$J$187</f>
        <v>-2383536.6449999809</v>
      </c>
    </row>
    <row r="189" spans="1:11" s="645" customFormat="1" ht="13">
      <c r="A189" s="109">
        <f t="shared" ref="A189:A212" si="53">A188+1</f>
        <v>135</v>
      </c>
      <c r="B189" s="611" t="s">
        <v>182</v>
      </c>
      <c r="C189" s="609">
        <v>2021</v>
      </c>
      <c r="D189" s="977">
        <v>7116907.9999999991</v>
      </c>
      <c r="E189" s="63">
        <f>D189*'16-PlantAdditions'!$E$103</f>
        <v>533768.09999999986</v>
      </c>
      <c r="F189" s="63">
        <f t="shared" ref="F189:F208" si="54">E189+D189</f>
        <v>7650676.0999999987</v>
      </c>
      <c r="G189" s="977">
        <v>130291</v>
      </c>
      <c r="H189" s="977">
        <v>0</v>
      </c>
      <c r="I189" s="63">
        <f>(G189-H189)*'16-PlantAdditions'!$E$103</f>
        <v>9771.8249999999989</v>
      </c>
      <c r="J189" s="63">
        <f t="shared" ref="J189:J208" si="55">J188+F189-G189-I189</f>
        <v>655962393.28999996</v>
      </c>
      <c r="K189" s="63">
        <f t="shared" ref="K189:K211" si="56">J189-$J$187</f>
        <v>5127076.6299999952</v>
      </c>
    </row>
    <row r="190" spans="1:11" s="645" customFormat="1" ht="13">
      <c r="A190" s="109">
        <f t="shared" si="53"/>
        <v>136</v>
      </c>
      <c r="B190" s="611" t="s">
        <v>195</v>
      </c>
      <c r="C190" s="609">
        <v>2021</v>
      </c>
      <c r="D190" s="977">
        <v>2053685</v>
      </c>
      <c r="E190" s="63">
        <f>D190*'16-PlantAdditions'!$E$103</f>
        <v>154026.375</v>
      </c>
      <c r="F190" s="63">
        <f t="shared" si="54"/>
        <v>2207711.375</v>
      </c>
      <c r="G190" s="977">
        <v>65883</v>
      </c>
      <c r="H190" s="977">
        <v>0</v>
      </c>
      <c r="I190" s="63">
        <f>(G190-H190)*'16-PlantAdditions'!$E$103</f>
        <v>4941.2249999999995</v>
      </c>
      <c r="J190" s="63">
        <f t="shared" si="55"/>
        <v>658099280.43999994</v>
      </c>
      <c r="K190" s="63">
        <f t="shared" si="56"/>
        <v>7263963.7799999714</v>
      </c>
    </row>
    <row r="191" spans="1:11" s="645" customFormat="1" ht="13">
      <c r="A191" s="109">
        <f t="shared" si="53"/>
        <v>137</v>
      </c>
      <c r="B191" s="608" t="s">
        <v>183</v>
      </c>
      <c r="C191" s="609">
        <v>2021</v>
      </c>
      <c r="D191" s="977">
        <v>5265000</v>
      </c>
      <c r="E191" s="63">
        <f>D191*'16-PlantAdditions'!$E$103</f>
        <v>394875</v>
      </c>
      <c r="F191" s="63">
        <f t="shared" si="54"/>
        <v>5659875</v>
      </c>
      <c r="G191" s="977">
        <v>55000</v>
      </c>
      <c r="H191" s="977">
        <v>0</v>
      </c>
      <c r="I191" s="63">
        <f>(G191-H191)*'16-PlantAdditions'!$E$103</f>
        <v>4125</v>
      </c>
      <c r="J191" s="63">
        <f t="shared" si="55"/>
        <v>663700030.43999994</v>
      </c>
      <c r="K191" s="63">
        <f t="shared" si="56"/>
        <v>12864713.779999971</v>
      </c>
    </row>
    <row r="192" spans="1:11" s="645" customFormat="1" ht="13">
      <c r="A192" s="109">
        <f t="shared" si="53"/>
        <v>138</v>
      </c>
      <c r="B192" s="611" t="s">
        <v>184</v>
      </c>
      <c r="C192" s="609">
        <v>2021</v>
      </c>
      <c r="D192" s="977">
        <v>4995000</v>
      </c>
      <c r="E192" s="63">
        <f>D192*'16-PlantAdditions'!$E$103</f>
        <v>374625</v>
      </c>
      <c r="F192" s="63">
        <f t="shared" si="54"/>
        <v>5369625</v>
      </c>
      <c r="G192" s="977">
        <v>652660876.0799998</v>
      </c>
      <c r="H192" s="977">
        <v>628527124.0799998</v>
      </c>
      <c r="I192" s="63">
        <f>(G192-H192)*'16-PlantAdditions'!$E$103</f>
        <v>1810031.4</v>
      </c>
      <c r="J192" s="63">
        <f t="shared" si="55"/>
        <v>14598747.960000133</v>
      </c>
      <c r="K192" s="63">
        <f t="shared" si="56"/>
        <v>-636236568.69999981</v>
      </c>
    </row>
    <row r="193" spans="1:11" s="645" customFormat="1" ht="13">
      <c r="A193" s="109">
        <f t="shared" si="53"/>
        <v>139</v>
      </c>
      <c r="B193" s="611" t="s">
        <v>1458</v>
      </c>
      <c r="C193" s="609">
        <v>2021</v>
      </c>
      <c r="D193" s="977">
        <v>4979136</v>
      </c>
      <c r="E193" s="63">
        <f>D193*'16-PlantAdditions'!$E$103</f>
        <v>373435.2</v>
      </c>
      <c r="F193" s="63">
        <f t="shared" si="54"/>
        <v>5352571.2</v>
      </c>
      <c r="G193" s="977">
        <v>4774136</v>
      </c>
      <c r="H193" s="977">
        <v>0</v>
      </c>
      <c r="I193" s="63">
        <f>(G193-H193)*'16-PlantAdditions'!$E$103</f>
        <v>358060.2</v>
      </c>
      <c r="J193" s="63">
        <f t="shared" si="55"/>
        <v>14819122.960000135</v>
      </c>
      <c r="K193" s="63">
        <f t="shared" si="56"/>
        <v>-636016193.69999981</v>
      </c>
    </row>
    <row r="194" spans="1:11" s="645" customFormat="1" ht="13">
      <c r="A194" s="109">
        <f t="shared" si="53"/>
        <v>140</v>
      </c>
      <c r="B194" s="608" t="s">
        <v>186</v>
      </c>
      <c r="C194" s="609">
        <v>2021</v>
      </c>
      <c r="D194" s="977">
        <v>2471053</v>
      </c>
      <c r="E194" s="63">
        <f>D194*'16-PlantAdditions'!$E$103</f>
        <v>185328.97500000001</v>
      </c>
      <c r="F194" s="63">
        <f t="shared" si="54"/>
        <v>2656381.9750000001</v>
      </c>
      <c r="G194" s="977">
        <v>8875265.7799999993</v>
      </c>
      <c r="H194" s="977">
        <v>6279995.7800000003</v>
      </c>
      <c r="I194" s="63">
        <f>(G194-H194)*'16-PlantAdditions'!$E$103</f>
        <v>194645.24999999991</v>
      </c>
      <c r="J194" s="63">
        <f t="shared" si="55"/>
        <v>8405593.9050001372</v>
      </c>
      <c r="K194" s="63">
        <f t="shared" si="56"/>
        <v>-642429722.75499988</v>
      </c>
    </row>
    <row r="195" spans="1:11" s="645" customFormat="1" ht="13">
      <c r="A195" s="109">
        <f t="shared" si="53"/>
        <v>141</v>
      </c>
      <c r="B195" s="611" t="s">
        <v>187</v>
      </c>
      <c r="C195" s="609">
        <v>2021</v>
      </c>
      <c r="D195" s="977">
        <v>2255000</v>
      </c>
      <c r="E195" s="63">
        <f>D195*'16-PlantAdditions'!$E$103</f>
        <v>169125</v>
      </c>
      <c r="F195" s="63">
        <f t="shared" si="54"/>
        <v>2424125</v>
      </c>
      <c r="G195" s="977">
        <v>2055000</v>
      </c>
      <c r="H195" s="977">
        <v>0</v>
      </c>
      <c r="I195" s="63">
        <f>(G195-H195)*'16-PlantAdditions'!$E$103</f>
        <v>154125</v>
      </c>
      <c r="J195" s="63">
        <f t="shared" si="55"/>
        <v>8620593.9050001372</v>
      </c>
      <c r="K195" s="63">
        <f t="shared" si="56"/>
        <v>-642214722.75499988</v>
      </c>
    </row>
    <row r="196" spans="1:11" s="645" customFormat="1" ht="13">
      <c r="A196" s="109">
        <f t="shared" si="53"/>
        <v>142</v>
      </c>
      <c r="B196" s="611" t="s">
        <v>188</v>
      </c>
      <c r="C196" s="609">
        <v>2021</v>
      </c>
      <c r="D196" s="977">
        <v>2205000</v>
      </c>
      <c r="E196" s="63">
        <f>D196*'16-PlantAdditions'!$E$103</f>
        <v>165375</v>
      </c>
      <c r="F196" s="63">
        <f t="shared" si="54"/>
        <v>2370375</v>
      </c>
      <c r="G196" s="977">
        <v>1805000</v>
      </c>
      <c r="H196" s="977">
        <v>0</v>
      </c>
      <c r="I196" s="63">
        <f>(G196-H196)*'16-PlantAdditions'!$E$103</f>
        <v>135375</v>
      </c>
      <c r="J196" s="63">
        <f t="shared" si="55"/>
        <v>9050593.9050001372</v>
      </c>
      <c r="K196" s="63">
        <f t="shared" si="56"/>
        <v>-641784722.75499988</v>
      </c>
    </row>
    <row r="197" spans="1:11" s="645" customFormat="1" ht="13">
      <c r="A197" s="109">
        <f t="shared" si="53"/>
        <v>143</v>
      </c>
      <c r="B197" s="608" t="s">
        <v>191</v>
      </c>
      <c r="C197" s="609">
        <v>2021</v>
      </c>
      <c r="D197" s="977">
        <v>2205000</v>
      </c>
      <c r="E197" s="63">
        <f>D197*'16-PlantAdditions'!$E$103</f>
        <v>165375</v>
      </c>
      <c r="F197" s="63">
        <f t="shared" si="54"/>
        <v>2370375</v>
      </c>
      <c r="G197" s="977">
        <v>1805000</v>
      </c>
      <c r="H197" s="977">
        <v>0</v>
      </c>
      <c r="I197" s="63">
        <f>(G197-H197)*'16-PlantAdditions'!$E$103</f>
        <v>135375</v>
      </c>
      <c r="J197" s="63">
        <f t="shared" si="55"/>
        <v>9480593.9050001372</v>
      </c>
      <c r="K197" s="63">
        <f t="shared" si="56"/>
        <v>-641354722.75499988</v>
      </c>
    </row>
    <row r="198" spans="1:11" s="645" customFormat="1" ht="13">
      <c r="A198" s="109">
        <f t="shared" si="53"/>
        <v>144</v>
      </c>
      <c r="B198" s="608" t="s">
        <v>190</v>
      </c>
      <c r="C198" s="609">
        <v>2021</v>
      </c>
      <c r="D198" s="977">
        <v>2605783</v>
      </c>
      <c r="E198" s="63">
        <f>D198*'16-PlantAdditions'!$E$103</f>
        <v>195433.72500000001</v>
      </c>
      <c r="F198" s="63">
        <f t="shared" si="54"/>
        <v>2801216.7250000001</v>
      </c>
      <c r="G198" s="977">
        <v>2205783</v>
      </c>
      <c r="H198" s="977">
        <v>0</v>
      </c>
      <c r="I198" s="63">
        <f>(G198-H198)*'16-PlantAdditions'!$E$103</f>
        <v>165433.72500000001</v>
      </c>
      <c r="J198" s="63">
        <f t="shared" si="55"/>
        <v>9910593.9050001372</v>
      </c>
      <c r="K198" s="63">
        <f t="shared" si="56"/>
        <v>-640924722.75499988</v>
      </c>
    </row>
    <row r="199" spans="1:11" s="645" customFormat="1" ht="13">
      <c r="A199" s="109">
        <f t="shared" si="53"/>
        <v>145</v>
      </c>
      <c r="B199" s="608" t="s">
        <v>180</v>
      </c>
      <c r="C199" s="609">
        <v>2021</v>
      </c>
      <c r="D199" s="977">
        <v>2579911</v>
      </c>
      <c r="E199" s="63">
        <f>D199*'16-PlantAdditions'!$E$103</f>
        <v>193493.32499999998</v>
      </c>
      <c r="F199" s="63">
        <f t="shared" si="54"/>
        <v>2773404.3250000002</v>
      </c>
      <c r="G199" s="977">
        <v>12338706.48</v>
      </c>
      <c r="H199" s="977">
        <v>7734816.4800000004</v>
      </c>
      <c r="I199" s="63">
        <f>(G199-H199)*'16-PlantAdditions'!$E$103</f>
        <v>345291.75</v>
      </c>
      <c r="J199" s="63">
        <f t="shared" si="55"/>
        <v>1.3783574104309082E-7</v>
      </c>
      <c r="K199" s="63">
        <f t="shared" si="56"/>
        <v>-650835316.65999985</v>
      </c>
    </row>
    <row r="200" spans="1:11" s="645" customFormat="1" ht="13">
      <c r="A200" s="109">
        <f t="shared" si="53"/>
        <v>146</v>
      </c>
      <c r="B200" s="608" t="s">
        <v>181</v>
      </c>
      <c r="C200" s="609">
        <v>2022</v>
      </c>
      <c r="D200" s="977">
        <v>1000000</v>
      </c>
      <c r="E200" s="63">
        <f>D200*'16-PlantAdditions'!$E$103</f>
        <v>75000</v>
      </c>
      <c r="F200" s="63">
        <f t="shared" si="54"/>
        <v>1075000</v>
      </c>
      <c r="G200" s="977">
        <v>1000000</v>
      </c>
      <c r="H200" s="977">
        <v>0</v>
      </c>
      <c r="I200" s="63">
        <f>(G200-H200)*'16-PlantAdditions'!$E$103</f>
        <v>75000</v>
      </c>
      <c r="J200" s="63">
        <f t="shared" si="55"/>
        <v>1.3783574104309082E-7</v>
      </c>
      <c r="K200" s="63">
        <f t="shared" si="56"/>
        <v>-650835316.65999985</v>
      </c>
    </row>
    <row r="201" spans="1:11" s="645" customFormat="1" ht="13">
      <c r="A201" s="109">
        <f t="shared" si="53"/>
        <v>147</v>
      </c>
      <c r="B201" s="611" t="s">
        <v>182</v>
      </c>
      <c r="C201" s="609">
        <v>2022</v>
      </c>
      <c r="D201" s="977">
        <v>1000000</v>
      </c>
      <c r="E201" s="63">
        <f>D201*'16-PlantAdditions'!$E$103</f>
        <v>75000</v>
      </c>
      <c r="F201" s="63">
        <f t="shared" si="54"/>
        <v>1075000</v>
      </c>
      <c r="G201" s="977">
        <v>1000000</v>
      </c>
      <c r="H201" s="977">
        <v>0</v>
      </c>
      <c r="I201" s="63">
        <f>(G201-H201)*'16-PlantAdditions'!$E$103</f>
        <v>75000</v>
      </c>
      <c r="J201" s="63">
        <f t="shared" si="55"/>
        <v>1.3783574104309082E-7</v>
      </c>
      <c r="K201" s="63">
        <f t="shared" si="56"/>
        <v>-650835316.65999985</v>
      </c>
    </row>
    <row r="202" spans="1:11" s="645" customFormat="1" ht="13">
      <c r="A202" s="109">
        <f t="shared" si="53"/>
        <v>148</v>
      </c>
      <c r="B202" s="611" t="s">
        <v>195</v>
      </c>
      <c r="C202" s="609">
        <v>2022</v>
      </c>
      <c r="D202" s="977">
        <v>1000000</v>
      </c>
      <c r="E202" s="63">
        <f>D202*'16-PlantAdditions'!$E$103</f>
        <v>75000</v>
      </c>
      <c r="F202" s="63">
        <f t="shared" si="54"/>
        <v>1075000</v>
      </c>
      <c r="G202" s="977">
        <v>1000000</v>
      </c>
      <c r="H202" s="977">
        <v>0</v>
      </c>
      <c r="I202" s="63">
        <f>(G202-H202)*'16-PlantAdditions'!$E$103</f>
        <v>75000</v>
      </c>
      <c r="J202" s="63">
        <f t="shared" si="55"/>
        <v>1.3783574104309082E-7</v>
      </c>
      <c r="K202" s="63">
        <f t="shared" si="56"/>
        <v>-650835316.65999985</v>
      </c>
    </row>
    <row r="203" spans="1:11" s="645" customFormat="1" ht="13">
      <c r="A203" s="109">
        <f t="shared" si="53"/>
        <v>149</v>
      </c>
      <c r="B203" s="608" t="s">
        <v>183</v>
      </c>
      <c r="C203" s="609">
        <v>2022</v>
      </c>
      <c r="D203" s="977">
        <v>1000000</v>
      </c>
      <c r="E203" s="63">
        <f>D203*'16-PlantAdditions'!$E$103</f>
        <v>75000</v>
      </c>
      <c r="F203" s="63">
        <f t="shared" si="54"/>
        <v>1075000</v>
      </c>
      <c r="G203" s="977">
        <v>1000000</v>
      </c>
      <c r="H203" s="977">
        <v>0</v>
      </c>
      <c r="I203" s="63">
        <f>(G203-H203)*'16-PlantAdditions'!$E$103</f>
        <v>75000</v>
      </c>
      <c r="J203" s="63">
        <f t="shared" si="55"/>
        <v>1.3783574104309082E-7</v>
      </c>
      <c r="K203" s="63">
        <f t="shared" si="56"/>
        <v>-650835316.65999985</v>
      </c>
    </row>
    <row r="204" spans="1:11" s="645" customFormat="1" ht="13">
      <c r="A204" s="109">
        <f t="shared" si="53"/>
        <v>150</v>
      </c>
      <c r="B204" s="611" t="s">
        <v>184</v>
      </c>
      <c r="C204" s="609">
        <v>2022</v>
      </c>
      <c r="D204" s="977">
        <v>1000000</v>
      </c>
      <c r="E204" s="63">
        <f>D204*'16-PlantAdditions'!$E$103</f>
        <v>75000</v>
      </c>
      <c r="F204" s="63">
        <f t="shared" si="54"/>
        <v>1075000</v>
      </c>
      <c r="G204" s="977">
        <v>1000000</v>
      </c>
      <c r="H204" s="977">
        <v>0</v>
      </c>
      <c r="I204" s="63">
        <f>(G204-H204)*'16-PlantAdditions'!$E$103</f>
        <v>75000</v>
      </c>
      <c r="J204" s="63">
        <f t="shared" si="55"/>
        <v>1.3783574104309082E-7</v>
      </c>
      <c r="K204" s="63">
        <f t="shared" si="56"/>
        <v>-650835316.65999985</v>
      </c>
    </row>
    <row r="205" spans="1:11" s="645" customFormat="1" ht="13">
      <c r="A205" s="109">
        <f t="shared" si="53"/>
        <v>151</v>
      </c>
      <c r="B205" s="611" t="s">
        <v>1458</v>
      </c>
      <c r="C205" s="609">
        <v>2022</v>
      </c>
      <c r="D205" s="977">
        <v>1000000</v>
      </c>
      <c r="E205" s="63">
        <f>D205*'16-PlantAdditions'!$E$103</f>
        <v>75000</v>
      </c>
      <c r="F205" s="63">
        <f t="shared" si="54"/>
        <v>1075000</v>
      </c>
      <c r="G205" s="977">
        <v>1000000</v>
      </c>
      <c r="H205" s="977">
        <v>0</v>
      </c>
      <c r="I205" s="63">
        <f>(G205-H205)*'16-PlantAdditions'!$E$103</f>
        <v>75000</v>
      </c>
      <c r="J205" s="63">
        <f t="shared" si="55"/>
        <v>1.3783574104309082E-7</v>
      </c>
      <c r="K205" s="63">
        <f t="shared" si="56"/>
        <v>-650835316.65999985</v>
      </c>
    </row>
    <row r="206" spans="1:11" s="645" customFormat="1" ht="13">
      <c r="A206" s="109">
        <f t="shared" si="53"/>
        <v>152</v>
      </c>
      <c r="B206" s="608" t="s">
        <v>186</v>
      </c>
      <c r="C206" s="609">
        <v>2022</v>
      </c>
      <c r="D206" s="977">
        <v>1000000</v>
      </c>
      <c r="E206" s="63">
        <f>D206*'16-PlantAdditions'!$E$103</f>
        <v>75000</v>
      </c>
      <c r="F206" s="63">
        <f t="shared" si="54"/>
        <v>1075000</v>
      </c>
      <c r="G206" s="977">
        <v>1000000</v>
      </c>
      <c r="H206" s="977">
        <v>0</v>
      </c>
      <c r="I206" s="63">
        <f>(G206-H206)*'16-PlantAdditions'!$E$103</f>
        <v>75000</v>
      </c>
      <c r="J206" s="63">
        <f t="shared" si="55"/>
        <v>1.3783574104309082E-7</v>
      </c>
      <c r="K206" s="63">
        <f t="shared" si="56"/>
        <v>-650835316.65999985</v>
      </c>
    </row>
    <row r="207" spans="1:11" s="645" customFormat="1" ht="13">
      <c r="A207" s="109">
        <f t="shared" si="53"/>
        <v>153</v>
      </c>
      <c r="B207" s="611" t="s">
        <v>187</v>
      </c>
      <c r="C207" s="609">
        <v>2022</v>
      </c>
      <c r="D207" s="977">
        <v>1000000</v>
      </c>
      <c r="E207" s="63">
        <f>D207*'16-PlantAdditions'!$E$103</f>
        <v>75000</v>
      </c>
      <c r="F207" s="63">
        <f t="shared" si="54"/>
        <v>1075000</v>
      </c>
      <c r="G207" s="977">
        <v>1000000</v>
      </c>
      <c r="H207" s="977">
        <v>0</v>
      </c>
      <c r="I207" s="63">
        <f>(G207-H207)*'16-PlantAdditions'!$E$103</f>
        <v>75000</v>
      </c>
      <c r="J207" s="63">
        <f t="shared" si="55"/>
        <v>1.3783574104309082E-7</v>
      </c>
      <c r="K207" s="63">
        <f t="shared" si="56"/>
        <v>-650835316.65999985</v>
      </c>
    </row>
    <row r="208" spans="1:11" s="645" customFormat="1" ht="13">
      <c r="A208" s="109">
        <f t="shared" si="53"/>
        <v>154</v>
      </c>
      <c r="B208" s="611" t="s">
        <v>188</v>
      </c>
      <c r="C208" s="609">
        <v>2022</v>
      </c>
      <c r="D208" s="977">
        <v>1000000</v>
      </c>
      <c r="E208" s="63">
        <f>D208*'16-PlantAdditions'!$E$103</f>
        <v>75000</v>
      </c>
      <c r="F208" s="63">
        <f t="shared" si="54"/>
        <v>1075000</v>
      </c>
      <c r="G208" s="977">
        <v>1000000</v>
      </c>
      <c r="H208" s="977">
        <v>0</v>
      </c>
      <c r="I208" s="63">
        <f>(G208-H208)*'16-PlantAdditions'!$E$103</f>
        <v>75000</v>
      </c>
      <c r="J208" s="63">
        <f t="shared" si="55"/>
        <v>1.3783574104309082E-7</v>
      </c>
      <c r="K208" s="63">
        <f t="shared" si="56"/>
        <v>-650835316.65999985</v>
      </c>
    </row>
    <row r="209" spans="1:11" s="645" customFormat="1" ht="13">
      <c r="A209" s="109">
        <f t="shared" si="53"/>
        <v>155</v>
      </c>
      <c r="B209" s="611" t="s">
        <v>191</v>
      </c>
      <c r="C209" s="609">
        <v>2022</v>
      </c>
      <c r="D209" s="977">
        <v>900000</v>
      </c>
      <c r="E209" s="63">
        <f>D209*'16-PlantAdditions'!$E$103</f>
        <v>67500</v>
      </c>
      <c r="F209" s="63">
        <f t="shared" ref="F209:F211" si="57">E209+D209</f>
        <v>967500</v>
      </c>
      <c r="G209" s="977">
        <v>900000</v>
      </c>
      <c r="H209" s="977">
        <v>0</v>
      </c>
      <c r="I209" s="63">
        <f>(G209-H209)*'16-PlantAdditions'!$E$103</f>
        <v>67500</v>
      </c>
      <c r="J209" s="63">
        <f t="shared" ref="J209:J211" si="58">J208+F209-G209-I209</f>
        <v>1.3783574104309082E-7</v>
      </c>
      <c r="K209" s="63">
        <f t="shared" si="56"/>
        <v>-650835316.65999985</v>
      </c>
    </row>
    <row r="210" spans="1:11" s="645" customFormat="1" ht="13">
      <c r="A210" s="109">
        <f t="shared" si="53"/>
        <v>156</v>
      </c>
      <c r="B210" s="611" t="s">
        <v>190</v>
      </c>
      <c r="C210" s="609">
        <v>2022</v>
      </c>
      <c r="D210" s="977">
        <v>850000</v>
      </c>
      <c r="E210" s="63">
        <f>D210*'16-PlantAdditions'!$E$103</f>
        <v>63750</v>
      </c>
      <c r="F210" s="63">
        <f t="shared" si="57"/>
        <v>913750</v>
      </c>
      <c r="G210" s="977">
        <v>850000</v>
      </c>
      <c r="H210" s="977">
        <v>0</v>
      </c>
      <c r="I210" s="63">
        <f>(G210-H210)*'16-PlantAdditions'!$E$103</f>
        <v>63750</v>
      </c>
      <c r="J210" s="63">
        <f t="shared" si="58"/>
        <v>1.3783574104309082E-7</v>
      </c>
      <c r="K210" s="63">
        <f t="shared" si="56"/>
        <v>-650835316.65999985</v>
      </c>
    </row>
    <row r="211" spans="1:11" s="645" customFormat="1" ht="13">
      <c r="A211" s="109">
        <f t="shared" si="53"/>
        <v>157</v>
      </c>
      <c r="B211" s="611" t="s">
        <v>180</v>
      </c>
      <c r="C211" s="609">
        <v>2022</v>
      </c>
      <c r="D211" s="977">
        <v>967430</v>
      </c>
      <c r="E211" s="63">
        <f>D211*'16-PlantAdditions'!$E$103</f>
        <v>72557.25</v>
      </c>
      <c r="F211" s="63">
        <f t="shared" si="57"/>
        <v>1039987.25</v>
      </c>
      <c r="G211" s="977">
        <v>967430</v>
      </c>
      <c r="H211" s="977">
        <v>0</v>
      </c>
      <c r="I211" s="63">
        <f>(G211-H211)*'16-PlantAdditions'!$E$103</f>
        <v>72557.25</v>
      </c>
      <c r="J211" s="63">
        <f t="shared" si="58"/>
        <v>1.3783574104309082E-7</v>
      </c>
      <c r="K211" s="110">
        <f t="shared" si="56"/>
        <v>-650835316.65999985</v>
      </c>
    </row>
    <row r="212" spans="1:11" s="645" customFormat="1" ht="13">
      <c r="A212" s="109">
        <f t="shared" si="53"/>
        <v>158</v>
      </c>
      <c r="B212"/>
      <c r="C212" s="644" t="s">
        <v>1603</v>
      </c>
      <c r="D212"/>
      <c r="E212"/>
      <c r="F212"/>
      <c r="G212"/>
      <c r="H212"/>
      <c r="I212"/>
      <c r="J212"/>
      <c r="K212" s="73">
        <f>AVERAGE(K199:K211)</f>
        <v>-650835316.65999985</v>
      </c>
    </row>
    <row r="213" spans="1:11" s="645" customFormat="1" ht="13">
      <c r="A213" s="109"/>
      <c r="B213"/>
      <c r="C213" s="644"/>
      <c r="D213"/>
      <c r="E213"/>
      <c r="F213"/>
      <c r="G213"/>
      <c r="H213"/>
      <c r="I213"/>
      <c r="J213"/>
      <c r="K213" s="73"/>
    </row>
    <row r="214" spans="1:11" s="645" customFormat="1" ht="13">
      <c r="B214" s="646" t="s">
        <v>1933</v>
      </c>
      <c r="D214" s="1514" t="s">
        <v>538</v>
      </c>
      <c r="E214" s="1514"/>
    </row>
    <row r="215" spans="1:11" s="645" customFormat="1" ht="13">
      <c r="B215" s="646"/>
      <c r="D215" s="640" t="s">
        <v>358</v>
      </c>
      <c r="E215" s="640" t="s">
        <v>342</v>
      </c>
      <c r="F215" s="640" t="s">
        <v>343</v>
      </c>
      <c r="G215" s="640" t="s">
        <v>344</v>
      </c>
      <c r="H215" s="640" t="s">
        <v>345</v>
      </c>
      <c r="I215" s="640" t="s">
        <v>346</v>
      </c>
      <c r="J215" s="640" t="s">
        <v>347</v>
      </c>
      <c r="K215" s="640" t="s">
        <v>534</v>
      </c>
    </row>
    <row r="216" spans="1:11" s="645" customFormat="1" ht="38">
      <c r="B216" s="646"/>
      <c r="D216" s="647"/>
      <c r="E216" s="648" t="s">
        <v>2061</v>
      </c>
      <c r="F216" s="649" t="s">
        <v>1927</v>
      </c>
      <c r="G216" s="525"/>
      <c r="H216" s="647"/>
      <c r="I216" s="648" t="s">
        <v>2062</v>
      </c>
      <c r="J216" s="648" t="s">
        <v>1928</v>
      </c>
      <c r="K216" s="648" t="s">
        <v>1929</v>
      </c>
    </row>
    <row r="217" spans="1:11" s="645" customFormat="1" ht="13">
      <c r="D217" s="647"/>
      <c r="E217" s="647"/>
      <c r="F217" s="647"/>
      <c r="G217" s="549" t="str">
        <f>G51</f>
        <v>Unloaded</v>
      </c>
      <c r="H217" s="647"/>
      <c r="I217" s="647"/>
    </row>
    <row r="218" spans="1:11" s="645" customFormat="1" ht="13">
      <c r="A218" s="642"/>
      <c r="B218" s="642"/>
      <c r="C218" s="642"/>
      <c r="D218" s="642" t="str">
        <f>D$52</f>
        <v>Forecast</v>
      </c>
      <c r="E218" s="642" t="str">
        <f t="shared" ref="E218:J218" si="59">E$52</f>
        <v>Corporate</v>
      </c>
      <c r="F218" s="642" t="str">
        <f t="shared" si="59"/>
        <v xml:space="preserve">Total </v>
      </c>
      <c r="G218" s="549" t="str">
        <f>G52</f>
        <v>Total</v>
      </c>
      <c r="H218" s="642" t="str">
        <f t="shared" si="59"/>
        <v>Prior Period</v>
      </c>
      <c r="I218" s="642" t="str">
        <f t="shared" si="59"/>
        <v>Over Heads</v>
      </c>
      <c r="J218" s="642" t="str">
        <f t="shared" si="59"/>
        <v>Forecast</v>
      </c>
      <c r="K218" s="549" t="str">
        <f>K$52</f>
        <v>Forecast Period</v>
      </c>
    </row>
    <row r="219" spans="1:11" s="645" customFormat="1" ht="13">
      <c r="A219" s="833" t="s">
        <v>329</v>
      </c>
      <c r="B219" s="607" t="s">
        <v>192</v>
      </c>
      <c r="C219" s="607" t="s">
        <v>193</v>
      </c>
      <c r="D219" s="640" t="str">
        <f>D$53</f>
        <v>Expenditures</v>
      </c>
      <c r="E219" s="640" t="str">
        <f t="shared" ref="E219:J219" si="60">E$53</f>
        <v>Overheads</v>
      </c>
      <c r="F219" s="640" t="str">
        <f t="shared" si="60"/>
        <v>CWIP Exp</v>
      </c>
      <c r="G219" s="122" t="str">
        <f>G53</f>
        <v>Plant Adds</v>
      </c>
      <c r="H219" s="640" t="str">
        <f t="shared" si="60"/>
        <v>CWIP Closed</v>
      </c>
      <c r="I219" s="640" t="str">
        <f t="shared" si="60"/>
        <v>Closed to PIS</v>
      </c>
      <c r="J219" s="640" t="str">
        <f t="shared" si="60"/>
        <v>Period CWIP</v>
      </c>
      <c r="K219" s="640" t="str">
        <f>K$53</f>
        <v>Incremental CWIP</v>
      </c>
    </row>
    <row r="220" spans="1:11" s="645" customFormat="1" ht="13">
      <c r="A220" s="109">
        <f>A212+1</f>
        <v>159</v>
      </c>
      <c r="B220" s="608" t="s">
        <v>180</v>
      </c>
      <c r="C220" s="609">
        <v>2020</v>
      </c>
      <c r="D220" s="649" t="s">
        <v>76</v>
      </c>
      <c r="E220" s="649" t="s">
        <v>76</v>
      </c>
      <c r="F220" s="649" t="s">
        <v>76</v>
      </c>
      <c r="G220" s="649" t="s">
        <v>76</v>
      </c>
      <c r="H220" s="649" t="s">
        <v>76</v>
      </c>
      <c r="I220" s="649" t="s">
        <v>76</v>
      </c>
      <c r="J220" s="63">
        <f>I25</f>
        <v>0</v>
      </c>
      <c r="K220" s="649" t="s">
        <v>76</v>
      </c>
    </row>
    <row r="221" spans="1:11" s="645" customFormat="1" ht="13">
      <c r="A221" s="109">
        <f>A220+1</f>
        <v>160</v>
      </c>
      <c r="B221" s="608" t="s">
        <v>181</v>
      </c>
      <c r="C221" s="609">
        <v>2021</v>
      </c>
      <c r="D221" s="977">
        <v>0</v>
      </c>
      <c r="E221" s="63">
        <f>D221*'16-PlantAdditions'!$E$103</f>
        <v>0</v>
      </c>
      <c r="F221" s="63">
        <f>E221+D221</f>
        <v>0</v>
      </c>
      <c r="G221" s="977">
        <v>0</v>
      </c>
      <c r="H221" s="977">
        <v>0</v>
      </c>
      <c r="I221" s="63">
        <f>(G221-H221)*'16-PlantAdditions'!$E$103</f>
        <v>0</v>
      </c>
      <c r="J221" s="63">
        <f>J220+F221-G221-I221</f>
        <v>0</v>
      </c>
      <c r="K221" s="63">
        <f>J221-$J$220</f>
        <v>0</v>
      </c>
    </row>
    <row r="222" spans="1:11" s="645" customFormat="1" ht="13">
      <c r="A222" s="109">
        <f t="shared" ref="A222:A245" si="61">A221+1</f>
        <v>161</v>
      </c>
      <c r="B222" s="611" t="s">
        <v>182</v>
      </c>
      <c r="C222" s="609">
        <v>2021</v>
      </c>
      <c r="D222" s="977">
        <v>0</v>
      </c>
      <c r="E222" s="63">
        <f>D222*'16-PlantAdditions'!$E$103</f>
        <v>0</v>
      </c>
      <c r="F222" s="63">
        <f t="shared" ref="F222:F241" si="62">E222+D222</f>
        <v>0</v>
      </c>
      <c r="G222" s="977">
        <v>0</v>
      </c>
      <c r="H222" s="977">
        <v>0</v>
      </c>
      <c r="I222" s="63">
        <f>(G222-H222)*'16-PlantAdditions'!$E$103</f>
        <v>0</v>
      </c>
      <c r="J222" s="63">
        <f t="shared" ref="J222:J241" si="63">J221+F222-G222-I222</f>
        <v>0</v>
      </c>
      <c r="K222" s="63">
        <f t="shared" ref="K222:K244" si="64">J222-$J$220</f>
        <v>0</v>
      </c>
    </row>
    <row r="223" spans="1:11" s="645" customFormat="1" ht="13">
      <c r="A223" s="109">
        <f t="shared" si="61"/>
        <v>162</v>
      </c>
      <c r="B223" s="611" t="s">
        <v>195</v>
      </c>
      <c r="C223" s="609">
        <v>2021</v>
      </c>
      <c r="D223" s="977">
        <v>0</v>
      </c>
      <c r="E223" s="63">
        <f>D223*'16-PlantAdditions'!$E$103</f>
        <v>0</v>
      </c>
      <c r="F223" s="63">
        <f t="shared" si="62"/>
        <v>0</v>
      </c>
      <c r="G223" s="977">
        <v>0</v>
      </c>
      <c r="H223" s="977">
        <v>0</v>
      </c>
      <c r="I223" s="63">
        <f>(G223-H223)*'16-PlantAdditions'!$E$103</f>
        <v>0</v>
      </c>
      <c r="J223" s="63">
        <f t="shared" si="63"/>
        <v>0</v>
      </c>
      <c r="K223" s="63">
        <f t="shared" si="64"/>
        <v>0</v>
      </c>
    </row>
    <row r="224" spans="1:11" s="645" customFormat="1" ht="13">
      <c r="A224" s="109">
        <f t="shared" si="61"/>
        <v>163</v>
      </c>
      <c r="B224" s="608" t="s">
        <v>183</v>
      </c>
      <c r="C224" s="609">
        <v>2021</v>
      </c>
      <c r="D224" s="977">
        <v>0</v>
      </c>
      <c r="E224" s="63">
        <f>D224*'16-PlantAdditions'!$E$103</f>
        <v>0</v>
      </c>
      <c r="F224" s="63">
        <f t="shared" si="62"/>
        <v>0</v>
      </c>
      <c r="G224" s="977">
        <v>0</v>
      </c>
      <c r="H224" s="977">
        <v>0</v>
      </c>
      <c r="I224" s="63">
        <f>(G224-H224)*'16-PlantAdditions'!$E$103</f>
        <v>0</v>
      </c>
      <c r="J224" s="63">
        <f t="shared" si="63"/>
        <v>0</v>
      </c>
      <c r="K224" s="63">
        <f t="shared" si="64"/>
        <v>0</v>
      </c>
    </row>
    <row r="225" spans="1:11" s="645" customFormat="1" ht="13">
      <c r="A225" s="109">
        <f t="shared" si="61"/>
        <v>164</v>
      </c>
      <c r="B225" s="611" t="s">
        <v>184</v>
      </c>
      <c r="C225" s="609">
        <v>2021</v>
      </c>
      <c r="D225" s="977">
        <v>0</v>
      </c>
      <c r="E225" s="63">
        <f>D225*'16-PlantAdditions'!$E$103</f>
        <v>0</v>
      </c>
      <c r="F225" s="63">
        <f t="shared" si="62"/>
        <v>0</v>
      </c>
      <c r="G225" s="977">
        <v>0</v>
      </c>
      <c r="H225" s="977">
        <v>0</v>
      </c>
      <c r="I225" s="63">
        <f>(G225-H225)*'16-PlantAdditions'!$E$103</f>
        <v>0</v>
      </c>
      <c r="J225" s="63">
        <f t="shared" si="63"/>
        <v>0</v>
      </c>
      <c r="K225" s="63">
        <f t="shared" si="64"/>
        <v>0</v>
      </c>
    </row>
    <row r="226" spans="1:11" s="645" customFormat="1" ht="13">
      <c r="A226" s="109">
        <f t="shared" si="61"/>
        <v>165</v>
      </c>
      <c r="B226" s="611" t="s">
        <v>1458</v>
      </c>
      <c r="C226" s="609">
        <v>2021</v>
      </c>
      <c r="D226" s="977">
        <v>0</v>
      </c>
      <c r="E226" s="63">
        <f>D226*'16-PlantAdditions'!$E$103</f>
        <v>0</v>
      </c>
      <c r="F226" s="63">
        <f t="shared" si="62"/>
        <v>0</v>
      </c>
      <c r="G226" s="977">
        <v>0</v>
      </c>
      <c r="H226" s="977">
        <v>0</v>
      </c>
      <c r="I226" s="63">
        <f>(G226-H226)*'16-PlantAdditions'!$E$103</f>
        <v>0</v>
      </c>
      <c r="J226" s="63">
        <f t="shared" si="63"/>
        <v>0</v>
      </c>
      <c r="K226" s="63">
        <f t="shared" si="64"/>
        <v>0</v>
      </c>
    </row>
    <row r="227" spans="1:11" s="645" customFormat="1" ht="13">
      <c r="A227" s="109">
        <f t="shared" si="61"/>
        <v>166</v>
      </c>
      <c r="B227" s="608" t="s">
        <v>186</v>
      </c>
      <c r="C227" s="609">
        <v>2021</v>
      </c>
      <c r="D227" s="977">
        <v>0</v>
      </c>
      <c r="E227" s="63">
        <f>D227*'16-PlantAdditions'!$E$103</f>
        <v>0</v>
      </c>
      <c r="F227" s="63">
        <f t="shared" si="62"/>
        <v>0</v>
      </c>
      <c r="G227" s="977">
        <v>0</v>
      </c>
      <c r="H227" s="977">
        <v>0</v>
      </c>
      <c r="I227" s="63">
        <f>(G227-H227)*'16-PlantAdditions'!$E$103</f>
        <v>0</v>
      </c>
      <c r="J227" s="63">
        <f t="shared" si="63"/>
        <v>0</v>
      </c>
      <c r="K227" s="63">
        <f t="shared" si="64"/>
        <v>0</v>
      </c>
    </row>
    <row r="228" spans="1:11" s="645" customFormat="1" ht="13">
      <c r="A228" s="109">
        <f t="shared" si="61"/>
        <v>167</v>
      </c>
      <c r="B228" s="611" t="s">
        <v>187</v>
      </c>
      <c r="C228" s="609">
        <v>2021</v>
      </c>
      <c r="D228" s="977">
        <v>0</v>
      </c>
      <c r="E228" s="63">
        <f>D228*'16-PlantAdditions'!$E$103</f>
        <v>0</v>
      </c>
      <c r="F228" s="63">
        <f t="shared" si="62"/>
        <v>0</v>
      </c>
      <c r="G228" s="977">
        <v>0</v>
      </c>
      <c r="H228" s="977">
        <v>0</v>
      </c>
      <c r="I228" s="63">
        <f>(G228-H228)*'16-PlantAdditions'!$E$103</f>
        <v>0</v>
      </c>
      <c r="J228" s="63">
        <f t="shared" si="63"/>
        <v>0</v>
      </c>
      <c r="K228" s="63">
        <f t="shared" si="64"/>
        <v>0</v>
      </c>
    </row>
    <row r="229" spans="1:11" s="645" customFormat="1" ht="13">
      <c r="A229" s="109">
        <f t="shared" si="61"/>
        <v>168</v>
      </c>
      <c r="B229" s="611" t="s">
        <v>188</v>
      </c>
      <c r="C229" s="609">
        <v>2021</v>
      </c>
      <c r="D229" s="977">
        <v>0</v>
      </c>
      <c r="E229" s="63">
        <f>D229*'16-PlantAdditions'!$E$103</f>
        <v>0</v>
      </c>
      <c r="F229" s="63">
        <f t="shared" si="62"/>
        <v>0</v>
      </c>
      <c r="G229" s="977">
        <v>0</v>
      </c>
      <c r="H229" s="977">
        <v>0</v>
      </c>
      <c r="I229" s="63">
        <f>(G229-H229)*'16-PlantAdditions'!$E$103</f>
        <v>0</v>
      </c>
      <c r="J229" s="63">
        <f t="shared" si="63"/>
        <v>0</v>
      </c>
      <c r="K229" s="63">
        <f t="shared" si="64"/>
        <v>0</v>
      </c>
    </row>
    <row r="230" spans="1:11" s="645" customFormat="1" ht="13">
      <c r="A230" s="109">
        <f t="shared" si="61"/>
        <v>169</v>
      </c>
      <c r="B230" s="608" t="s">
        <v>191</v>
      </c>
      <c r="C230" s="609">
        <v>2021</v>
      </c>
      <c r="D230" s="977">
        <v>0</v>
      </c>
      <c r="E230" s="63">
        <f>D230*'16-PlantAdditions'!$E$103</f>
        <v>0</v>
      </c>
      <c r="F230" s="63">
        <f t="shared" si="62"/>
        <v>0</v>
      </c>
      <c r="G230" s="977">
        <v>0</v>
      </c>
      <c r="H230" s="977">
        <v>0</v>
      </c>
      <c r="I230" s="63">
        <f>(G230-H230)*'16-PlantAdditions'!$E$103</f>
        <v>0</v>
      </c>
      <c r="J230" s="63">
        <f t="shared" si="63"/>
        <v>0</v>
      </c>
      <c r="K230" s="63">
        <f t="shared" si="64"/>
        <v>0</v>
      </c>
    </row>
    <row r="231" spans="1:11" s="645" customFormat="1" ht="13">
      <c r="A231" s="109">
        <f t="shared" si="61"/>
        <v>170</v>
      </c>
      <c r="B231" s="608" t="s">
        <v>190</v>
      </c>
      <c r="C231" s="609">
        <v>2021</v>
      </c>
      <c r="D231" s="977">
        <v>0</v>
      </c>
      <c r="E231" s="63">
        <f>D231*'16-PlantAdditions'!$E$103</f>
        <v>0</v>
      </c>
      <c r="F231" s="63">
        <f t="shared" si="62"/>
        <v>0</v>
      </c>
      <c r="G231" s="977">
        <v>0</v>
      </c>
      <c r="H231" s="977">
        <v>0</v>
      </c>
      <c r="I231" s="63">
        <f>(G231-H231)*'16-PlantAdditions'!$E$103</f>
        <v>0</v>
      </c>
      <c r="J231" s="63">
        <f t="shared" si="63"/>
        <v>0</v>
      </c>
      <c r="K231" s="63">
        <f t="shared" si="64"/>
        <v>0</v>
      </c>
    </row>
    <row r="232" spans="1:11" s="645" customFormat="1" ht="13">
      <c r="A232" s="109">
        <f t="shared" si="61"/>
        <v>171</v>
      </c>
      <c r="B232" s="608" t="s">
        <v>180</v>
      </c>
      <c r="C232" s="609">
        <v>2021</v>
      </c>
      <c r="D232" s="977">
        <v>0</v>
      </c>
      <c r="E232" s="63">
        <f>D232*'16-PlantAdditions'!$E$103</f>
        <v>0</v>
      </c>
      <c r="F232" s="63">
        <f t="shared" si="62"/>
        <v>0</v>
      </c>
      <c r="G232" s="977">
        <v>0</v>
      </c>
      <c r="H232" s="977">
        <v>0</v>
      </c>
      <c r="I232" s="63">
        <f>(G232-H232)*'16-PlantAdditions'!$E$103</f>
        <v>0</v>
      </c>
      <c r="J232" s="63">
        <f t="shared" si="63"/>
        <v>0</v>
      </c>
      <c r="K232" s="63">
        <f t="shared" si="64"/>
        <v>0</v>
      </c>
    </row>
    <row r="233" spans="1:11" s="645" customFormat="1" ht="13">
      <c r="A233" s="109">
        <f t="shared" si="61"/>
        <v>172</v>
      </c>
      <c r="B233" s="608" t="s">
        <v>181</v>
      </c>
      <c r="C233" s="609">
        <v>2022</v>
      </c>
      <c r="D233" s="977">
        <v>0</v>
      </c>
      <c r="E233" s="63">
        <f>D233*'16-PlantAdditions'!$E$103</f>
        <v>0</v>
      </c>
      <c r="F233" s="63">
        <f t="shared" si="62"/>
        <v>0</v>
      </c>
      <c r="G233" s="977">
        <v>0</v>
      </c>
      <c r="H233" s="977">
        <v>0</v>
      </c>
      <c r="I233" s="63">
        <f>(G233-H233)*'16-PlantAdditions'!$E$103</f>
        <v>0</v>
      </c>
      <c r="J233" s="63">
        <f t="shared" si="63"/>
        <v>0</v>
      </c>
      <c r="K233" s="63">
        <f t="shared" si="64"/>
        <v>0</v>
      </c>
    </row>
    <row r="234" spans="1:11" s="645" customFormat="1" ht="13">
      <c r="A234" s="109">
        <f t="shared" si="61"/>
        <v>173</v>
      </c>
      <c r="B234" s="611" t="s">
        <v>182</v>
      </c>
      <c r="C234" s="609">
        <v>2022</v>
      </c>
      <c r="D234" s="977">
        <v>0</v>
      </c>
      <c r="E234" s="63">
        <f>D234*'16-PlantAdditions'!$E$103</f>
        <v>0</v>
      </c>
      <c r="F234" s="63">
        <f t="shared" si="62"/>
        <v>0</v>
      </c>
      <c r="G234" s="977">
        <v>0</v>
      </c>
      <c r="H234" s="977">
        <v>0</v>
      </c>
      <c r="I234" s="63">
        <f>(G234-H234)*'16-PlantAdditions'!$E$103</f>
        <v>0</v>
      </c>
      <c r="J234" s="63">
        <f t="shared" si="63"/>
        <v>0</v>
      </c>
      <c r="K234" s="63">
        <f t="shared" si="64"/>
        <v>0</v>
      </c>
    </row>
    <row r="235" spans="1:11" s="645" customFormat="1" ht="13">
      <c r="A235" s="109">
        <f t="shared" si="61"/>
        <v>174</v>
      </c>
      <c r="B235" s="611" t="s">
        <v>195</v>
      </c>
      <c r="C235" s="609">
        <v>2022</v>
      </c>
      <c r="D235" s="977">
        <v>0</v>
      </c>
      <c r="E235" s="63">
        <f>D235*'16-PlantAdditions'!$E$103</f>
        <v>0</v>
      </c>
      <c r="F235" s="63">
        <f t="shared" si="62"/>
        <v>0</v>
      </c>
      <c r="G235" s="977">
        <v>0</v>
      </c>
      <c r="H235" s="977">
        <v>0</v>
      </c>
      <c r="I235" s="63">
        <f>(G235-H235)*'16-PlantAdditions'!$E$103</f>
        <v>0</v>
      </c>
      <c r="J235" s="63">
        <f t="shared" si="63"/>
        <v>0</v>
      </c>
      <c r="K235" s="63">
        <f t="shared" si="64"/>
        <v>0</v>
      </c>
    </row>
    <row r="236" spans="1:11" s="645" customFormat="1" ht="13">
      <c r="A236" s="109">
        <f t="shared" si="61"/>
        <v>175</v>
      </c>
      <c r="B236" s="608" t="s">
        <v>183</v>
      </c>
      <c r="C236" s="609">
        <v>2022</v>
      </c>
      <c r="D236" s="977">
        <v>0</v>
      </c>
      <c r="E236" s="63">
        <f>D236*'16-PlantAdditions'!$E$103</f>
        <v>0</v>
      </c>
      <c r="F236" s="63">
        <f t="shared" si="62"/>
        <v>0</v>
      </c>
      <c r="G236" s="977">
        <v>0</v>
      </c>
      <c r="H236" s="977">
        <v>0</v>
      </c>
      <c r="I236" s="63">
        <f>(G236-H236)*'16-PlantAdditions'!$E$103</f>
        <v>0</v>
      </c>
      <c r="J236" s="63">
        <f t="shared" si="63"/>
        <v>0</v>
      </c>
      <c r="K236" s="63">
        <f t="shared" si="64"/>
        <v>0</v>
      </c>
    </row>
    <row r="237" spans="1:11" s="645" customFormat="1" ht="13">
      <c r="A237" s="109">
        <f t="shared" si="61"/>
        <v>176</v>
      </c>
      <c r="B237" s="611" t="s">
        <v>184</v>
      </c>
      <c r="C237" s="609">
        <v>2022</v>
      </c>
      <c r="D237" s="977">
        <v>0</v>
      </c>
      <c r="E237" s="63">
        <f>D237*'16-PlantAdditions'!$E$103</f>
        <v>0</v>
      </c>
      <c r="F237" s="63">
        <f t="shared" si="62"/>
        <v>0</v>
      </c>
      <c r="G237" s="977">
        <v>0</v>
      </c>
      <c r="H237" s="977">
        <v>0</v>
      </c>
      <c r="I237" s="63">
        <f>(G237-H237)*'16-PlantAdditions'!$E$103</f>
        <v>0</v>
      </c>
      <c r="J237" s="63">
        <f t="shared" si="63"/>
        <v>0</v>
      </c>
      <c r="K237" s="63">
        <f t="shared" si="64"/>
        <v>0</v>
      </c>
    </row>
    <row r="238" spans="1:11" s="645" customFormat="1" ht="13">
      <c r="A238" s="109">
        <f t="shared" si="61"/>
        <v>177</v>
      </c>
      <c r="B238" s="611" t="s">
        <v>1458</v>
      </c>
      <c r="C238" s="609">
        <v>2022</v>
      </c>
      <c r="D238" s="977">
        <v>0</v>
      </c>
      <c r="E238" s="63">
        <f>D238*'16-PlantAdditions'!$E$103</f>
        <v>0</v>
      </c>
      <c r="F238" s="63">
        <f t="shared" si="62"/>
        <v>0</v>
      </c>
      <c r="G238" s="977">
        <v>0</v>
      </c>
      <c r="H238" s="977">
        <v>0</v>
      </c>
      <c r="I238" s="63">
        <f>(G238-H238)*'16-PlantAdditions'!$E$103</f>
        <v>0</v>
      </c>
      <c r="J238" s="63">
        <f t="shared" si="63"/>
        <v>0</v>
      </c>
      <c r="K238" s="63">
        <f t="shared" si="64"/>
        <v>0</v>
      </c>
    </row>
    <row r="239" spans="1:11" s="645" customFormat="1" ht="13">
      <c r="A239" s="109">
        <f t="shared" si="61"/>
        <v>178</v>
      </c>
      <c r="B239" s="608" t="s">
        <v>186</v>
      </c>
      <c r="C239" s="609">
        <v>2022</v>
      </c>
      <c r="D239" s="977">
        <v>0</v>
      </c>
      <c r="E239" s="63">
        <f>D239*'16-PlantAdditions'!$E$103</f>
        <v>0</v>
      </c>
      <c r="F239" s="63">
        <f t="shared" si="62"/>
        <v>0</v>
      </c>
      <c r="G239" s="977">
        <v>0</v>
      </c>
      <c r="H239" s="977">
        <v>0</v>
      </c>
      <c r="I239" s="63">
        <f>(G239-H239)*'16-PlantAdditions'!$E$103</f>
        <v>0</v>
      </c>
      <c r="J239" s="63">
        <f t="shared" si="63"/>
        <v>0</v>
      </c>
      <c r="K239" s="63">
        <f t="shared" si="64"/>
        <v>0</v>
      </c>
    </row>
    <row r="240" spans="1:11" s="645" customFormat="1" ht="13">
      <c r="A240" s="109">
        <f t="shared" si="61"/>
        <v>179</v>
      </c>
      <c r="B240" s="611" t="s">
        <v>187</v>
      </c>
      <c r="C240" s="609">
        <v>2022</v>
      </c>
      <c r="D240" s="977">
        <v>0</v>
      </c>
      <c r="E240" s="63">
        <f>D240*'16-PlantAdditions'!$E$103</f>
        <v>0</v>
      </c>
      <c r="F240" s="63">
        <f t="shared" si="62"/>
        <v>0</v>
      </c>
      <c r="G240" s="977">
        <v>0</v>
      </c>
      <c r="H240" s="977">
        <v>0</v>
      </c>
      <c r="I240" s="63">
        <f>(G240-H240)*'16-PlantAdditions'!$E$103</f>
        <v>0</v>
      </c>
      <c r="J240" s="63">
        <f t="shared" si="63"/>
        <v>0</v>
      </c>
      <c r="K240" s="63">
        <f t="shared" si="64"/>
        <v>0</v>
      </c>
    </row>
    <row r="241" spans="1:11" s="645" customFormat="1" ht="13">
      <c r="A241" s="109">
        <f t="shared" si="61"/>
        <v>180</v>
      </c>
      <c r="B241" s="611" t="s">
        <v>188</v>
      </c>
      <c r="C241" s="609">
        <v>2022</v>
      </c>
      <c r="D241" s="977">
        <v>0</v>
      </c>
      <c r="E241" s="63">
        <f>D241*'16-PlantAdditions'!$E$103</f>
        <v>0</v>
      </c>
      <c r="F241" s="63">
        <f t="shared" si="62"/>
        <v>0</v>
      </c>
      <c r="G241" s="977">
        <v>0</v>
      </c>
      <c r="H241" s="977">
        <v>0</v>
      </c>
      <c r="I241" s="63">
        <f>(G241-H241)*'16-PlantAdditions'!$E$103</f>
        <v>0</v>
      </c>
      <c r="J241" s="63">
        <f t="shared" si="63"/>
        <v>0</v>
      </c>
      <c r="K241" s="63">
        <f t="shared" si="64"/>
        <v>0</v>
      </c>
    </row>
    <row r="242" spans="1:11" s="645" customFormat="1" ht="13">
      <c r="A242" s="109">
        <f t="shared" si="61"/>
        <v>181</v>
      </c>
      <c r="B242" s="611" t="s">
        <v>191</v>
      </c>
      <c r="C242" s="609">
        <v>2022</v>
      </c>
      <c r="D242" s="977">
        <v>0</v>
      </c>
      <c r="E242" s="63">
        <f>D242*'16-PlantAdditions'!$E$103</f>
        <v>0</v>
      </c>
      <c r="F242" s="63">
        <f t="shared" ref="F242:F244" si="65">E242+D242</f>
        <v>0</v>
      </c>
      <c r="G242" s="977">
        <v>0</v>
      </c>
      <c r="H242" s="977">
        <v>0</v>
      </c>
      <c r="I242" s="63">
        <f>(G242-H242)*'16-PlantAdditions'!$E$103</f>
        <v>0</v>
      </c>
      <c r="J242" s="63">
        <f t="shared" ref="J242:J244" si="66">J241+F242-G242-I242</f>
        <v>0</v>
      </c>
      <c r="K242" s="63">
        <f t="shared" si="64"/>
        <v>0</v>
      </c>
    </row>
    <row r="243" spans="1:11" s="645" customFormat="1" ht="13">
      <c r="A243" s="109">
        <f t="shared" si="61"/>
        <v>182</v>
      </c>
      <c r="B243" s="611" t="s">
        <v>190</v>
      </c>
      <c r="C243" s="609">
        <v>2022</v>
      </c>
      <c r="D243" s="977">
        <v>0</v>
      </c>
      <c r="E243" s="63">
        <f>D243*'16-PlantAdditions'!$E$103</f>
        <v>0</v>
      </c>
      <c r="F243" s="63">
        <f t="shared" si="65"/>
        <v>0</v>
      </c>
      <c r="G243" s="977">
        <v>0</v>
      </c>
      <c r="H243" s="977">
        <v>0</v>
      </c>
      <c r="I243" s="63">
        <f>(G243-H243)*'16-PlantAdditions'!$E$103</f>
        <v>0</v>
      </c>
      <c r="J243" s="63">
        <f t="shared" si="66"/>
        <v>0</v>
      </c>
      <c r="K243" s="63">
        <f t="shared" si="64"/>
        <v>0</v>
      </c>
    </row>
    <row r="244" spans="1:11" s="645" customFormat="1" ht="13">
      <c r="A244" s="109">
        <f t="shared" si="61"/>
        <v>183</v>
      </c>
      <c r="B244" s="611" t="s">
        <v>180</v>
      </c>
      <c r="C244" s="609">
        <v>2022</v>
      </c>
      <c r="D244" s="977">
        <v>0</v>
      </c>
      <c r="E244" s="63">
        <f>D244*'16-PlantAdditions'!$E$103</f>
        <v>0</v>
      </c>
      <c r="F244" s="63">
        <f t="shared" si="65"/>
        <v>0</v>
      </c>
      <c r="G244" s="977">
        <v>0</v>
      </c>
      <c r="H244" s="977">
        <v>0</v>
      </c>
      <c r="I244" s="63">
        <f>(G244-H244)*'16-PlantAdditions'!$E$103</f>
        <v>0</v>
      </c>
      <c r="J244" s="63">
        <f t="shared" si="66"/>
        <v>0</v>
      </c>
      <c r="K244" s="110">
        <f t="shared" si="64"/>
        <v>0</v>
      </c>
    </row>
    <row r="245" spans="1:11" s="645" customFormat="1" ht="13">
      <c r="A245" s="109">
        <f t="shared" si="61"/>
        <v>184</v>
      </c>
      <c r="B245"/>
      <c r="C245" s="644" t="s">
        <v>1603</v>
      </c>
      <c r="D245"/>
      <c r="E245"/>
      <c r="F245"/>
      <c r="G245"/>
      <c r="H245"/>
      <c r="I245"/>
      <c r="J245"/>
      <c r="K245" s="73">
        <f>AVERAGE(K232:K244)</f>
        <v>0</v>
      </c>
    </row>
    <row r="246" spans="1:11" s="645" customFormat="1" ht="13">
      <c r="A246" s="109"/>
      <c r="B246"/>
      <c r="C246" s="644"/>
      <c r="D246"/>
      <c r="E246"/>
      <c r="F246"/>
      <c r="G246"/>
      <c r="H246"/>
      <c r="I246"/>
      <c r="J246"/>
      <c r="K246" s="73"/>
    </row>
    <row r="247" spans="1:11" s="645" customFormat="1" ht="13">
      <c r="B247" s="646" t="s">
        <v>1934</v>
      </c>
      <c r="D247" s="1514" t="s">
        <v>2732</v>
      </c>
      <c r="E247" s="1514"/>
    </row>
    <row r="248" spans="1:11" s="645" customFormat="1" ht="13">
      <c r="A248" s="640"/>
      <c r="B248" s="640"/>
      <c r="C248" s="640"/>
      <c r="D248" s="640" t="s">
        <v>358</v>
      </c>
      <c r="E248" s="640" t="s">
        <v>342</v>
      </c>
      <c r="F248" s="640" t="s">
        <v>343</v>
      </c>
      <c r="G248" s="640" t="s">
        <v>344</v>
      </c>
      <c r="H248" s="640" t="s">
        <v>345</v>
      </c>
      <c r="I248" s="640" t="s">
        <v>346</v>
      </c>
      <c r="J248" s="640" t="s">
        <v>347</v>
      </c>
      <c r="K248" s="640" t="s">
        <v>534</v>
      </c>
    </row>
    <row r="249" spans="1:11" s="645" customFormat="1" ht="38">
      <c r="D249" s="647"/>
      <c r="E249" s="648" t="s">
        <v>2061</v>
      </c>
      <c r="F249" s="649" t="s">
        <v>1927</v>
      </c>
      <c r="G249" s="525"/>
      <c r="H249" s="647"/>
      <c r="I249" s="648" t="s">
        <v>2062</v>
      </c>
      <c r="J249" s="648" t="s">
        <v>1928</v>
      </c>
      <c r="K249" s="648" t="s">
        <v>1929</v>
      </c>
    </row>
    <row r="250" spans="1:11" s="645" customFormat="1" ht="13">
      <c r="D250" s="647"/>
      <c r="E250" s="647"/>
      <c r="F250" s="647"/>
      <c r="G250" s="549" t="s">
        <v>1935</v>
      </c>
      <c r="H250" s="647"/>
      <c r="I250" s="647"/>
    </row>
    <row r="251" spans="1:11" s="645" customFormat="1" ht="13">
      <c r="A251" s="642"/>
      <c r="B251" s="642"/>
      <c r="C251" s="642"/>
      <c r="D251" s="642" t="str">
        <f>D$52</f>
        <v>Forecast</v>
      </c>
      <c r="E251" s="642" t="str">
        <f t="shared" ref="E251:J251" si="67">E$52</f>
        <v>Corporate</v>
      </c>
      <c r="F251" s="642" t="str">
        <f t="shared" si="67"/>
        <v xml:space="preserve">Total </v>
      </c>
      <c r="G251" s="642" t="s">
        <v>196</v>
      </c>
      <c r="H251" s="642" t="str">
        <f t="shared" si="67"/>
        <v>Prior Period</v>
      </c>
      <c r="I251" s="642" t="str">
        <f t="shared" si="67"/>
        <v>Over Heads</v>
      </c>
      <c r="J251" s="642" t="str">
        <f t="shared" si="67"/>
        <v>Forecast</v>
      </c>
      <c r="K251" s="549" t="str">
        <f>K$52</f>
        <v>Forecast Period</v>
      </c>
    </row>
    <row r="252" spans="1:11" s="645" customFormat="1" ht="13">
      <c r="A252" s="833" t="s">
        <v>329</v>
      </c>
      <c r="B252" s="607" t="s">
        <v>192</v>
      </c>
      <c r="C252" s="607" t="s">
        <v>193</v>
      </c>
      <c r="D252" s="640" t="str">
        <f>D$53</f>
        <v>Expenditures</v>
      </c>
      <c r="E252" s="640" t="str">
        <f t="shared" ref="E252:J252" si="68">E$53</f>
        <v>Overheads</v>
      </c>
      <c r="F252" s="640" t="str">
        <f t="shared" si="68"/>
        <v>CWIP Exp</v>
      </c>
      <c r="G252" s="640" t="s">
        <v>1920</v>
      </c>
      <c r="H252" s="640" t="str">
        <f t="shared" si="68"/>
        <v>CWIP Closed</v>
      </c>
      <c r="I252" s="640" t="str">
        <f t="shared" si="68"/>
        <v>Closed to PIS</v>
      </c>
      <c r="J252" s="640" t="str">
        <f t="shared" si="68"/>
        <v>Period CWIP</v>
      </c>
      <c r="K252" s="640" t="str">
        <f>K$53</f>
        <v>Incremental CWIP</v>
      </c>
    </row>
    <row r="253" spans="1:11" s="645" customFormat="1" ht="13">
      <c r="A253" s="109">
        <f>A245+1</f>
        <v>185</v>
      </c>
      <c r="B253" s="608" t="s">
        <v>180</v>
      </c>
      <c r="C253" s="609">
        <v>2020</v>
      </c>
      <c r="D253" s="649" t="s">
        <v>76</v>
      </c>
      <c r="E253" s="649" t="s">
        <v>76</v>
      </c>
      <c r="F253" s="649" t="s">
        <v>76</v>
      </c>
      <c r="G253" s="649" t="s">
        <v>76</v>
      </c>
      <c r="H253" s="649" t="s">
        <v>76</v>
      </c>
      <c r="I253" s="649" t="s">
        <v>76</v>
      </c>
      <c r="J253" s="63">
        <f>D45</f>
        <v>0</v>
      </c>
      <c r="K253" s="649" t="s">
        <v>76</v>
      </c>
    </row>
    <row r="254" spans="1:11" s="645" customFormat="1" ht="13">
      <c r="A254" s="109">
        <f>A253+1</f>
        <v>186</v>
      </c>
      <c r="B254" s="608" t="s">
        <v>181</v>
      </c>
      <c r="C254" s="609">
        <v>2021</v>
      </c>
      <c r="D254" s="977">
        <v>0</v>
      </c>
      <c r="E254" s="63">
        <f>D254*'16-PlantAdditions'!$E$103</f>
        <v>0</v>
      </c>
      <c r="F254" s="63">
        <f>E254+D254</f>
        <v>0</v>
      </c>
      <c r="G254" s="977">
        <v>0</v>
      </c>
      <c r="H254" s="977">
        <v>0</v>
      </c>
      <c r="I254" s="63">
        <f>(G254-H254)*'16-PlantAdditions'!$E$103</f>
        <v>0</v>
      </c>
      <c r="J254" s="63">
        <f>J253+F254-G254-I254</f>
        <v>0</v>
      </c>
      <c r="K254" s="63">
        <f>J254-$J$253</f>
        <v>0</v>
      </c>
    </row>
    <row r="255" spans="1:11" s="645" customFormat="1" ht="13">
      <c r="A255" s="109">
        <f t="shared" ref="A255:A278" si="69">A254+1</f>
        <v>187</v>
      </c>
      <c r="B255" s="611" t="s">
        <v>182</v>
      </c>
      <c r="C255" s="609">
        <v>2021</v>
      </c>
      <c r="D255" s="977">
        <v>0</v>
      </c>
      <c r="E255" s="63">
        <f>D255*'16-PlantAdditions'!$E$103</f>
        <v>0</v>
      </c>
      <c r="F255" s="63">
        <f t="shared" ref="F255:F274" si="70">E255+D255</f>
        <v>0</v>
      </c>
      <c r="G255" s="977">
        <v>0</v>
      </c>
      <c r="H255" s="977">
        <v>0</v>
      </c>
      <c r="I255" s="63">
        <f>(G255-H255)*'16-PlantAdditions'!$E$103</f>
        <v>0</v>
      </c>
      <c r="J255" s="63">
        <f t="shared" ref="J255:J274" si="71">J254+F255-G255-I255</f>
        <v>0</v>
      </c>
      <c r="K255" s="63">
        <f t="shared" ref="K255:K277" si="72">J255-$J$253</f>
        <v>0</v>
      </c>
    </row>
    <row r="256" spans="1:11" s="645" customFormat="1" ht="13">
      <c r="A256" s="109">
        <f t="shared" si="69"/>
        <v>188</v>
      </c>
      <c r="B256" s="611" t="s">
        <v>195</v>
      </c>
      <c r="C256" s="609">
        <v>2021</v>
      </c>
      <c r="D256" s="977">
        <v>0</v>
      </c>
      <c r="E256" s="63">
        <f>D256*'16-PlantAdditions'!$E$103</f>
        <v>0</v>
      </c>
      <c r="F256" s="63">
        <f t="shared" si="70"/>
        <v>0</v>
      </c>
      <c r="G256" s="977">
        <v>0</v>
      </c>
      <c r="H256" s="977">
        <v>0</v>
      </c>
      <c r="I256" s="63">
        <f>(G256-H256)*'16-PlantAdditions'!$E$103</f>
        <v>0</v>
      </c>
      <c r="J256" s="63">
        <f t="shared" si="71"/>
        <v>0</v>
      </c>
      <c r="K256" s="63">
        <f t="shared" si="72"/>
        <v>0</v>
      </c>
    </row>
    <row r="257" spans="1:11" s="645" customFormat="1" ht="13">
      <c r="A257" s="109">
        <f t="shared" si="69"/>
        <v>189</v>
      </c>
      <c r="B257" s="608" t="s">
        <v>183</v>
      </c>
      <c r="C257" s="609">
        <v>2021</v>
      </c>
      <c r="D257" s="977">
        <v>0</v>
      </c>
      <c r="E257" s="63">
        <f>D257*'16-PlantAdditions'!$E$103</f>
        <v>0</v>
      </c>
      <c r="F257" s="63">
        <f t="shared" si="70"/>
        <v>0</v>
      </c>
      <c r="G257" s="977">
        <v>0</v>
      </c>
      <c r="H257" s="977">
        <v>0</v>
      </c>
      <c r="I257" s="63">
        <f>(G257-H257)*'16-PlantAdditions'!$E$103</f>
        <v>0</v>
      </c>
      <c r="J257" s="63">
        <f t="shared" si="71"/>
        <v>0</v>
      </c>
      <c r="K257" s="63">
        <f t="shared" si="72"/>
        <v>0</v>
      </c>
    </row>
    <row r="258" spans="1:11" s="645" customFormat="1" ht="13">
      <c r="A258" s="109">
        <f t="shared" si="69"/>
        <v>190</v>
      </c>
      <c r="B258" s="611" t="s">
        <v>184</v>
      </c>
      <c r="C258" s="609">
        <v>2021</v>
      </c>
      <c r="D258" s="977">
        <v>0</v>
      </c>
      <c r="E258" s="63">
        <f>D258*'16-PlantAdditions'!$E$103</f>
        <v>0</v>
      </c>
      <c r="F258" s="63">
        <f t="shared" si="70"/>
        <v>0</v>
      </c>
      <c r="G258" s="977">
        <v>0</v>
      </c>
      <c r="H258" s="977">
        <v>0</v>
      </c>
      <c r="I258" s="63">
        <f>(G258-H258)*'16-PlantAdditions'!$E$103</f>
        <v>0</v>
      </c>
      <c r="J258" s="63">
        <f t="shared" si="71"/>
        <v>0</v>
      </c>
      <c r="K258" s="63">
        <f t="shared" si="72"/>
        <v>0</v>
      </c>
    </row>
    <row r="259" spans="1:11" s="645" customFormat="1" ht="13">
      <c r="A259" s="109">
        <f t="shared" si="69"/>
        <v>191</v>
      </c>
      <c r="B259" s="611" t="s">
        <v>1458</v>
      </c>
      <c r="C259" s="609">
        <v>2021</v>
      </c>
      <c r="D259" s="977">
        <v>0</v>
      </c>
      <c r="E259" s="63">
        <f>D259*'16-PlantAdditions'!$E$103</f>
        <v>0</v>
      </c>
      <c r="F259" s="63">
        <f t="shared" si="70"/>
        <v>0</v>
      </c>
      <c r="G259" s="977">
        <v>0</v>
      </c>
      <c r="H259" s="977">
        <v>0</v>
      </c>
      <c r="I259" s="63">
        <f>(G259-H259)*'16-PlantAdditions'!$E$103</f>
        <v>0</v>
      </c>
      <c r="J259" s="63">
        <f>J258+F259-G259-I259</f>
        <v>0</v>
      </c>
      <c r="K259" s="63">
        <f t="shared" si="72"/>
        <v>0</v>
      </c>
    </row>
    <row r="260" spans="1:11" s="645" customFormat="1" ht="13">
      <c r="A260" s="109">
        <f t="shared" si="69"/>
        <v>192</v>
      </c>
      <c r="B260" s="608" t="s">
        <v>186</v>
      </c>
      <c r="C260" s="609">
        <v>2021</v>
      </c>
      <c r="D260" s="977">
        <v>0</v>
      </c>
      <c r="E260" s="63">
        <f>D260*'16-PlantAdditions'!$E$103</f>
        <v>0</v>
      </c>
      <c r="F260" s="63">
        <f t="shared" si="70"/>
        <v>0</v>
      </c>
      <c r="G260" s="977">
        <v>0</v>
      </c>
      <c r="H260" s="977">
        <v>0</v>
      </c>
      <c r="I260" s="63">
        <f>(G260-H260)*'16-PlantAdditions'!$E$103</f>
        <v>0</v>
      </c>
      <c r="J260" s="63">
        <f t="shared" si="71"/>
        <v>0</v>
      </c>
      <c r="K260" s="63">
        <f t="shared" si="72"/>
        <v>0</v>
      </c>
    </row>
    <row r="261" spans="1:11" s="645" customFormat="1" ht="13">
      <c r="A261" s="109">
        <f t="shared" si="69"/>
        <v>193</v>
      </c>
      <c r="B261" s="611" t="s">
        <v>187</v>
      </c>
      <c r="C261" s="609">
        <v>2021</v>
      </c>
      <c r="D261" s="977">
        <v>0</v>
      </c>
      <c r="E261" s="63">
        <f>D261*'16-PlantAdditions'!$E$103</f>
        <v>0</v>
      </c>
      <c r="F261" s="63">
        <f t="shared" si="70"/>
        <v>0</v>
      </c>
      <c r="G261" s="977">
        <v>0</v>
      </c>
      <c r="H261" s="977">
        <v>0</v>
      </c>
      <c r="I261" s="63">
        <f>(G261-H261)*'16-PlantAdditions'!$E$103</f>
        <v>0</v>
      </c>
      <c r="J261" s="63">
        <f t="shared" si="71"/>
        <v>0</v>
      </c>
      <c r="K261" s="63">
        <f t="shared" si="72"/>
        <v>0</v>
      </c>
    </row>
    <row r="262" spans="1:11" s="645" customFormat="1" ht="13">
      <c r="A262" s="109">
        <f t="shared" si="69"/>
        <v>194</v>
      </c>
      <c r="B262" s="611" t="s">
        <v>188</v>
      </c>
      <c r="C262" s="609">
        <v>2021</v>
      </c>
      <c r="D262" s="977">
        <v>0</v>
      </c>
      <c r="E262" s="63">
        <f>D262*'16-PlantAdditions'!$E$103</f>
        <v>0</v>
      </c>
      <c r="F262" s="63">
        <f t="shared" si="70"/>
        <v>0</v>
      </c>
      <c r="G262" s="977">
        <v>0</v>
      </c>
      <c r="H262" s="977">
        <v>0</v>
      </c>
      <c r="I262" s="63">
        <f>(G262-H262)*'16-PlantAdditions'!$E$103</f>
        <v>0</v>
      </c>
      <c r="J262" s="63">
        <f t="shared" si="71"/>
        <v>0</v>
      </c>
      <c r="K262" s="63">
        <f t="shared" si="72"/>
        <v>0</v>
      </c>
    </row>
    <row r="263" spans="1:11" s="645" customFormat="1" ht="13">
      <c r="A263" s="109">
        <f t="shared" si="69"/>
        <v>195</v>
      </c>
      <c r="B263" s="608" t="s">
        <v>191</v>
      </c>
      <c r="C263" s="609">
        <v>2021</v>
      </c>
      <c r="D263" s="977">
        <v>0</v>
      </c>
      <c r="E263" s="63">
        <f>D263*'16-PlantAdditions'!$E$103</f>
        <v>0</v>
      </c>
      <c r="F263" s="63">
        <f t="shared" si="70"/>
        <v>0</v>
      </c>
      <c r="G263" s="977">
        <v>0</v>
      </c>
      <c r="H263" s="977">
        <v>0</v>
      </c>
      <c r="I263" s="63">
        <f>(G263-H263)*'16-PlantAdditions'!$E$103</f>
        <v>0</v>
      </c>
      <c r="J263" s="63">
        <f t="shared" si="71"/>
        <v>0</v>
      </c>
      <c r="K263" s="63">
        <f t="shared" si="72"/>
        <v>0</v>
      </c>
    </row>
    <row r="264" spans="1:11" s="645" customFormat="1" ht="13">
      <c r="A264" s="109">
        <f t="shared" si="69"/>
        <v>196</v>
      </c>
      <c r="B264" s="608" t="s">
        <v>190</v>
      </c>
      <c r="C264" s="609">
        <v>2021</v>
      </c>
      <c r="D264" s="977">
        <v>0</v>
      </c>
      <c r="E264" s="63">
        <f>D264*'16-PlantAdditions'!$E$103</f>
        <v>0</v>
      </c>
      <c r="F264" s="63">
        <f t="shared" si="70"/>
        <v>0</v>
      </c>
      <c r="G264" s="977">
        <v>0</v>
      </c>
      <c r="H264" s="977">
        <v>0</v>
      </c>
      <c r="I264" s="63">
        <f>(G264-H264)*'16-PlantAdditions'!$E$103</f>
        <v>0</v>
      </c>
      <c r="J264" s="63">
        <f t="shared" si="71"/>
        <v>0</v>
      </c>
      <c r="K264" s="63">
        <f t="shared" si="72"/>
        <v>0</v>
      </c>
    </row>
    <row r="265" spans="1:11" s="645" customFormat="1" ht="13">
      <c r="A265" s="109">
        <f t="shared" si="69"/>
        <v>197</v>
      </c>
      <c r="B265" s="608" t="s">
        <v>180</v>
      </c>
      <c r="C265" s="609">
        <v>2021</v>
      </c>
      <c r="D265" s="977">
        <v>0</v>
      </c>
      <c r="E265" s="63">
        <f>D265*'16-PlantAdditions'!$E$103</f>
        <v>0</v>
      </c>
      <c r="F265" s="63">
        <f t="shared" si="70"/>
        <v>0</v>
      </c>
      <c r="G265" s="977">
        <v>0</v>
      </c>
      <c r="H265" s="977">
        <v>0</v>
      </c>
      <c r="I265" s="63">
        <f>(G265-H265)*'16-PlantAdditions'!$E$103</f>
        <v>0</v>
      </c>
      <c r="J265" s="63">
        <f t="shared" si="71"/>
        <v>0</v>
      </c>
      <c r="K265" s="63">
        <f t="shared" si="72"/>
        <v>0</v>
      </c>
    </row>
    <row r="266" spans="1:11" s="645" customFormat="1" ht="13">
      <c r="A266" s="109">
        <f t="shared" si="69"/>
        <v>198</v>
      </c>
      <c r="B266" s="608" t="s">
        <v>181</v>
      </c>
      <c r="C266" s="609">
        <v>2022</v>
      </c>
      <c r="D266" s="977">
        <v>0</v>
      </c>
      <c r="E266" s="63">
        <f>D266*'16-PlantAdditions'!$E$103</f>
        <v>0</v>
      </c>
      <c r="F266" s="63">
        <f t="shared" si="70"/>
        <v>0</v>
      </c>
      <c r="G266" s="977">
        <v>0</v>
      </c>
      <c r="H266" s="977">
        <v>0</v>
      </c>
      <c r="I266" s="63">
        <f>(G266-H266)*'16-PlantAdditions'!$E$103</f>
        <v>0</v>
      </c>
      <c r="J266" s="63">
        <f t="shared" si="71"/>
        <v>0</v>
      </c>
      <c r="K266" s="63">
        <f t="shared" si="72"/>
        <v>0</v>
      </c>
    </row>
    <row r="267" spans="1:11" s="645" customFormat="1" ht="13">
      <c r="A267" s="109">
        <f t="shared" si="69"/>
        <v>199</v>
      </c>
      <c r="B267" s="611" t="s">
        <v>182</v>
      </c>
      <c r="C267" s="609">
        <v>2022</v>
      </c>
      <c r="D267" s="977">
        <v>0</v>
      </c>
      <c r="E267" s="63">
        <f>D267*'16-PlantAdditions'!$E$103</f>
        <v>0</v>
      </c>
      <c r="F267" s="63">
        <f t="shared" si="70"/>
        <v>0</v>
      </c>
      <c r="G267" s="977">
        <v>0</v>
      </c>
      <c r="H267" s="977">
        <v>0</v>
      </c>
      <c r="I267" s="63">
        <f>(G267-H267)*'16-PlantAdditions'!$E$103</f>
        <v>0</v>
      </c>
      <c r="J267" s="63">
        <f t="shared" si="71"/>
        <v>0</v>
      </c>
      <c r="K267" s="63">
        <f t="shared" si="72"/>
        <v>0</v>
      </c>
    </row>
    <row r="268" spans="1:11" s="645" customFormat="1" ht="13">
      <c r="A268" s="109">
        <f t="shared" si="69"/>
        <v>200</v>
      </c>
      <c r="B268" s="611" t="s">
        <v>195</v>
      </c>
      <c r="C268" s="609">
        <v>2022</v>
      </c>
      <c r="D268" s="977">
        <v>0</v>
      </c>
      <c r="E268" s="63">
        <f>D268*'16-PlantAdditions'!$E$103</f>
        <v>0</v>
      </c>
      <c r="F268" s="63">
        <f t="shared" si="70"/>
        <v>0</v>
      </c>
      <c r="G268" s="977">
        <v>0</v>
      </c>
      <c r="H268" s="977">
        <v>0</v>
      </c>
      <c r="I268" s="63">
        <f>(G268-H268)*'16-PlantAdditions'!$E$103</f>
        <v>0</v>
      </c>
      <c r="J268" s="63">
        <f t="shared" si="71"/>
        <v>0</v>
      </c>
      <c r="K268" s="63">
        <f t="shared" si="72"/>
        <v>0</v>
      </c>
    </row>
    <row r="269" spans="1:11" s="645" customFormat="1" ht="13">
      <c r="A269" s="109">
        <f t="shared" si="69"/>
        <v>201</v>
      </c>
      <c r="B269" s="608" t="s">
        <v>183</v>
      </c>
      <c r="C269" s="609">
        <v>2022</v>
      </c>
      <c r="D269" s="977">
        <v>0</v>
      </c>
      <c r="E269" s="63">
        <f>D269*'16-PlantAdditions'!$E$103</f>
        <v>0</v>
      </c>
      <c r="F269" s="63">
        <f t="shared" si="70"/>
        <v>0</v>
      </c>
      <c r="G269" s="977">
        <v>0</v>
      </c>
      <c r="H269" s="977">
        <v>0</v>
      </c>
      <c r="I269" s="63">
        <f>(G269-H269)*'16-PlantAdditions'!$E$103</f>
        <v>0</v>
      </c>
      <c r="J269" s="63">
        <f t="shared" si="71"/>
        <v>0</v>
      </c>
      <c r="K269" s="63">
        <f t="shared" si="72"/>
        <v>0</v>
      </c>
    </row>
    <row r="270" spans="1:11" s="645" customFormat="1" ht="13">
      <c r="A270" s="109">
        <f t="shared" si="69"/>
        <v>202</v>
      </c>
      <c r="B270" s="611" t="s">
        <v>184</v>
      </c>
      <c r="C270" s="609">
        <v>2022</v>
      </c>
      <c r="D270" s="977">
        <v>0</v>
      </c>
      <c r="E270" s="63">
        <f>D270*'16-PlantAdditions'!$E$103</f>
        <v>0</v>
      </c>
      <c r="F270" s="63">
        <f t="shared" si="70"/>
        <v>0</v>
      </c>
      <c r="G270" s="977">
        <v>0</v>
      </c>
      <c r="H270" s="977">
        <v>0</v>
      </c>
      <c r="I270" s="63">
        <f>(G270-H270)*'16-PlantAdditions'!$E$103</f>
        <v>0</v>
      </c>
      <c r="J270" s="63">
        <f t="shared" si="71"/>
        <v>0</v>
      </c>
      <c r="K270" s="63">
        <f t="shared" si="72"/>
        <v>0</v>
      </c>
    </row>
    <row r="271" spans="1:11" s="645" customFormat="1" ht="13">
      <c r="A271" s="109">
        <f t="shared" si="69"/>
        <v>203</v>
      </c>
      <c r="B271" s="611" t="s">
        <v>1458</v>
      </c>
      <c r="C271" s="609">
        <v>2022</v>
      </c>
      <c r="D271" s="977">
        <v>0</v>
      </c>
      <c r="E271" s="63">
        <f>D271*'16-PlantAdditions'!$E$103</f>
        <v>0</v>
      </c>
      <c r="F271" s="63">
        <f t="shared" si="70"/>
        <v>0</v>
      </c>
      <c r="G271" s="977">
        <v>0</v>
      </c>
      <c r="H271" s="977">
        <v>0</v>
      </c>
      <c r="I271" s="63">
        <f>(G271-H271)*'16-PlantAdditions'!$E$103</f>
        <v>0</v>
      </c>
      <c r="J271" s="63">
        <f t="shared" si="71"/>
        <v>0</v>
      </c>
      <c r="K271" s="63">
        <f t="shared" si="72"/>
        <v>0</v>
      </c>
    </row>
    <row r="272" spans="1:11" s="645" customFormat="1" ht="13">
      <c r="A272" s="109">
        <f t="shared" si="69"/>
        <v>204</v>
      </c>
      <c r="B272" s="608" t="s">
        <v>186</v>
      </c>
      <c r="C272" s="609">
        <v>2022</v>
      </c>
      <c r="D272" s="977">
        <v>0</v>
      </c>
      <c r="E272" s="63">
        <f>D272*'16-PlantAdditions'!$E$103</f>
        <v>0</v>
      </c>
      <c r="F272" s="63">
        <f t="shared" si="70"/>
        <v>0</v>
      </c>
      <c r="G272" s="977">
        <v>0</v>
      </c>
      <c r="H272" s="977">
        <v>0</v>
      </c>
      <c r="I272" s="63">
        <f>(G272-H272)*'16-PlantAdditions'!$E$103</f>
        <v>0</v>
      </c>
      <c r="J272" s="63">
        <f t="shared" si="71"/>
        <v>0</v>
      </c>
      <c r="K272" s="63">
        <f t="shared" si="72"/>
        <v>0</v>
      </c>
    </row>
    <row r="273" spans="1:11" s="645" customFormat="1" ht="13">
      <c r="A273" s="109">
        <f t="shared" si="69"/>
        <v>205</v>
      </c>
      <c r="B273" s="611" t="s">
        <v>187</v>
      </c>
      <c r="C273" s="609">
        <v>2022</v>
      </c>
      <c r="D273" s="977">
        <v>0</v>
      </c>
      <c r="E273" s="63">
        <f>D273*'16-PlantAdditions'!$E$103</f>
        <v>0</v>
      </c>
      <c r="F273" s="63">
        <f t="shared" si="70"/>
        <v>0</v>
      </c>
      <c r="G273" s="977">
        <v>0</v>
      </c>
      <c r="H273" s="977">
        <v>0</v>
      </c>
      <c r="I273" s="63">
        <f>(G273-H273)*'16-PlantAdditions'!$E$103</f>
        <v>0</v>
      </c>
      <c r="J273" s="63">
        <f t="shared" si="71"/>
        <v>0</v>
      </c>
      <c r="K273" s="63">
        <f t="shared" si="72"/>
        <v>0</v>
      </c>
    </row>
    <row r="274" spans="1:11" s="645" customFormat="1" ht="13">
      <c r="A274" s="109">
        <f t="shared" si="69"/>
        <v>206</v>
      </c>
      <c r="B274" s="611" t="s">
        <v>188</v>
      </c>
      <c r="C274" s="609">
        <v>2022</v>
      </c>
      <c r="D274" s="977">
        <v>0</v>
      </c>
      <c r="E274" s="63">
        <f>D274*'16-PlantAdditions'!$E$103</f>
        <v>0</v>
      </c>
      <c r="F274" s="63">
        <f t="shared" si="70"/>
        <v>0</v>
      </c>
      <c r="G274" s="977">
        <v>0</v>
      </c>
      <c r="H274" s="977">
        <v>0</v>
      </c>
      <c r="I274" s="63">
        <f>(G274-H274)*'16-PlantAdditions'!$E$103</f>
        <v>0</v>
      </c>
      <c r="J274" s="63">
        <f t="shared" si="71"/>
        <v>0</v>
      </c>
      <c r="K274" s="63">
        <f t="shared" si="72"/>
        <v>0</v>
      </c>
    </row>
    <row r="275" spans="1:11" s="645" customFormat="1" ht="13">
      <c r="A275" s="109">
        <f t="shared" si="69"/>
        <v>207</v>
      </c>
      <c r="B275" s="611" t="s">
        <v>191</v>
      </c>
      <c r="C275" s="609">
        <v>2022</v>
      </c>
      <c r="D275" s="977">
        <v>0</v>
      </c>
      <c r="E275" s="63">
        <f>D275*'16-PlantAdditions'!$E$103</f>
        <v>0</v>
      </c>
      <c r="F275" s="63">
        <f t="shared" ref="F275:F277" si="73">E275+D275</f>
        <v>0</v>
      </c>
      <c r="G275" s="977">
        <v>0</v>
      </c>
      <c r="H275" s="977">
        <v>0</v>
      </c>
      <c r="I275" s="63">
        <f>(G275-H275)*'16-PlantAdditions'!$E$103</f>
        <v>0</v>
      </c>
      <c r="J275" s="63">
        <f t="shared" ref="J275:J277" si="74">J274+F275-G275-I275</f>
        <v>0</v>
      </c>
      <c r="K275" s="63">
        <f t="shared" si="72"/>
        <v>0</v>
      </c>
    </row>
    <row r="276" spans="1:11" s="645" customFormat="1" ht="13">
      <c r="A276" s="109">
        <f t="shared" si="69"/>
        <v>208</v>
      </c>
      <c r="B276" s="611" t="s">
        <v>190</v>
      </c>
      <c r="C276" s="609">
        <v>2022</v>
      </c>
      <c r="D276" s="977">
        <v>0</v>
      </c>
      <c r="E276" s="63">
        <f>D276*'16-PlantAdditions'!$E$103</f>
        <v>0</v>
      </c>
      <c r="F276" s="63">
        <f t="shared" si="73"/>
        <v>0</v>
      </c>
      <c r="G276" s="977">
        <v>0</v>
      </c>
      <c r="H276" s="977">
        <v>0</v>
      </c>
      <c r="I276" s="63">
        <f>(G276-H276)*'16-PlantAdditions'!$E$103</f>
        <v>0</v>
      </c>
      <c r="J276" s="63">
        <f t="shared" si="74"/>
        <v>0</v>
      </c>
      <c r="K276" s="63">
        <f t="shared" si="72"/>
        <v>0</v>
      </c>
    </row>
    <row r="277" spans="1:11" s="645" customFormat="1" ht="13">
      <c r="A277" s="109">
        <f t="shared" si="69"/>
        <v>209</v>
      </c>
      <c r="B277" s="611" t="s">
        <v>180</v>
      </c>
      <c r="C277" s="609">
        <v>2022</v>
      </c>
      <c r="D277" s="977">
        <v>0</v>
      </c>
      <c r="E277" s="63">
        <f>D277*'16-PlantAdditions'!$E$103</f>
        <v>0</v>
      </c>
      <c r="F277" s="63">
        <f t="shared" si="73"/>
        <v>0</v>
      </c>
      <c r="G277" s="977">
        <v>0</v>
      </c>
      <c r="H277" s="977">
        <v>0</v>
      </c>
      <c r="I277" s="63">
        <f>(G277-H277)*'16-PlantAdditions'!$E$103</f>
        <v>0</v>
      </c>
      <c r="J277" s="63">
        <f t="shared" si="74"/>
        <v>0</v>
      </c>
      <c r="K277" s="110">
        <f t="shared" si="72"/>
        <v>0</v>
      </c>
    </row>
    <row r="278" spans="1:11" s="645" customFormat="1" ht="13">
      <c r="A278" s="109">
        <f t="shared" si="69"/>
        <v>210</v>
      </c>
      <c r="B278"/>
      <c r="C278" s="644" t="s">
        <v>1603</v>
      </c>
      <c r="D278"/>
      <c r="E278"/>
      <c r="F278"/>
      <c r="G278"/>
      <c r="H278"/>
      <c r="I278"/>
      <c r="J278"/>
      <c r="K278" s="73">
        <f>AVERAGE(K265:K277)</f>
        <v>0</v>
      </c>
    </row>
    <row r="279" spans="1:11" s="645" customFormat="1" ht="12.75" customHeight="1">
      <c r="A279" s="109"/>
      <c r="B279"/>
      <c r="C279" s="644"/>
      <c r="D279"/>
      <c r="E279"/>
      <c r="F279"/>
      <c r="G279"/>
      <c r="H279"/>
      <c r="I279"/>
      <c r="J279"/>
      <c r="K279" s="73"/>
    </row>
    <row r="280" spans="1:11" s="645" customFormat="1" ht="13">
      <c r="B280" s="646" t="s">
        <v>1936</v>
      </c>
      <c r="D280" s="1514" t="s">
        <v>2733</v>
      </c>
      <c r="E280" s="1514"/>
    </row>
    <row r="281" spans="1:11" s="645" customFormat="1" ht="13">
      <c r="B281" s="646"/>
      <c r="D281" s="640" t="s">
        <v>358</v>
      </c>
      <c r="E281" s="640" t="s">
        <v>342</v>
      </c>
      <c r="F281" s="640" t="s">
        <v>343</v>
      </c>
      <c r="G281" s="640" t="s">
        <v>344</v>
      </c>
      <c r="H281" s="640" t="s">
        <v>345</v>
      </c>
      <c r="I281" s="640" t="s">
        <v>346</v>
      </c>
      <c r="J281" s="640" t="s">
        <v>347</v>
      </c>
      <c r="K281" s="640" t="s">
        <v>534</v>
      </c>
    </row>
    <row r="282" spans="1:11" s="645" customFormat="1" ht="38">
      <c r="B282" s="646"/>
      <c r="D282" s="647"/>
      <c r="E282" s="648" t="s">
        <v>2061</v>
      </c>
      <c r="F282" s="649" t="s">
        <v>1927</v>
      </c>
      <c r="G282" s="525"/>
      <c r="H282" s="647"/>
      <c r="I282" s="648" t="s">
        <v>2062</v>
      </c>
      <c r="J282" s="648" t="s">
        <v>1928</v>
      </c>
      <c r="K282" s="648" t="s">
        <v>1929</v>
      </c>
    </row>
    <row r="283" spans="1:11" s="645" customFormat="1" ht="13">
      <c r="D283" s="647"/>
      <c r="E283" s="648"/>
      <c r="F283" s="649"/>
      <c r="G283" s="642" t="str">
        <f>G51</f>
        <v>Unloaded</v>
      </c>
      <c r="H283" s="647"/>
      <c r="I283" s="648"/>
      <c r="J283" s="648"/>
      <c r="K283" s="648"/>
    </row>
    <row r="284" spans="1:11" s="645" customFormat="1" ht="13">
      <c r="A284" s="642"/>
      <c r="B284" s="642"/>
      <c r="C284" s="642"/>
      <c r="D284" s="642" t="str">
        <f>D$52</f>
        <v>Forecast</v>
      </c>
      <c r="E284" s="642" t="str">
        <f t="shared" ref="E284:J284" si="75">E$52</f>
        <v>Corporate</v>
      </c>
      <c r="F284" s="642" t="str">
        <f t="shared" si="75"/>
        <v xml:space="preserve">Total </v>
      </c>
      <c r="G284" s="642" t="str">
        <f>G52</f>
        <v>Total</v>
      </c>
      <c r="H284" s="642" t="str">
        <f t="shared" si="75"/>
        <v>Prior Period</v>
      </c>
      <c r="I284" s="642" t="str">
        <f t="shared" si="75"/>
        <v>Over Heads</v>
      </c>
      <c r="J284" s="642" t="str">
        <f t="shared" si="75"/>
        <v>Forecast</v>
      </c>
      <c r="K284" s="549" t="str">
        <f>K$52</f>
        <v>Forecast Period</v>
      </c>
    </row>
    <row r="285" spans="1:11" s="645" customFormat="1" ht="13">
      <c r="A285" s="833" t="s">
        <v>329</v>
      </c>
      <c r="B285" s="607" t="s">
        <v>192</v>
      </c>
      <c r="C285" s="607" t="s">
        <v>193</v>
      </c>
      <c r="D285" s="640" t="str">
        <f>D$53</f>
        <v>Expenditures</v>
      </c>
      <c r="E285" s="640" t="str">
        <f t="shared" ref="E285:J285" si="76">E$53</f>
        <v>Overheads</v>
      </c>
      <c r="F285" s="640" t="str">
        <f t="shared" si="76"/>
        <v>CWIP Exp</v>
      </c>
      <c r="G285" s="640" t="str">
        <f>G53</f>
        <v>Plant Adds</v>
      </c>
      <c r="H285" s="640" t="str">
        <f t="shared" si="76"/>
        <v>CWIP Closed</v>
      </c>
      <c r="I285" s="640" t="str">
        <f t="shared" si="76"/>
        <v>Closed to PIS</v>
      </c>
      <c r="J285" s="640" t="str">
        <f t="shared" si="76"/>
        <v>Period CWIP</v>
      </c>
      <c r="K285" s="640" t="str">
        <f>K$53</f>
        <v>Incremental CWIP</v>
      </c>
    </row>
    <row r="286" spans="1:11" s="645" customFormat="1" ht="13">
      <c r="A286" s="109">
        <f>A278+1</f>
        <v>211</v>
      </c>
      <c r="B286" s="608" t="s">
        <v>180</v>
      </c>
      <c r="C286" s="609">
        <v>2020</v>
      </c>
      <c r="D286" s="649" t="s">
        <v>76</v>
      </c>
      <c r="E286" s="649" t="s">
        <v>76</v>
      </c>
      <c r="F286" s="649" t="s">
        <v>76</v>
      </c>
      <c r="G286" s="649" t="s">
        <v>76</v>
      </c>
      <c r="H286" s="649" t="s">
        <v>76</v>
      </c>
      <c r="I286" s="649" t="s">
        <v>76</v>
      </c>
      <c r="J286" s="63">
        <f>E45</f>
        <v>5327831.78</v>
      </c>
      <c r="K286" s="649" t="s">
        <v>76</v>
      </c>
    </row>
    <row r="287" spans="1:11" s="645" customFormat="1" ht="13">
      <c r="A287" s="109">
        <f>A286+1</f>
        <v>212</v>
      </c>
      <c r="B287" s="608" t="s">
        <v>181</v>
      </c>
      <c r="C287" s="609">
        <v>2021</v>
      </c>
      <c r="D287" s="977">
        <v>470656</v>
      </c>
      <c r="E287" s="63">
        <f>D287*'16-PlantAdditions'!$E$103</f>
        <v>35299.199999999997</v>
      </c>
      <c r="F287" s="63">
        <f>E287+D287</f>
        <v>505955.2</v>
      </c>
      <c r="G287" s="977">
        <v>0</v>
      </c>
      <c r="H287" s="977">
        <v>0</v>
      </c>
      <c r="I287" s="63">
        <f>(G287-H287)*'16-PlantAdditions'!$E$103</f>
        <v>0</v>
      </c>
      <c r="J287" s="63">
        <f>J286+F287-G287-I287</f>
        <v>5833786.9800000004</v>
      </c>
      <c r="K287" s="63">
        <f>J287-$J$286</f>
        <v>505955.20000000019</v>
      </c>
    </row>
    <row r="288" spans="1:11" s="645" customFormat="1" ht="13">
      <c r="A288" s="109">
        <f t="shared" ref="A288:A311" si="77">A287+1</f>
        <v>213</v>
      </c>
      <c r="B288" s="611" t="s">
        <v>182</v>
      </c>
      <c r="C288" s="609">
        <v>2021</v>
      </c>
      <c r="D288" s="977">
        <v>460619</v>
      </c>
      <c r="E288" s="63">
        <f>D288*'16-PlantAdditions'!$E$103</f>
        <v>34546.424999999996</v>
      </c>
      <c r="F288" s="63">
        <f t="shared" ref="F288:F307" si="78">E288+D288</f>
        <v>495165.42499999999</v>
      </c>
      <c r="G288" s="977">
        <v>0</v>
      </c>
      <c r="H288" s="977">
        <v>0</v>
      </c>
      <c r="I288" s="63">
        <f>(G288-H288)*'16-PlantAdditions'!$E$103</f>
        <v>0</v>
      </c>
      <c r="J288" s="63">
        <f t="shared" ref="J288:J307" si="79">J287+F288-G288-I288</f>
        <v>6328952.4050000003</v>
      </c>
      <c r="K288" s="63">
        <f t="shared" ref="K288:K310" si="80">J288-$J$286</f>
        <v>1001120.625</v>
      </c>
    </row>
    <row r="289" spans="1:13" s="645" customFormat="1" ht="13">
      <c r="A289" s="109">
        <f t="shared" si="77"/>
        <v>214</v>
      </c>
      <c r="B289" s="611" t="s">
        <v>195</v>
      </c>
      <c r="C289" s="609">
        <v>2021</v>
      </c>
      <c r="D289" s="977">
        <v>798388</v>
      </c>
      <c r="E289" s="63">
        <f>D289*'16-PlantAdditions'!$E$103</f>
        <v>59879.1</v>
      </c>
      <c r="F289" s="63">
        <f t="shared" si="78"/>
        <v>858267.1</v>
      </c>
      <c r="G289" s="977">
        <v>0</v>
      </c>
      <c r="H289" s="977">
        <v>0</v>
      </c>
      <c r="I289" s="63">
        <f>(G289-H289)*'16-PlantAdditions'!$E$103</f>
        <v>0</v>
      </c>
      <c r="J289" s="63">
        <f t="shared" si="79"/>
        <v>7187219.5049999999</v>
      </c>
      <c r="K289" s="63">
        <f t="shared" si="80"/>
        <v>1859387.7249999996</v>
      </c>
    </row>
    <row r="290" spans="1:13" s="645" customFormat="1" ht="13">
      <c r="A290" s="109">
        <f t="shared" si="77"/>
        <v>215</v>
      </c>
      <c r="B290" s="608" t="s">
        <v>183</v>
      </c>
      <c r="C290" s="609">
        <v>2021</v>
      </c>
      <c r="D290" s="977">
        <v>2217008</v>
      </c>
      <c r="E290" s="63">
        <f>D290*'16-PlantAdditions'!$E$103</f>
        <v>166275.6</v>
      </c>
      <c r="F290" s="63">
        <f t="shared" si="78"/>
        <v>2383283.6</v>
      </c>
      <c r="G290" s="977">
        <v>0</v>
      </c>
      <c r="H290" s="977">
        <v>0</v>
      </c>
      <c r="I290" s="63">
        <f>(G290-H290)*'16-PlantAdditions'!$E$103</f>
        <v>0</v>
      </c>
      <c r="J290" s="63">
        <f t="shared" si="79"/>
        <v>9570503.1050000004</v>
      </c>
      <c r="K290" s="63">
        <f t="shared" si="80"/>
        <v>4242671.3250000002</v>
      </c>
    </row>
    <row r="291" spans="1:13" s="645" customFormat="1" ht="13">
      <c r="A291" s="109">
        <f t="shared" si="77"/>
        <v>216</v>
      </c>
      <c r="B291" s="611" t="s">
        <v>184</v>
      </c>
      <c r="C291" s="609">
        <v>2021</v>
      </c>
      <c r="D291" s="977">
        <v>2034000</v>
      </c>
      <c r="E291" s="63">
        <f>D291*'16-PlantAdditions'!$E$103</f>
        <v>152550</v>
      </c>
      <c r="F291" s="63">
        <f t="shared" si="78"/>
        <v>2186550</v>
      </c>
      <c r="G291" s="977">
        <v>0</v>
      </c>
      <c r="H291" s="977">
        <v>0</v>
      </c>
      <c r="I291" s="63">
        <f>(G291-H291)*'16-PlantAdditions'!$E$103</f>
        <v>0</v>
      </c>
      <c r="J291" s="63">
        <f t="shared" si="79"/>
        <v>11757053.105</v>
      </c>
      <c r="K291" s="63">
        <f t="shared" si="80"/>
        <v>6429221.3250000002</v>
      </c>
      <c r="L291" s="642"/>
      <c r="M291" s="642"/>
    </row>
    <row r="292" spans="1:13" s="645" customFormat="1" ht="13">
      <c r="A292" s="109">
        <f t="shared" si="77"/>
        <v>217</v>
      </c>
      <c r="B292" s="611" t="s">
        <v>1458</v>
      </c>
      <c r="C292" s="609">
        <v>2021</v>
      </c>
      <c r="D292" s="977">
        <v>1198500</v>
      </c>
      <c r="E292" s="63">
        <f>D292*'16-PlantAdditions'!$E$103</f>
        <v>89887.5</v>
      </c>
      <c r="F292" s="63">
        <f t="shared" si="78"/>
        <v>1288387.5</v>
      </c>
      <c r="G292" s="977">
        <v>0</v>
      </c>
      <c r="H292" s="977">
        <v>0</v>
      </c>
      <c r="I292" s="63">
        <f>(G292-H292)*'16-PlantAdditions'!$E$103</f>
        <v>0</v>
      </c>
      <c r="J292" s="63">
        <f t="shared" si="79"/>
        <v>13045440.605</v>
      </c>
      <c r="K292" s="63">
        <f t="shared" si="80"/>
        <v>7717608.8250000002</v>
      </c>
      <c r="L292" s="640"/>
      <c r="M292" s="640"/>
    </row>
    <row r="293" spans="1:13" s="645" customFormat="1" ht="13">
      <c r="A293" s="109">
        <f t="shared" si="77"/>
        <v>218</v>
      </c>
      <c r="B293" s="608" t="s">
        <v>186</v>
      </c>
      <c r="C293" s="609">
        <v>2021</v>
      </c>
      <c r="D293" s="977">
        <v>485000</v>
      </c>
      <c r="E293" s="63">
        <f>D293*'16-PlantAdditions'!$E$103</f>
        <v>36375</v>
      </c>
      <c r="F293" s="63">
        <f t="shared" si="78"/>
        <v>521375</v>
      </c>
      <c r="G293" s="977">
        <v>0</v>
      </c>
      <c r="H293" s="977">
        <v>0</v>
      </c>
      <c r="I293" s="63">
        <f>(G293-H293)*'16-PlantAdditions'!$E$103</f>
        <v>0</v>
      </c>
      <c r="J293" s="63">
        <f t="shared" si="79"/>
        <v>13566815.605</v>
      </c>
      <c r="K293" s="63">
        <f t="shared" si="80"/>
        <v>8238983.8250000002</v>
      </c>
    </row>
    <row r="294" spans="1:13" s="645" customFormat="1" ht="13">
      <c r="A294" s="109">
        <f t="shared" si="77"/>
        <v>219</v>
      </c>
      <c r="B294" s="611" t="s">
        <v>187</v>
      </c>
      <c r="C294" s="609">
        <v>2021</v>
      </c>
      <c r="D294" s="977">
        <v>486500</v>
      </c>
      <c r="E294" s="63">
        <f>D294*'16-PlantAdditions'!$E$103</f>
        <v>36487.5</v>
      </c>
      <c r="F294" s="63">
        <f t="shared" si="78"/>
        <v>522987.5</v>
      </c>
      <c r="G294" s="977">
        <v>0</v>
      </c>
      <c r="H294" s="977">
        <v>0</v>
      </c>
      <c r="I294" s="63">
        <f>(G294-H294)*'16-PlantAdditions'!$E$103</f>
        <v>0</v>
      </c>
      <c r="J294" s="63">
        <f t="shared" si="79"/>
        <v>14089803.105</v>
      </c>
      <c r="K294" s="63">
        <f t="shared" si="80"/>
        <v>8761971.3249999993</v>
      </c>
    </row>
    <row r="295" spans="1:13" s="645" customFormat="1" ht="13">
      <c r="A295" s="109">
        <f t="shared" si="77"/>
        <v>220</v>
      </c>
      <c r="B295" s="611" t="s">
        <v>188</v>
      </c>
      <c r="C295" s="609">
        <v>2021</v>
      </c>
      <c r="D295" s="977">
        <v>463200</v>
      </c>
      <c r="E295" s="63">
        <f>D295*'16-PlantAdditions'!$E$103</f>
        <v>34740</v>
      </c>
      <c r="F295" s="63">
        <f t="shared" si="78"/>
        <v>497940</v>
      </c>
      <c r="G295" s="977">
        <v>0</v>
      </c>
      <c r="H295" s="977">
        <v>0</v>
      </c>
      <c r="I295" s="63">
        <f>(G295-H295)*'16-PlantAdditions'!$E$103</f>
        <v>0</v>
      </c>
      <c r="J295" s="63">
        <f t="shared" si="79"/>
        <v>14587743.105</v>
      </c>
      <c r="K295" s="63">
        <f t="shared" si="80"/>
        <v>9259911.3249999993</v>
      </c>
    </row>
    <row r="296" spans="1:13" s="645" customFormat="1" ht="13">
      <c r="A296" s="109">
        <f t="shared" si="77"/>
        <v>221</v>
      </c>
      <c r="B296" s="608" t="s">
        <v>191</v>
      </c>
      <c r="C296" s="609">
        <v>2021</v>
      </c>
      <c r="D296" s="977">
        <v>418350</v>
      </c>
      <c r="E296" s="63">
        <f>D296*'16-PlantAdditions'!$E$103</f>
        <v>31376.25</v>
      </c>
      <c r="F296" s="63">
        <f t="shared" si="78"/>
        <v>449726.25</v>
      </c>
      <c r="G296" s="977">
        <v>0</v>
      </c>
      <c r="H296" s="977">
        <v>0</v>
      </c>
      <c r="I296" s="63">
        <f>(G296-H296)*'16-PlantAdditions'!$E$103</f>
        <v>0</v>
      </c>
      <c r="J296" s="63">
        <f t="shared" si="79"/>
        <v>15037469.355</v>
      </c>
      <c r="K296" s="63">
        <f t="shared" si="80"/>
        <v>9709637.5749999993</v>
      </c>
    </row>
    <row r="297" spans="1:13" s="645" customFormat="1" ht="13">
      <c r="A297" s="109">
        <f t="shared" si="77"/>
        <v>222</v>
      </c>
      <c r="B297" s="608" t="s">
        <v>190</v>
      </c>
      <c r="C297" s="609">
        <v>2021</v>
      </c>
      <c r="D297" s="977">
        <v>433000</v>
      </c>
      <c r="E297" s="63">
        <f>D297*'16-PlantAdditions'!$E$103</f>
        <v>32475</v>
      </c>
      <c r="F297" s="63">
        <f t="shared" si="78"/>
        <v>465475</v>
      </c>
      <c r="G297" s="977">
        <v>0</v>
      </c>
      <c r="H297" s="977">
        <v>0</v>
      </c>
      <c r="I297" s="63">
        <f>(G297-H297)*'16-PlantAdditions'!$E$103</f>
        <v>0</v>
      </c>
      <c r="J297" s="63">
        <f t="shared" si="79"/>
        <v>15502944.355</v>
      </c>
      <c r="K297" s="63">
        <f t="shared" si="80"/>
        <v>10175112.574999999</v>
      </c>
    </row>
    <row r="298" spans="1:13" s="645" customFormat="1" ht="13">
      <c r="A298" s="109">
        <f t="shared" si="77"/>
        <v>223</v>
      </c>
      <c r="B298" s="608" t="s">
        <v>180</v>
      </c>
      <c r="C298" s="609">
        <v>2021</v>
      </c>
      <c r="D298" s="977">
        <v>534779</v>
      </c>
      <c r="E298" s="63">
        <f>D298*'16-PlantAdditions'!$E$103</f>
        <v>40108.424999999996</v>
      </c>
      <c r="F298" s="63">
        <f t="shared" si="78"/>
        <v>574887.42500000005</v>
      </c>
      <c r="G298" s="977">
        <v>15327831.780000003</v>
      </c>
      <c r="H298" s="977">
        <v>5327831.78</v>
      </c>
      <c r="I298" s="63">
        <f>(G298-H298)*'16-PlantAdditions'!$E$103</f>
        <v>750000.00000000023</v>
      </c>
      <c r="J298" s="63">
        <f t="shared" si="79"/>
        <v>-2.0954757928848267E-9</v>
      </c>
      <c r="K298" s="63">
        <f t="shared" si="80"/>
        <v>-5327831.7800000021</v>
      </c>
    </row>
    <row r="299" spans="1:13" s="645" customFormat="1" ht="13">
      <c r="A299" s="109">
        <f t="shared" si="77"/>
        <v>224</v>
      </c>
      <c r="B299" s="608" t="s">
        <v>181</v>
      </c>
      <c r="C299" s="609">
        <v>2022</v>
      </c>
      <c r="D299" s="977">
        <v>50000</v>
      </c>
      <c r="E299" s="63">
        <f>D299*'16-PlantAdditions'!$E$103</f>
        <v>3750</v>
      </c>
      <c r="F299" s="63">
        <f t="shared" si="78"/>
        <v>53750</v>
      </c>
      <c r="G299" s="977">
        <v>50000</v>
      </c>
      <c r="H299" s="977">
        <v>0</v>
      </c>
      <c r="I299" s="63">
        <f>(G299-H299)*'16-PlantAdditions'!$E$103</f>
        <v>3750</v>
      </c>
      <c r="J299" s="63">
        <f t="shared" si="79"/>
        <v>-2.0954757928848267E-9</v>
      </c>
      <c r="K299" s="63">
        <f t="shared" si="80"/>
        <v>-5327831.7800000021</v>
      </c>
    </row>
    <row r="300" spans="1:13" s="645" customFormat="1" ht="13">
      <c r="A300" s="109">
        <f t="shared" si="77"/>
        <v>225</v>
      </c>
      <c r="B300" s="611" t="s">
        <v>182</v>
      </c>
      <c r="C300" s="609">
        <v>2022</v>
      </c>
      <c r="D300" s="977">
        <v>30000</v>
      </c>
      <c r="E300" s="63">
        <f>D300*'16-PlantAdditions'!$E$103</f>
        <v>2250</v>
      </c>
      <c r="F300" s="63">
        <f t="shared" si="78"/>
        <v>32250</v>
      </c>
      <c r="G300" s="977">
        <v>30000</v>
      </c>
      <c r="H300" s="977">
        <v>0</v>
      </c>
      <c r="I300" s="63">
        <f>(G300-H300)*'16-PlantAdditions'!$E$103</f>
        <v>2250</v>
      </c>
      <c r="J300" s="63">
        <f t="shared" si="79"/>
        <v>-2.0954757928848267E-9</v>
      </c>
      <c r="K300" s="63">
        <f t="shared" si="80"/>
        <v>-5327831.7800000021</v>
      </c>
    </row>
    <row r="301" spans="1:13" s="645" customFormat="1" ht="13">
      <c r="A301" s="109">
        <f t="shared" si="77"/>
        <v>226</v>
      </c>
      <c r="B301" s="611" t="s">
        <v>195</v>
      </c>
      <c r="C301" s="609">
        <v>2022</v>
      </c>
      <c r="D301" s="977">
        <v>0</v>
      </c>
      <c r="E301" s="63">
        <f>D301*'16-PlantAdditions'!$E$103</f>
        <v>0</v>
      </c>
      <c r="F301" s="63">
        <f t="shared" si="78"/>
        <v>0</v>
      </c>
      <c r="G301" s="977">
        <v>0</v>
      </c>
      <c r="H301" s="977">
        <v>0</v>
      </c>
      <c r="I301" s="63">
        <f>(G301-H301)*'16-PlantAdditions'!$E$103</f>
        <v>0</v>
      </c>
      <c r="J301" s="63">
        <f t="shared" si="79"/>
        <v>-2.0954757928848267E-9</v>
      </c>
      <c r="K301" s="63">
        <f t="shared" si="80"/>
        <v>-5327831.7800000021</v>
      </c>
    </row>
    <row r="302" spans="1:13" s="645" customFormat="1" ht="13">
      <c r="A302" s="109">
        <f t="shared" si="77"/>
        <v>227</v>
      </c>
      <c r="B302" s="608" t="s">
        <v>183</v>
      </c>
      <c r="C302" s="609">
        <v>2022</v>
      </c>
      <c r="D302" s="977">
        <v>0</v>
      </c>
      <c r="E302" s="63">
        <f>D302*'16-PlantAdditions'!$E$103</f>
        <v>0</v>
      </c>
      <c r="F302" s="63">
        <f t="shared" si="78"/>
        <v>0</v>
      </c>
      <c r="G302" s="977">
        <v>0</v>
      </c>
      <c r="H302" s="977">
        <v>0</v>
      </c>
      <c r="I302" s="63">
        <f>(G302-H302)*'16-PlantAdditions'!$E$103</f>
        <v>0</v>
      </c>
      <c r="J302" s="63">
        <f t="shared" si="79"/>
        <v>-2.0954757928848267E-9</v>
      </c>
      <c r="K302" s="63">
        <f t="shared" si="80"/>
        <v>-5327831.7800000021</v>
      </c>
    </row>
    <row r="303" spans="1:13" s="645" customFormat="1" ht="13">
      <c r="A303" s="109">
        <f t="shared" si="77"/>
        <v>228</v>
      </c>
      <c r="B303" s="611" t="s">
        <v>184</v>
      </c>
      <c r="C303" s="609">
        <v>2022</v>
      </c>
      <c r="D303" s="977">
        <v>0</v>
      </c>
      <c r="E303" s="63">
        <f>D303*'16-PlantAdditions'!$E$103</f>
        <v>0</v>
      </c>
      <c r="F303" s="63">
        <f t="shared" si="78"/>
        <v>0</v>
      </c>
      <c r="G303" s="977">
        <v>0</v>
      </c>
      <c r="H303" s="977">
        <v>0</v>
      </c>
      <c r="I303" s="63">
        <f>(G303-H303)*'16-PlantAdditions'!$E$103</f>
        <v>0</v>
      </c>
      <c r="J303" s="63">
        <f t="shared" si="79"/>
        <v>-2.0954757928848267E-9</v>
      </c>
      <c r="K303" s="63">
        <f t="shared" si="80"/>
        <v>-5327831.7800000021</v>
      </c>
    </row>
    <row r="304" spans="1:13" s="645" customFormat="1" ht="13">
      <c r="A304" s="109">
        <f t="shared" si="77"/>
        <v>229</v>
      </c>
      <c r="B304" s="611" t="s">
        <v>1458</v>
      </c>
      <c r="C304" s="609">
        <v>2022</v>
      </c>
      <c r="D304" s="977">
        <v>0</v>
      </c>
      <c r="E304" s="63">
        <f>D304*'16-PlantAdditions'!$E$103</f>
        <v>0</v>
      </c>
      <c r="F304" s="63">
        <f t="shared" si="78"/>
        <v>0</v>
      </c>
      <c r="G304" s="977">
        <v>0</v>
      </c>
      <c r="H304" s="977">
        <v>0</v>
      </c>
      <c r="I304" s="63">
        <f>(G304-H304)*'16-PlantAdditions'!$E$103</f>
        <v>0</v>
      </c>
      <c r="J304" s="63">
        <f t="shared" si="79"/>
        <v>-2.0954757928848267E-9</v>
      </c>
      <c r="K304" s="63">
        <f t="shared" si="80"/>
        <v>-5327831.7800000021</v>
      </c>
    </row>
    <row r="305" spans="1:12" s="645" customFormat="1" ht="13">
      <c r="A305" s="109">
        <f t="shared" si="77"/>
        <v>230</v>
      </c>
      <c r="B305" s="608" t="s">
        <v>186</v>
      </c>
      <c r="C305" s="609">
        <v>2022</v>
      </c>
      <c r="D305" s="977">
        <v>0</v>
      </c>
      <c r="E305" s="63">
        <f>D305*'16-PlantAdditions'!$E$103</f>
        <v>0</v>
      </c>
      <c r="F305" s="63">
        <f t="shared" si="78"/>
        <v>0</v>
      </c>
      <c r="G305" s="977">
        <v>0</v>
      </c>
      <c r="H305" s="977">
        <v>0</v>
      </c>
      <c r="I305" s="63">
        <f>(G305-H305)*'16-PlantAdditions'!$E$103</f>
        <v>0</v>
      </c>
      <c r="J305" s="63">
        <f t="shared" si="79"/>
        <v>-2.0954757928848267E-9</v>
      </c>
      <c r="K305" s="63">
        <f t="shared" si="80"/>
        <v>-5327831.7800000021</v>
      </c>
    </row>
    <row r="306" spans="1:12" s="645" customFormat="1" ht="13">
      <c r="A306" s="109">
        <f t="shared" si="77"/>
        <v>231</v>
      </c>
      <c r="B306" s="611" t="s">
        <v>187</v>
      </c>
      <c r="C306" s="609">
        <v>2022</v>
      </c>
      <c r="D306" s="977">
        <v>0</v>
      </c>
      <c r="E306" s="63">
        <f>D306*'16-PlantAdditions'!$E$103</f>
        <v>0</v>
      </c>
      <c r="F306" s="63">
        <f t="shared" si="78"/>
        <v>0</v>
      </c>
      <c r="G306" s="977">
        <v>0</v>
      </c>
      <c r="H306" s="977">
        <v>0</v>
      </c>
      <c r="I306" s="63">
        <f>(G306-H306)*'16-PlantAdditions'!$E$103</f>
        <v>0</v>
      </c>
      <c r="J306" s="63">
        <f t="shared" si="79"/>
        <v>-2.0954757928848267E-9</v>
      </c>
      <c r="K306" s="63">
        <f t="shared" si="80"/>
        <v>-5327831.7800000021</v>
      </c>
    </row>
    <row r="307" spans="1:12" s="645" customFormat="1" ht="13">
      <c r="A307" s="109">
        <f t="shared" si="77"/>
        <v>232</v>
      </c>
      <c r="B307" s="611" t="s">
        <v>188</v>
      </c>
      <c r="C307" s="609">
        <v>2022</v>
      </c>
      <c r="D307" s="977">
        <v>0</v>
      </c>
      <c r="E307" s="63">
        <f>D307*'16-PlantAdditions'!$E$103</f>
        <v>0</v>
      </c>
      <c r="F307" s="63">
        <f t="shared" si="78"/>
        <v>0</v>
      </c>
      <c r="G307" s="977">
        <v>0</v>
      </c>
      <c r="H307" s="977">
        <v>0</v>
      </c>
      <c r="I307" s="63">
        <f>(G307-H307)*'16-PlantAdditions'!$E$103</f>
        <v>0</v>
      </c>
      <c r="J307" s="63">
        <f t="shared" si="79"/>
        <v>-2.0954757928848267E-9</v>
      </c>
      <c r="K307" s="63">
        <f t="shared" si="80"/>
        <v>-5327831.7800000021</v>
      </c>
    </row>
    <row r="308" spans="1:12" s="645" customFormat="1" ht="13">
      <c r="A308" s="109">
        <f t="shared" si="77"/>
        <v>233</v>
      </c>
      <c r="B308" s="611" t="s">
        <v>191</v>
      </c>
      <c r="C308" s="609">
        <v>2022</v>
      </c>
      <c r="D308" s="977">
        <v>0</v>
      </c>
      <c r="E308" s="63">
        <f>D308*'16-PlantAdditions'!$E$103</f>
        <v>0</v>
      </c>
      <c r="F308" s="63">
        <f t="shared" ref="F308:F310" si="81">E308+D308</f>
        <v>0</v>
      </c>
      <c r="G308" s="977">
        <v>0</v>
      </c>
      <c r="H308" s="977">
        <v>0</v>
      </c>
      <c r="I308" s="63">
        <f>(G308-H308)*'16-PlantAdditions'!$E$103</f>
        <v>0</v>
      </c>
      <c r="J308" s="63">
        <f t="shared" ref="J308:J310" si="82">J307+F308-G308-I308</f>
        <v>-2.0954757928848267E-9</v>
      </c>
      <c r="K308" s="63">
        <f t="shared" si="80"/>
        <v>-5327831.7800000021</v>
      </c>
    </row>
    <row r="309" spans="1:12" s="645" customFormat="1" ht="13">
      <c r="A309" s="109">
        <f t="shared" si="77"/>
        <v>234</v>
      </c>
      <c r="B309" s="611" t="s">
        <v>190</v>
      </c>
      <c r="C309" s="609">
        <v>2022</v>
      </c>
      <c r="D309" s="977">
        <v>0</v>
      </c>
      <c r="E309" s="63">
        <f>D309*'16-PlantAdditions'!$E$103</f>
        <v>0</v>
      </c>
      <c r="F309" s="63">
        <f t="shared" si="81"/>
        <v>0</v>
      </c>
      <c r="G309" s="977">
        <v>0</v>
      </c>
      <c r="H309" s="977">
        <v>0</v>
      </c>
      <c r="I309" s="63">
        <f>(G309-H309)*'16-PlantAdditions'!$E$103</f>
        <v>0</v>
      </c>
      <c r="J309" s="63">
        <f t="shared" si="82"/>
        <v>-2.0954757928848267E-9</v>
      </c>
      <c r="K309" s="63">
        <f t="shared" si="80"/>
        <v>-5327831.7800000021</v>
      </c>
    </row>
    <row r="310" spans="1:12" s="645" customFormat="1" ht="13">
      <c r="A310" s="109">
        <f t="shared" si="77"/>
        <v>235</v>
      </c>
      <c r="B310" s="611" t="s">
        <v>180</v>
      </c>
      <c r="C310" s="609">
        <v>2022</v>
      </c>
      <c r="D310" s="977">
        <v>0</v>
      </c>
      <c r="E310" s="63">
        <f>D310*'16-PlantAdditions'!$E$103</f>
        <v>0</v>
      </c>
      <c r="F310" s="63">
        <f t="shared" si="81"/>
        <v>0</v>
      </c>
      <c r="G310" s="977">
        <v>0</v>
      </c>
      <c r="H310" s="977">
        <v>0</v>
      </c>
      <c r="I310" s="63">
        <f>(G310-H310)*'16-PlantAdditions'!$E$103</f>
        <v>0</v>
      </c>
      <c r="J310" s="63">
        <f t="shared" si="82"/>
        <v>-2.0954757928848267E-9</v>
      </c>
      <c r="K310" s="110">
        <f t="shared" si="80"/>
        <v>-5327831.7800000021</v>
      </c>
    </row>
    <row r="311" spans="1:12" s="645" customFormat="1" ht="13">
      <c r="A311" s="109">
        <f t="shared" si="77"/>
        <v>236</v>
      </c>
      <c r="B311"/>
      <c r="C311" s="644" t="s">
        <v>1603</v>
      </c>
      <c r="D311"/>
      <c r="E311"/>
      <c r="F311"/>
      <c r="G311"/>
      <c r="H311"/>
      <c r="I311"/>
      <c r="J311"/>
      <c r="K311" s="73">
        <f>AVERAGE(K298:K310)</f>
        <v>-5327831.7800000021</v>
      </c>
    </row>
    <row r="312" spans="1:12" s="645" customFormat="1" ht="13">
      <c r="A312" s="109"/>
      <c r="B312"/>
      <c r="C312" s="644"/>
      <c r="D312"/>
      <c r="E312"/>
      <c r="F312"/>
      <c r="G312"/>
      <c r="H312"/>
      <c r="I312"/>
      <c r="J312"/>
      <c r="K312" s="73"/>
    </row>
    <row r="313" spans="1:12" s="645" customFormat="1" ht="13">
      <c r="B313" s="646" t="s">
        <v>1937</v>
      </c>
      <c r="D313" s="1514" t="s">
        <v>2418</v>
      </c>
      <c r="E313" s="1514"/>
    </row>
    <row r="314" spans="1:12" s="645" customFormat="1" ht="13">
      <c r="A314" s="640"/>
      <c r="B314" s="640"/>
      <c r="C314" s="640"/>
      <c r="D314" s="640" t="s">
        <v>358</v>
      </c>
      <c r="E314" s="640" t="s">
        <v>342</v>
      </c>
      <c r="F314" s="640" t="s">
        <v>343</v>
      </c>
      <c r="G314" s="640" t="s">
        <v>344</v>
      </c>
      <c r="H314" s="640" t="s">
        <v>345</v>
      </c>
      <c r="I314" s="640" t="s">
        <v>346</v>
      </c>
      <c r="J314" s="640" t="s">
        <v>347</v>
      </c>
      <c r="K314" s="640" t="s">
        <v>534</v>
      </c>
    </row>
    <row r="315" spans="1:12" s="645" customFormat="1" ht="38">
      <c r="D315" s="647"/>
      <c r="E315" s="648" t="s">
        <v>2061</v>
      </c>
      <c r="F315" s="649" t="s">
        <v>1927</v>
      </c>
      <c r="G315" s="525"/>
      <c r="H315" s="647"/>
      <c r="I315" s="648" t="s">
        <v>2062</v>
      </c>
      <c r="J315" s="648" t="s">
        <v>1928</v>
      </c>
      <c r="K315" s="648" t="s">
        <v>1929</v>
      </c>
    </row>
    <row r="316" spans="1:12" s="645" customFormat="1" ht="13">
      <c r="D316" s="647"/>
      <c r="E316" s="647"/>
      <c r="F316" s="647"/>
      <c r="G316" s="549" t="str">
        <f>G51</f>
        <v>Unloaded</v>
      </c>
      <c r="H316" s="647"/>
      <c r="I316" s="647"/>
    </row>
    <row r="317" spans="1:12" s="645" customFormat="1" ht="13">
      <c r="A317" s="642"/>
      <c r="B317" s="642"/>
      <c r="C317" s="642"/>
      <c r="D317" s="642" t="str">
        <f>D$52</f>
        <v>Forecast</v>
      </c>
      <c r="E317" s="642" t="str">
        <f t="shared" ref="E317:J317" si="83">E$52</f>
        <v>Corporate</v>
      </c>
      <c r="F317" s="642" t="str">
        <f t="shared" si="83"/>
        <v xml:space="preserve">Total </v>
      </c>
      <c r="G317" s="549" t="str">
        <f>G52</f>
        <v>Total</v>
      </c>
      <c r="H317" s="642" t="str">
        <f t="shared" si="83"/>
        <v>Prior Period</v>
      </c>
      <c r="I317" s="642" t="str">
        <f t="shared" si="83"/>
        <v>Over Heads</v>
      </c>
      <c r="J317" s="642" t="str">
        <f t="shared" si="83"/>
        <v>Forecast</v>
      </c>
      <c r="K317" s="549" t="str">
        <f>K$52</f>
        <v>Forecast Period</v>
      </c>
    </row>
    <row r="318" spans="1:12" s="645" customFormat="1" ht="13">
      <c r="A318" s="833" t="s">
        <v>329</v>
      </c>
      <c r="B318" s="607" t="s">
        <v>192</v>
      </c>
      <c r="C318" s="607" t="s">
        <v>193</v>
      </c>
      <c r="D318" s="640" t="str">
        <f>D$53</f>
        <v>Expenditures</v>
      </c>
      <c r="E318" s="640" t="str">
        <f t="shared" ref="E318:J318" si="84">E$53</f>
        <v>Overheads</v>
      </c>
      <c r="F318" s="640" t="str">
        <f t="shared" si="84"/>
        <v>CWIP Exp</v>
      </c>
      <c r="G318" s="3" t="str">
        <f>G53</f>
        <v>Plant Adds</v>
      </c>
      <c r="H318" s="640" t="str">
        <f t="shared" si="84"/>
        <v>CWIP Closed</v>
      </c>
      <c r="I318" s="640" t="str">
        <f t="shared" si="84"/>
        <v>Closed to PIS</v>
      </c>
      <c r="J318" s="640" t="str">
        <f t="shared" si="84"/>
        <v>Period CWIP</v>
      </c>
      <c r="K318" s="640" t="str">
        <f>K$53</f>
        <v>Incremental CWIP</v>
      </c>
    </row>
    <row r="319" spans="1:12" s="645" customFormat="1" ht="13">
      <c r="A319" s="109">
        <f>A311+1</f>
        <v>237</v>
      </c>
      <c r="B319" s="608" t="s">
        <v>180</v>
      </c>
      <c r="C319" s="609">
        <v>2020</v>
      </c>
      <c r="D319" s="649" t="s">
        <v>76</v>
      </c>
      <c r="E319" s="649" t="s">
        <v>76</v>
      </c>
      <c r="F319" s="649" t="s">
        <v>76</v>
      </c>
      <c r="G319" s="649" t="s">
        <v>76</v>
      </c>
      <c r="H319" s="649" t="s">
        <v>76</v>
      </c>
      <c r="I319" s="649" t="s">
        <v>76</v>
      </c>
      <c r="J319" s="63">
        <f>F45</f>
        <v>130044184.2</v>
      </c>
      <c r="K319" s="649" t="s">
        <v>76</v>
      </c>
    </row>
    <row r="320" spans="1:12" s="645" customFormat="1" ht="13">
      <c r="A320" s="109">
        <f>A319+1</f>
        <v>238</v>
      </c>
      <c r="B320" s="608" t="s">
        <v>181</v>
      </c>
      <c r="C320" s="609">
        <v>2021</v>
      </c>
      <c r="D320" s="977">
        <v>4550639.7917999998</v>
      </c>
      <c r="E320" s="63">
        <f>D320*'16-PlantAdditions'!$E$103</f>
        <v>341297.98438499996</v>
      </c>
      <c r="F320" s="63">
        <f>E320+D320</f>
        <v>4891937.7761849994</v>
      </c>
      <c r="G320" s="977">
        <v>5140411.111800001</v>
      </c>
      <c r="H320" s="977">
        <v>5205291.32</v>
      </c>
      <c r="I320" s="63">
        <f>(G320-H320)*'16-PlantAdditions'!$E$103</f>
        <v>-4866.0156149999466</v>
      </c>
      <c r="J320" s="63">
        <f>J319+F320-G320-I320</f>
        <v>129800576.88</v>
      </c>
      <c r="K320" s="63">
        <f>J320-$J$319</f>
        <v>-243607.32000000775</v>
      </c>
      <c r="L320" s="642"/>
    </row>
    <row r="321" spans="1:12" s="645" customFormat="1" ht="13">
      <c r="A321" s="109">
        <f t="shared" ref="A321:A344" si="85">A320+1</f>
        <v>239</v>
      </c>
      <c r="B321" s="611" t="s">
        <v>182</v>
      </c>
      <c r="C321" s="609">
        <v>2021</v>
      </c>
      <c r="D321" s="977">
        <v>5391275.8383999988</v>
      </c>
      <c r="E321" s="63">
        <f>D321*'16-PlantAdditions'!$E$103</f>
        <v>404345.68787999992</v>
      </c>
      <c r="F321" s="63">
        <f t="shared" ref="F321:F340" si="86">E321+D321</f>
        <v>5795621.5262799989</v>
      </c>
      <c r="G321" s="977">
        <v>-531880.16160000011</v>
      </c>
      <c r="H321" s="977">
        <v>0</v>
      </c>
      <c r="I321" s="63">
        <f>(G321-H321)*'16-PlantAdditions'!$E$103</f>
        <v>-39891.012120000007</v>
      </c>
      <c r="J321" s="63">
        <f t="shared" ref="J321:J340" si="87">J320+F321-G321-I321</f>
        <v>136167969.57999998</v>
      </c>
      <c r="K321" s="63">
        <f t="shared" ref="K321:K343" si="88">J321-$J$319</f>
        <v>6123785.3799999803</v>
      </c>
      <c r="L321" s="642"/>
    </row>
    <row r="322" spans="1:12" s="645" customFormat="1" ht="13">
      <c r="A322" s="109">
        <f t="shared" si="85"/>
        <v>240</v>
      </c>
      <c r="B322" s="611" t="s">
        <v>195</v>
      </c>
      <c r="C322" s="609">
        <v>2021</v>
      </c>
      <c r="D322" s="977">
        <v>7670099.3893999998</v>
      </c>
      <c r="E322" s="63">
        <f>D322*'16-PlantAdditions'!$E$103</f>
        <v>575257.45420499996</v>
      </c>
      <c r="F322" s="63">
        <f t="shared" si="86"/>
        <v>8245356.8436049996</v>
      </c>
      <c r="G322" s="977">
        <v>96661.389399999985</v>
      </c>
      <c r="H322" s="977">
        <v>0</v>
      </c>
      <c r="I322" s="63">
        <f>(G322-H322)*'16-PlantAdditions'!$E$103</f>
        <v>7249.6042049999987</v>
      </c>
      <c r="J322" s="63">
        <f t="shared" si="87"/>
        <v>144309415.42999998</v>
      </c>
      <c r="K322" s="63">
        <f t="shared" si="88"/>
        <v>14265231.229999974</v>
      </c>
      <c r="L322" s="642"/>
    </row>
    <row r="323" spans="1:12" s="645" customFormat="1" ht="13">
      <c r="A323" s="109">
        <f t="shared" si="85"/>
        <v>241</v>
      </c>
      <c r="B323" s="608" t="s">
        <v>183</v>
      </c>
      <c r="C323" s="609">
        <v>2021</v>
      </c>
      <c r="D323" s="977">
        <v>6330146</v>
      </c>
      <c r="E323" s="63">
        <f>D323*'16-PlantAdditions'!$E$103</f>
        <v>474760.94999999995</v>
      </c>
      <c r="F323" s="63">
        <f t="shared" si="86"/>
        <v>6804906.9500000002</v>
      </c>
      <c r="G323" s="977">
        <v>268075</v>
      </c>
      <c r="H323" s="977">
        <v>0</v>
      </c>
      <c r="I323" s="63">
        <f>(G323-H323)*'16-PlantAdditions'!$E$103</f>
        <v>20105.625</v>
      </c>
      <c r="J323" s="63">
        <f t="shared" si="87"/>
        <v>150826141.75499997</v>
      </c>
      <c r="K323" s="63">
        <f t="shared" si="88"/>
        <v>20781957.554999962</v>
      </c>
      <c r="L323" s="640"/>
    </row>
    <row r="324" spans="1:12" s="645" customFormat="1" ht="13">
      <c r="A324" s="109">
        <f t="shared" si="85"/>
        <v>242</v>
      </c>
      <c r="B324" s="611" t="s">
        <v>184</v>
      </c>
      <c r="C324" s="609">
        <v>2021</v>
      </c>
      <c r="D324" s="977">
        <v>5537347.9999999991</v>
      </c>
      <c r="E324" s="63">
        <f>D324*'16-PlantAdditions'!$E$103</f>
        <v>415301.09999999992</v>
      </c>
      <c r="F324" s="63">
        <f t="shared" si="86"/>
        <v>5952649.0999999987</v>
      </c>
      <c r="G324" s="977">
        <v>353913.52</v>
      </c>
      <c r="H324" s="977">
        <v>191141.52</v>
      </c>
      <c r="I324" s="63">
        <f>(G324-H324)*'16-PlantAdditions'!$E$103</f>
        <v>12207.900000000001</v>
      </c>
      <c r="J324" s="63">
        <f t="shared" si="87"/>
        <v>156412669.43499994</v>
      </c>
      <c r="K324" s="63">
        <f t="shared" si="88"/>
        <v>26368485.23499994</v>
      </c>
    </row>
    <row r="325" spans="1:12" s="645" customFormat="1" ht="13">
      <c r="A325" s="109">
        <f t="shared" si="85"/>
        <v>243</v>
      </c>
      <c r="B325" s="611" t="s">
        <v>1458</v>
      </c>
      <c r="C325" s="609">
        <v>2021</v>
      </c>
      <c r="D325" s="977">
        <v>6568650</v>
      </c>
      <c r="E325" s="63">
        <f>D325*'16-PlantAdditions'!$E$103</f>
        <v>492648.75</v>
      </c>
      <c r="F325" s="63">
        <f t="shared" si="86"/>
        <v>7061298.75</v>
      </c>
      <c r="G325" s="977">
        <v>1025851.9999999999</v>
      </c>
      <c r="H325" s="977">
        <v>0</v>
      </c>
      <c r="I325" s="63">
        <f>(G325-H325)*'16-PlantAdditions'!$E$103</f>
        <v>76938.899999999994</v>
      </c>
      <c r="J325" s="63">
        <f t="shared" si="87"/>
        <v>162371177.28499994</v>
      </c>
      <c r="K325" s="63">
        <f t="shared" si="88"/>
        <v>32326993.084999934</v>
      </c>
    </row>
    <row r="326" spans="1:12" s="645" customFormat="1" ht="13">
      <c r="A326" s="109">
        <f t="shared" si="85"/>
        <v>244</v>
      </c>
      <c r="B326" s="608" t="s">
        <v>186</v>
      </c>
      <c r="C326" s="609">
        <v>2021</v>
      </c>
      <c r="D326" s="977">
        <v>6151735.0000000009</v>
      </c>
      <c r="E326" s="63">
        <f>D326*'16-PlantAdditions'!$E$103</f>
        <v>461380.12500000006</v>
      </c>
      <c r="F326" s="63">
        <f t="shared" si="86"/>
        <v>6613115.1250000009</v>
      </c>
      <c r="G326" s="977">
        <v>80442</v>
      </c>
      <c r="H326" s="977">
        <v>0</v>
      </c>
      <c r="I326" s="63">
        <f>(G326-H326)*'16-PlantAdditions'!$E$103</f>
        <v>6033.15</v>
      </c>
      <c r="J326" s="63">
        <f t="shared" si="87"/>
        <v>168897817.25999993</v>
      </c>
      <c r="K326" s="63">
        <f t="shared" si="88"/>
        <v>38853633.059999928</v>
      </c>
    </row>
    <row r="327" spans="1:12" s="645" customFormat="1" ht="13">
      <c r="A327" s="109">
        <f t="shared" si="85"/>
        <v>245</v>
      </c>
      <c r="B327" s="611" t="s">
        <v>187</v>
      </c>
      <c r="C327" s="609">
        <v>2021</v>
      </c>
      <c r="D327" s="977">
        <v>5592462</v>
      </c>
      <c r="E327" s="63">
        <f>D327*'16-PlantAdditions'!$E$103</f>
        <v>419434.64999999997</v>
      </c>
      <c r="F327" s="63">
        <f t="shared" si="86"/>
        <v>6011896.6500000004</v>
      </c>
      <c r="G327" s="977">
        <v>142180</v>
      </c>
      <c r="H327" s="977">
        <v>0</v>
      </c>
      <c r="I327" s="63">
        <f>(G327-H327)*'16-PlantAdditions'!$E$103</f>
        <v>10663.5</v>
      </c>
      <c r="J327" s="63">
        <f t="shared" si="87"/>
        <v>174756870.40999994</v>
      </c>
      <c r="K327" s="63">
        <f t="shared" si="88"/>
        <v>44712686.209999934</v>
      </c>
    </row>
    <row r="328" spans="1:12" s="645" customFormat="1" ht="13">
      <c r="A328" s="109">
        <f t="shared" si="85"/>
        <v>246</v>
      </c>
      <c r="B328" s="611" t="s">
        <v>188</v>
      </c>
      <c r="C328" s="609">
        <v>2021</v>
      </c>
      <c r="D328" s="977">
        <v>7072988</v>
      </c>
      <c r="E328" s="63">
        <f>D328*'16-PlantAdditions'!$E$103</f>
        <v>530474.1</v>
      </c>
      <c r="F328" s="63">
        <f t="shared" si="86"/>
        <v>7603462.0999999996</v>
      </c>
      <c r="G328" s="977">
        <v>173004967.69999999</v>
      </c>
      <c r="H328" s="977">
        <v>122968413.7</v>
      </c>
      <c r="I328" s="63">
        <f>(G328-H328)*'16-PlantAdditions'!$E$103</f>
        <v>3752741.5499999989</v>
      </c>
      <c r="J328" s="63">
        <f t="shared" si="87"/>
        <v>5602623.2599999439</v>
      </c>
      <c r="K328" s="63">
        <f t="shared" si="88"/>
        <v>-124441560.94000006</v>
      </c>
    </row>
    <row r="329" spans="1:12" s="645" customFormat="1" ht="13">
      <c r="A329" s="109">
        <f t="shared" si="85"/>
        <v>247</v>
      </c>
      <c r="B329" s="608" t="s">
        <v>191</v>
      </c>
      <c r="C329" s="609">
        <v>2021</v>
      </c>
      <c r="D329" s="977">
        <v>5788994</v>
      </c>
      <c r="E329" s="63">
        <f>D329*'16-PlantAdditions'!$E$103</f>
        <v>434174.55</v>
      </c>
      <c r="F329" s="63">
        <f t="shared" si="86"/>
        <v>6223168.5499999998</v>
      </c>
      <c r="G329" s="977">
        <v>5754882</v>
      </c>
      <c r="H329" s="977">
        <v>0</v>
      </c>
      <c r="I329" s="63">
        <f>(G329-H329)*'16-PlantAdditions'!$E$103</f>
        <v>431616.14999999997</v>
      </c>
      <c r="J329" s="63">
        <f t="shared" si="87"/>
        <v>5639293.6599999424</v>
      </c>
      <c r="K329" s="63">
        <f t="shared" si="88"/>
        <v>-124404890.54000007</v>
      </c>
    </row>
    <row r="330" spans="1:12" s="645" customFormat="1" ht="13">
      <c r="A330" s="109">
        <f t="shared" si="85"/>
        <v>248</v>
      </c>
      <c r="B330" s="608" t="s">
        <v>190</v>
      </c>
      <c r="C330" s="609">
        <v>2021</v>
      </c>
      <c r="D330" s="977">
        <v>5473652</v>
      </c>
      <c r="E330" s="63">
        <f>D330*'16-PlantAdditions'!$E$103</f>
        <v>410523.89999999997</v>
      </c>
      <c r="F330" s="63">
        <f t="shared" si="86"/>
        <v>5884175.9000000004</v>
      </c>
      <c r="G330" s="977">
        <v>5637134.5899999999</v>
      </c>
      <c r="H330" s="977">
        <v>196790.59</v>
      </c>
      <c r="I330" s="63">
        <f>(G330-H330)*'16-PlantAdditions'!$E$103</f>
        <v>408025.8</v>
      </c>
      <c r="J330" s="63">
        <f t="shared" si="87"/>
        <v>5478309.1699999431</v>
      </c>
      <c r="K330" s="63">
        <f t="shared" si="88"/>
        <v>-124565875.03000006</v>
      </c>
    </row>
    <row r="331" spans="1:12" s="645" customFormat="1" ht="13">
      <c r="A331" s="109">
        <f t="shared" si="85"/>
        <v>249</v>
      </c>
      <c r="B331" s="608" t="s">
        <v>180</v>
      </c>
      <c r="C331" s="609">
        <v>2021</v>
      </c>
      <c r="D331" s="977">
        <v>10179559.000000002</v>
      </c>
      <c r="E331" s="63">
        <f>D331*'16-PlantAdditions'!$E$103</f>
        <v>763466.92500000016</v>
      </c>
      <c r="F331" s="63">
        <f t="shared" si="86"/>
        <v>10943025.925000003</v>
      </c>
      <c r="G331" s="977">
        <v>10022834</v>
      </c>
      <c r="H331" s="977">
        <v>0</v>
      </c>
      <c r="I331" s="63">
        <f>(G331-H331)*'16-PlantAdditions'!$E$103</f>
        <v>751712.54999999993</v>
      </c>
      <c r="J331" s="63">
        <f t="shared" si="87"/>
        <v>5646788.5449999468</v>
      </c>
      <c r="K331" s="63">
        <f t="shared" si="88"/>
        <v>-124397395.65500006</v>
      </c>
    </row>
    <row r="332" spans="1:12" s="645" customFormat="1" ht="13">
      <c r="A332" s="109">
        <f t="shared" si="85"/>
        <v>250</v>
      </c>
      <c r="B332" s="608" t="s">
        <v>181</v>
      </c>
      <c r="C332" s="609">
        <v>2022</v>
      </c>
      <c r="D332" s="977">
        <v>3854430</v>
      </c>
      <c r="E332" s="63">
        <f>D332*'16-PlantAdditions'!$E$103</f>
        <v>289082.25</v>
      </c>
      <c r="F332" s="63">
        <f t="shared" si="86"/>
        <v>4143512.25</v>
      </c>
      <c r="G332" s="977">
        <v>3854430</v>
      </c>
      <c r="H332" s="977">
        <v>0</v>
      </c>
      <c r="I332" s="63">
        <f>(G332-H332)*'16-PlantAdditions'!$E$103</f>
        <v>289082.25</v>
      </c>
      <c r="J332" s="63">
        <f t="shared" si="87"/>
        <v>5646788.5449999459</v>
      </c>
      <c r="K332" s="63">
        <f t="shared" si="88"/>
        <v>-124397395.65500006</v>
      </c>
    </row>
    <row r="333" spans="1:12" s="645" customFormat="1" ht="13">
      <c r="A333" s="109">
        <f t="shared" si="85"/>
        <v>251</v>
      </c>
      <c r="B333" s="611" t="s">
        <v>182</v>
      </c>
      <c r="C333" s="609">
        <v>2022</v>
      </c>
      <c r="D333" s="977">
        <v>3854430</v>
      </c>
      <c r="E333" s="63">
        <f>D333*'16-PlantAdditions'!$E$103</f>
        <v>289082.25</v>
      </c>
      <c r="F333" s="63">
        <f t="shared" si="86"/>
        <v>4143512.25</v>
      </c>
      <c r="G333" s="977">
        <v>3854430</v>
      </c>
      <c r="H333" s="977">
        <v>0</v>
      </c>
      <c r="I333" s="63">
        <f>(G333-H333)*'16-PlantAdditions'!$E$103</f>
        <v>289082.25</v>
      </c>
      <c r="J333" s="63">
        <f t="shared" si="87"/>
        <v>5646788.5449999459</v>
      </c>
      <c r="K333" s="63">
        <f t="shared" si="88"/>
        <v>-124397395.65500006</v>
      </c>
    </row>
    <row r="334" spans="1:12" s="645" customFormat="1" ht="13">
      <c r="A334" s="109">
        <f t="shared" si="85"/>
        <v>252</v>
      </c>
      <c r="B334" s="611" t="s">
        <v>195</v>
      </c>
      <c r="C334" s="609">
        <v>2022</v>
      </c>
      <c r="D334" s="977">
        <v>2530727</v>
      </c>
      <c r="E334" s="63">
        <f>D334*'16-PlantAdditions'!$E$103</f>
        <v>189804.52499999999</v>
      </c>
      <c r="F334" s="63">
        <f t="shared" si="86"/>
        <v>2720531.5249999999</v>
      </c>
      <c r="G334" s="977">
        <v>2530727</v>
      </c>
      <c r="H334" s="977">
        <v>0</v>
      </c>
      <c r="I334" s="63">
        <f>(G334-H334)*'16-PlantAdditions'!$E$103</f>
        <v>189804.52499999999</v>
      </c>
      <c r="J334" s="63">
        <f>J333+F334-G334-I334</f>
        <v>5646788.5449999459</v>
      </c>
      <c r="K334" s="63">
        <f t="shared" si="88"/>
        <v>-124397395.65500006</v>
      </c>
    </row>
    <row r="335" spans="1:12" s="645" customFormat="1" ht="13">
      <c r="A335" s="109">
        <f t="shared" si="85"/>
        <v>253</v>
      </c>
      <c r="B335" s="608" t="s">
        <v>183</v>
      </c>
      <c r="C335" s="609">
        <v>2022</v>
      </c>
      <c r="D335" s="977">
        <v>2181930</v>
      </c>
      <c r="E335" s="63">
        <f>D335*'16-PlantAdditions'!$E$103</f>
        <v>163644.75</v>
      </c>
      <c r="F335" s="63">
        <f t="shared" si="86"/>
        <v>2345574.75</v>
      </c>
      <c r="G335" s="977">
        <v>2181930</v>
      </c>
      <c r="H335" s="977">
        <v>0</v>
      </c>
      <c r="I335" s="63">
        <f>(G335-H335)*'16-PlantAdditions'!$E$103</f>
        <v>163644.75</v>
      </c>
      <c r="J335" s="63">
        <f t="shared" si="87"/>
        <v>5646788.5449999459</v>
      </c>
      <c r="K335" s="63">
        <f t="shared" si="88"/>
        <v>-124397395.65500006</v>
      </c>
    </row>
    <row r="336" spans="1:12" s="645" customFormat="1" ht="13">
      <c r="A336" s="109">
        <f t="shared" si="85"/>
        <v>254</v>
      </c>
      <c r="B336" s="611" t="s">
        <v>184</v>
      </c>
      <c r="C336" s="609">
        <v>2022</v>
      </c>
      <c r="D336" s="977">
        <v>2181930</v>
      </c>
      <c r="E336" s="63">
        <f>D336*'16-PlantAdditions'!$E$103</f>
        <v>163644.75</v>
      </c>
      <c r="F336" s="63">
        <f t="shared" si="86"/>
        <v>2345574.75</v>
      </c>
      <c r="G336" s="977">
        <v>2181930</v>
      </c>
      <c r="H336" s="977">
        <v>0</v>
      </c>
      <c r="I336" s="63">
        <f>(G336-H336)*'16-PlantAdditions'!$E$103</f>
        <v>163644.75</v>
      </c>
      <c r="J336" s="63">
        <f t="shared" si="87"/>
        <v>5646788.5449999459</v>
      </c>
      <c r="K336" s="63">
        <f t="shared" si="88"/>
        <v>-124397395.65500006</v>
      </c>
    </row>
    <row r="337" spans="1:11" s="645" customFormat="1" ht="13">
      <c r="A337" s="109">
        <f t="shared" si="85"/>
        <v>255</v>
      </c>
      <c r="B337" s="611" t="s">
        <v>1458</v>
      </c>
      <c r="C337" s="609">
        <v>2022</v>
      </c>
      <c r="D337" s="977">
        <v>2181930</v>
      </c>
      <c r="E337" s="63">
        <f>D337*'16-PlantAdditions'!$E$103</f>
        <v>163644.75</v>
      </c>
      <c r="F337" s="63">
        <f t="shared" si="86"/>
        <v>2345574.75</v>
      </c>
      <c r="G337" s="977">
        <v>2181930</v>
      </c>
      <c r="H337" s="977">
        <v>0</v>
      </c>
      <c r="I337" s="63">
        <f>(G337-H337)*'16-PlantAdditions'!$E$103</f>
        <v>163644.75</v>
      </c>
      <c r="J337" s="63">
        <f t="shared" si="87"/>
        <v>5646788.5449999459</v>
      </c>
      <c r="K337" s="63">
        <f t="shared" si="88"/>
        <v>-124397395.65500006</v>
      </c>
    </row>
    <row r="338" spans="1:11" s="645" customFormat="1" ht="13">
      <c r="A338" s="109">
        <f t="shared" si="85"/>
        <v>256</v>
      </c>
      <c r="B338" s="608" t="s">
        <v>186</v>
      </c>
      <c r="C338" s="609">
        <v>2022</v>
      </c>
      <c r="D338" s="977">
        <v>2181930</v>
      </c>
      <c r="E338" s="63">
        <f>D338*'16-PlantAdditions'!$E$103</f>
        <v>163644.75</v>
      </c>
      <c r="F338" s="63">
        <f t="shared" si="86"/>
        <v>2345574.75</v>
      </c>
      <c r="G338" s="977">
        <v>7538190.0699999994</v>
      </c>
      <c r="H338" s="977">
        <v>1482547.07</v>
      </c>
      <c r="I338" s="63">
        <f>(G338-H338)*'16-PlantAdditions'!$E$103</f>
        <v>454173.22499999992</v>
      </c>
      <c r="J338" s="63">
        <f t="shared" si="87"/>
        <v>-5.3376425057649612E-8</v>
      </c>
      <c r="K338" s="63">
        <f t="shared" si="88"/>
        <v>-130044184.20000006</v>
      </c>
    </row>
    <row r="339" spans="1:11" s="645" customFormat="1" ht="13">
      <c r="A339" s="109">
        <f t="shared" si="85"/>
        <v>257</v>
      </c>
      <c r="B339" s="611" t="s">
        <v>187</v>
      </c>
      <c r="C339" s="609">
        <v>2022</v>
      </c>
      <c r="D339" s="977">
        <v>2256959</v>
      </c>
      <c r="E339" s="63">
        <f>D339*'16-PlantAdditions'!$E$103</f>
        <v>169271.92499999999</v>
      </c>
      <c r="F339" s="63">
        <f t="shared" si="86"/>
        <v>2426230.9249999998</v>
      </c>
      <c r="G339" s="977">
        <v>2256959</v>
      </c>
      <c r="H339" s="977">
        <v>0</v>
      </c>
      <c r="I339" s="63">
        <f>(G339-H339)*'16-PlantAdditions'!$E$103</f>
        <v>169271.92499999999</v>
      </c>
      <c r="J339" s="63">
        <f t="shared" si="87"/>
        <v>-5.3725671023130417E-8</v>
      </c>
      <c r="K339" s="63">
        <f t="shared" si="88"/>
        <v>-130044184.20000006</v>
      </c>
    </row>
    <row r="340" spans="1:11" s="645" customFormat="1" ht="13">
      <c r="A340" s="109">
        <f t="shared" si="85"/>
        <v>258</v>
      </c>
      <c r="B340" s="611" t="s">
        <v>188</v>
      </c>
      <c r="C340" s="609">
        <v>2022</v>
      </c>
      <c r="D340" s="977">
        <v>1829394</v>
      </c>
      <c r="E340" s="63">
        <f>D340*'16-PlantAdditions'!$E$103</f>
        <v>137204.54999999999</v>
      </c>
      <c r="F340" s="63">
        <f t="shared" si="86"/>
        <v>1966598.55</v>
      </c>
      <c r="G340" s="977">
        <v>1829394</v>
      </c>
      <c r="H340" s="977">
        <v>0</v>
      </c>
      <c r="I340" s="63">
        <f>(G340-H340)*'16-PlantAdditions'!$E$103</f>
        <v>137204.54999999999</v>
      </c>
      <c r="J340" s="63">
        <f t="shared" si="87"/>
        <v>-5.3725671023130417E-8</v>
      </c>
      <c r="K340" s="63">
        <f t="shared" si="88"/>
        <v>-130044184.20000006</v>
      </c>
    </row>
    <row r="341" spans="1:11" s="645" customFormat="1" ht="13">
      <c r="A341" s="109">
        <f t="shared" si="85"/>
        <v>259</v>
      </c>
      <c r="B341" s="611" t="s">
        <v>191</v>
      </c>
      <c r="C341" s="609">
        <v>2022</v>
      </c>
      <c r="D341" s="977">
        <v>1122680</v>
      </c>
      <c r="E341" s="63">
        <f>D341*'16-PlantAdditions'!$E$103</f>
        <v>84201</v>
      </c>
      <c r="F341" s="63">
        <f t="shared" ref="F341:F343" si="89">E341+D341</f>
        <v>1206881</v>
      </c>
      <c r="G341" s="977">
        <v>1122680</v>
      </c>
      <c r="H341" s="977">
        <v>0</v>
      </c>
      <c r="I341" s="63">
        <f>(G341-H341)*'16-PlantAdditions'!$E$103</f>
        <v>84201</v>
      </c>
      <c r="J341" s="63">
        <f t="shared" ref="J341:J343" si="90">J340+F341-G341-I341</f>
        <v>-5.3783878684043884E-8</v>
      </c>
      <c r="K341" s="63">
        <f t="shared" si="88"/>
        <v>-130044184.20000006</v>
      </c>
    </row>
    <row r="342" spans="1:11" s="645" customFormat="1" ht="13">
      <c r="A342" s="109">
        <f t="shared" si="85"/>
        <v>260</v>
      </c>
      <c r="B342" s="611" t="s">
        <v>190</v>
      </c>
      <c r="C342" s="609">
        <v>2022</v>
      </c>
      <c r="D342" s="977">
        <v>1122680</v>
      </c>
      <c r="E342" s="63">
        <f>D342*'16-PlantAdditions'!$E$103</f>
        <v>84201</v>
      </c>
      <c r="F342" s="63">
        <f t="shared" si="89"/>
        <v>1206881</v>
      </c>
      <c r="G342" s="977">
        <v>1122680</v>
      </c>
      <c r="H342" s="977">
        <v>0</v>
      </c>
      <c r="I342" s="63">
        <f>(G342-H342)*'16-PlantAdditions'!$E$103</f>
        <v>84201</v>
      </c>
      <c r="J342" s="63">
        <f t="shared" si="90"/>
        <v>-5.3783878684043884E-8</v>
      </c>
      <c r="K342" s="63">
        <f t="shared" si="88"/>
        <v>-130044184.20000006</v>
      </c>
    </row>
    <row r="343" spans="1:11" s="645" customFormat="1" ht="13">
      <c r="A343" s="109">
        <f t="shared" si="85"/>
        <v>261</v>
      </c>
      <c r="B343" s="611" t="s">
        <v>180</v>
      </c>
      <c r="C343" s="609">
        <v>2022</v>
      </c>
      <c r="D343" s="977">
        <v>20886428</v>
      </c>
      <c r="E343" s="63">
        <f>D343*'16-PlantAdditions'!$E$103</f>
        <v>1566482.0999999999</v>
      </c>
      <c r="F343" s="63">
        <f t="shared" si="89"/>
        <v>22452910.100000001</v>
      </c>
      <c r="G343" s="977">
        <v>20886428</v>
      </c>
      <c r="H343" s="977">
        <v>0</v>
      </c>
      <c r="I343" s="63">
        <f>(G343-H343)*'16-PlantAdditions'!$E$103</f>
        <v>1566482.0999999999</v>
      </c>
      <c r="J343" s="63">
        <f t="shared" si="90"/>
        <v>-5.0524249672889709E-8</v>
      </c>
      <c r="K343" s="110">
        <f t="shared" si="88"/>
        <v>-130044184.20000005</v>
      </c>
    </row>
    <row r="344" spans="1:11" s="645" customFormat="1" ht="13">
      <c r="A344" s="109">
        <f t="shared" si="85"/>
        <v>262</v>
      </c>
      <c r="B344"/>
      <c r="C344" s="644" t="s">
        <v>1603</v>
      </c>
      <c r="D344"/>
      <c r="E344"/>
      <c r="F344"/>
      <c r="G344"/>
      <c r="H344"/>
      <c r="I344"/>
      <c r="J344"/>
      <c r="K344" s="73">
        <f>AVERAGE(K331:K343)</f>
        <v>-127003605.75269237</v>
      </c>
    </row>
    <row r="345" spans="1:11" s="645" customFormat="1" ht="13">
      <c r="A345" s="109"/>
      <c r="B345"/>
      <c r="C345" s="644"/>
      <c r="D345"/>
      <c r="E345"/>
      <c r="F345"/>
      <c r="G345"/>
      <c r="H345"/>
      <c r="I345"/>
      <c r="J345"/>
      <c r="K345" s="73"/>
    </row>
    <row r="346" spans="1:11" s="645" customFormat="1" ht="13">
      <c r="B346" s="646" t="s">
        <v>1938</v>
      </c>
      <c r="D346" s="1514" t="s">
        <v>2419</v>
      </c>
      <c r="E346" s="1514"/>
    </row>
    <row r="347" spans="1:11" s="645" customFormat="1" ht="13">
      <c r="B347" s="646"/>
      <c r="D347" s="640" t="s">
        <v>358</v>
      </c>
      <c r="E347" s="640" t="s">
        <v>342</v>
      </c>
      <c r="F347" s="640" t="s">
        <v>343</v>
      </c>
      <c r="G347" s="640" t="s">
        <v>344</v>
      </c>
      <c r="H347" s="640" t="s">
        <v>345</v>
      </c>
      <c r="I347" s="640" t="s">
        <v>346</v>
      </c>
      <c r="J347" s="640" t="s">
        <v>347</v>
      </c>
      <c r="K347" s="640" t="s">
        <v>534</v>
      </c>
    </row>
    <row r="348" spans="1:11" s="645" customFormat="1" ht="38">
      <c r="B348" s="646"/>
      <c r="D348" s="647"/>
      <c r="E348" s="648" t="s">
        <v>2061</v>
      </c>
      <c r="F348" s="649" t="s">
        <v>1927</v>
      </c>
      <c r="G348" s="525"/>
      <c r="H348" s="647"/>
      <c r="I348" s="648" t="s">
        <v>2062</v>
      </c>
      <c r="J348" s="648" t="s">
        <v>1928</v>
      </c>
      <c r="K348" s="648" t="s">
        <v>1929</v>
      </c>
    </row>
    <row r="349" spans="1:11" s="645" customFormat="1" ht="13">
      <c r="D349" s="647"/>
      <c r="E349" s="647"/>
      <c r="F349" s="647"/>
      <c r="G349" s="549" t="str">
        <f>G51</f>
        <v>Unloaded</v>
      </c>
      <c r="H349" s="647"/>
      <c r="I349" s="647"/>
    </row>
    <row r="350" spans="1:11" s="645" customFormat="1" ht="13">
      <c r="A350" s="642"/>
      <c r="B350" s="642"/>
      <c r="C350" s="642"/>
      <c r="D350" s="642" t="str">
        <f>D$52</f>
        <v>Forecast</v>
      </c>
      <c r="E350" s="642" t="str">
        <f t="shared" ref="E350:J350" si="91">E$52</f>
        <v>Corporate</v>
      </c>
      <c r="F350" s="642" t="str">
        <f t="shared" si="91"/>
        <v xml:space="preserve">Total </v>
      </c>
      <c r="G350" s="549" t="str">
        <f>G52</f>
        <v>Total</v>
      </c>
      <c r="H350" s="642" t="str">
        <f t="shared" si="91"/>
        <v>Prior Period</v>
      </c>
      <c r="I350" s="642" t="str">
        <f t="shared" si="91"/>
        <v>Over Heads</v>
      </c>
      <c r="J350" s="642" t="str">
        <f t="shared" si="91"/>
        <v>Forecast</v>
      </c>
      <c r="K350" s="549" t="str">
        <f>K$52</f>
        <v>Forecast Period</v>
      </c>
    </row>
    <row r="351" spans="1:11" s="645" customFormat="1" ht="13">
      <c r="A351" s="833" t="s">
        <v>329</v>
      </c>
      <c r="B351" s="607" t="s">
        <v>192</v>
      </c>
      <c r="C351" s="607" t="s">
        <v>193</v>
      </c>
      <c r="D351" s="640" t="str">
        <f>D$53</f>
        <v>Expenditures</v>
      </c>
      <c r="E351" s="640" t="str">
        <f t="shared" ref="E351:J351" si="92">E$53</f>
        <v>Overheads</v>
      </c>
      <c r="F351" s="640" t="str">
        <f t="shared" si="92"/>
        <v>CWIP Exp</v>
      </c>
      <c r="G351" s="122" t="str">
        <f>G53</f>
        <v>Plant Adds</v>
      </c>
      <c r="H351" s="640" t="str">
        <f t="shared" si="92"/>
        <v>CWIP Closed</v>
      </c>
      <c r="I351" s="640" t="str">
        <f t="shared" si="92"/>
        <v>Closed to PIS</v>
      </c>
      <c r="J351" s="640" t="str">
        <f t="shared" si="92"/>
        <v>Period CWIP</v>
      </c>
      <c r="K351" s="640" t="str">
        <f>K$53</f>
        <v>Incremental CWIP</v>
      </c>
    </row>
    <row r="352" spans="1:11" s="645" customFormat="1" ht="13">
      <c r="A352" s="109">
        <f>A344+1</f>
        <v>263</v>
      </c>
      <c r="B352" s="608" t="s">
        <v>180</v>
      </c>
      <c r="C352" s="609">
        <v>2020</v>
      </c>
      <c r="D352" s="649" t="s">
        <v>76</v>
      </c>
      <c r="E352" s="649" t="s">
        <v>76</v>
      </c>
      <c r="F352" s="649" t="s">
        <v>76</v>
      </c>
      <c r="G352" s="649" t="s">
        <v>76</v>
      </c>
      <c r="H352" s="649" t="s">
        <v>76</v>
      </c>
      <c r="I352" s="649" t="s">
        <v>76</v>
      </c>
      <c r="J352" s="63">
        <f>G45</f>
        <v>23818399.359999999</v>
      </c>
      <c r="K352" s="649" t="s">
        <v>76</v>
      </c>
    </row>
    <row r="353" spans="1:11" s="645" customFormat="1" ht="13">
      <c r="A353" s="109">
        <f>A352+1</f>
        <v>264</v>
      </c>
      <c r="B353" s="608" t="s">
        <v>181</v>
      </c>
      <c r="C353" s="609">
        <v>2021</v>
      </c>
      <c r="D353" s="977">
        <v>54049.028000000006</v>
      </c>
      <c r="E353" s="63">
        <f>D353*'16-PlantAdditions'!$E$103</f>
        <v>4053.6771000000003</v>
      </c>
      <c r="F353" s="63">
        <f>E353+D353</f>
        <v>58102.705100000006</v>
      </c>
      <c r="G353" s="977">
        <v>0</v>
      </c>
      <c r="H353" s="977">
        <v>0</v>
      </c>
      <c r="I353" s="63">
        <f>(G353-H353)*'16-PlantAdditions'!$E$103</f>
        <v>0</v>
      </c>
      <c r="J353" s="63">
        <f>J352+F353-G353-I353</f>
        <v>23876502.065099999</v>
      </c>
      <c r="K353" s="63">
        <f>J353-$J$352</f>
        <v>58102.705099999905</v>
      </c>
    </row>
    <row r="354" spans="1:11" s="645" customFormat="1" ht="13">
      <c r="A354" s="109">
        <f t="shared" ref="A354:A377" si="93">A353+1</f>
        <v>265</v>
      </c>
      <c r="B354" s="611" t="s">
        <v>182</v>
      </c>
      <c r="C354" s="609">
        <v>2021</v>
      </c>
      <c r="D354" s="977">
        <v>79135.004000000001</v>
      </c>
      <c r="E354" s="63">
        <f>D354*'16-PlantAdditions'!$E$103</f>
        <v>5935.1252999999997</v>
      </c>
      <c r="F354" s="63">
        <f t="shared" ref="F354:F373" si="94">E354+D354</f>
        <v>85070.129300000001</v>
      </c>
      <c r="G354" s="977">
        <v>0</v>
      </c>
      <c r="H354" s="977">
        <v>0</v>
      </c>
      <c r="I354" s="63">
        <f>(G354-H354)*'16-PlantAdditions'!$E$103</f>
        <v>0</v>
      </c>
      <c r="J354" s="63">
        <f t="shared" ref="J354:J373" si="95">J353+F354-G354-I354</f>
        <v>23961572.194399998</v>
      </c>
      <c r="K354" s="63">
        <f t="shared" ref="K354:K376" si="96">J354-$J$352</f>
        <v>143172.83439999819</v>
      </c>
    </row>
    <row r="355" spans="1:11" s="645" customFormat="1" ht="13">
      <c r="A355" s="109">
        <f t="shared" si="93"/>
        <v>266</v>
      </c>
      <c r="B355" s="611" t="s">
        <v>195</v>
      </c>
      <c r="C355" s="609">
        <v>2021</v>
      </c>
      <c r="D355" s="977">
        <v>44375.464000000007</v>
      </c>
      <c r="E355" s="63">
        <f>D355*'16-PlantAdditions'!$E$103</f>
        <v>3328.1598000000004</v>
      </c>
      <c r="F355" s="63">
        <f t="shared" si="94"/>
        <v>47703.623800000008</v>
      </c>
      <c r="G355" s="977">
        <v>0</v>
      </c>
      <c r="H355" s="977">
        <v>0</v>
      </c>
      <c r="I355" s="63">
        <f>(G355-H355)*'16-PlantAdditions'!$E$103</f>
        <v>0</v>
      </c>
      <c r="J355" s="63">
        <f t="shared" si="95"/>
        <v>24009275.818199996</v>
      </c>
      <c r="K355" s="63">
        <f t="shared" si="96"/>
        <v>190876.4581999965</v>
      </c>
    </row>
    <row r="356" spans="1:11" s="645" customFormat="1" ht="13">
      <c r="A356" s="109">
        <f t="shared" si="93"/>
        <v>267</v>
      </c>
      <c r="B356" s="608" t="s">
        <v>183</v>
      </c>
      <c r="C356" s="609">
        <v>2021</v>
      </c>
      <c r="D356" s="977">
        <v>87332.983999999997</v>
      </c>
      <c r="E356" s="63">
        <f>D356*'16-PlantAdditions'!$E$103</f>
        <v>6549.9737999999998</v>
      </c>
      <c r="F356" s="63">
        <f t="shared" si="94"/>
        <v>93882.957800000004</v>
      </c>
      <c r="G356" s="977">
        <v>0</v>
      </c>
      <c r="H356" s="977">
        <v>0</v>
      </c>
      <c r="I356" s="63">
        <f>(G356-H356)*'16-PlantAdditions'!$E$103</f>
        <v>0</v>
      </c>
      <c r="J356" s="63">
        <f t="shared" si="95"/>
        <v>24103158.775999997</v>
      </c>
      <c r="K356" s="63">
        <f t="shared" si="96"/>
        <v>284759.41599999741</v>
      </c>
    </row>
    <row r="357" spans="1:11" s="645" customFormat="1" ht="13">
      <c r="A357" s="109">
        <f t="shared" si="93"/>
        <v>268</v>
      </c>
      <c r="B357" s="611" t="s">
        <v>184</v>
      </c>
      <c r="C357" s="609">
        <v>2021</v>
      </c>
      <c r="D357" s="977">
        <v>87332.983999999997</v>
      </c>
      <c r="E357" s="63">
        <f>D357*'16-PlantAdditions'!$E$103</f>
        <v>6549.9737999999998</v>
      </c>
      <c r="F357" s="63">
        <f t="shared" si="94"/>
        <v>93882.957800000004</v>
      </c>
      <c r="G357" s="977">
        <v>0</v>
      </c>
      <c r="H357" s="977">
        <v>0</v>
      </c>
      <c r="I357" s="63">
        <f>(G357-H357)*'16-PlantAdditions'!$E$103</f>
        <v>0</v>
      </c>
      <c r="J357" s="63">
        <f t="shared" si="95"/>
        <v>24197041.733799998</v>
      </c>
      <c r="K357" s="63">
        <f t="shared" si="96"/>
        <v>378642.37379999831</v>
      </c>
    </row>
    <row r="358" spans="1:11" s="645" customFormat="1" ht="13">
      <c r="A358" s="109">
        <f t="shared" si="93"/>
        <v>269</v>
      </c>
      <c r="B358" s="611" t="s">
        <v>1458</v>
      </c>
      <c r="C358" s="609">
        <v>2021</v>
      </c>
      <c r="D358" s="977">
        <v>87332.983999999997</v>
      </c>
      <c r="E358" s="63">
        <f>D358*'16-PlantAdditions'!$E$103</f>
        <v>6549.9737999999998</v>
      </c>
      <c r="F358" s="63">
        <f t="shared" si="94"/>
        <v>93882.957800000004</v>
      </c>
      <c r="G358" s="977">
        <v>0</v>
      </c>
      <c r="H358" s="977">
        <v>0</v>
      </c>
      <c r="I358" s="63">
        <f>(G358-H358)*'16-PlantAdditions'!$E$103</f>
        <v>0</v>
      </c>
      <c r="J358" s="63">
        <f t="shared" si="95"/>
        <v>24290924.691599999</v>
      </c>
      <c r="K358" s="63">
        <f t="shared" si="96"/>
        <v>472525.33159999922</v>
      </c>
    </row>
    <row r="359" spans="1:11" s="645" customFormat="1" ht="13">
      <c r="A359" s="109">
        <f t="shared" si="93"/>
        <v>270</v>
      </c>
      <c r="B359" s="608" t="s">
        <v>186</v>
      </c>
      <c r="C359" s="609">
        <v>2021</v>
      </c>
      <c r="D359" s="977">
        <v>87332.983999999997</v>
      </c>
      <c r="E359" s="63">
        <f>D359*'16-PlantAdditions'!$E$103</f>
        <v>6549.9737999999998</v>
      </c>
      <c r="F359" s="63">
        <f t="shared" si="94"/>
        <v>93882.957800000004</v>
      </c>
      <c r="G359" s="977">
        <v>0</v>
      </c>
      <c r="H359" s="977">
        <v>0</v>
      </c>
      <c r="I359" s="63">
        <f>(G359-H359)*'16-PlantAdditions'!$E$103</f>
        <v>0</v>
      </c>
      <c r="J359" s="63">
        <f t="shared" si="95"/>
        <v>24384807.6494</v>
      </c>
      <c r="K359" s="63">
        <f t="shared" si="96"/>
        <v>566408.28940000013</v>
      </c>
    </row>
    <row r="360" spans="1:11" s="645" customFormat="1" ht="13">
      <c r="A360" s="109">
        <f t="shared" si="93"/>
        <v>271</v>
      </c>
      <c r="B360" s="611" t="s">
        <v>187</v>
      </c>
      <c r="C360" s="609">
        <v>2021</v>
      </c>
      <c r="D360" s="977">
        <v>113532.984</v>
      </c>
      <c r="E360" s="63">
        <f>D360*'16-PlantAdditions'!$E$103</f>
        <v>8514.9737999999998</v>
      </c>
      <c r="F360" s="63">
        <f t="shared" si="94"/>
        <v>122047.9578</v>
      </c>
      <c r="G360" s="977">
        <v>0</v>
      </c>
      <c r="H360" s="977">
        <v>0</v>
      </c>
      <c r="I360" s="63">
        <f>(G360-H360)*'16-PlantAdditions'!$E$103</f>
        <v>0</v>
      </c>
      <c r="J360" s="63">
        <f t="shared" si="95"/>
        <v>24506855.6072</v>
      </c>
      <c r="K360" s="63">
        <f t="shared" si="96"/>
        <v>688456.24720000103</v>
      </c>
    </row>
    <row r="361" spans="1:11" s="645" customFormat="1" ht="13">
      <c r="A361" s="109">
        <f t="shared" si="93"/>
        <v>272</v>
      </c>
      <c r="B361" s="611" t="s">
        <v>188</v>
      </c>
      <c r="C361" s="609">
        <v>2021</v>
      </c>
      <c r="D361" s="977">
        <v>120616.94</v>
      </c>
      <c r="E361" s="63">
        <f>D361*'16-PlantAdditions'!$E$103</f>
        <v>9046.2705000000005</v>
      </c>
      <c r="F361" s="63">
        <f t="shared" si="94"/>
        <v>129663.2105</v>
      </c>
      <c r="G361" s="977">
        <v>0</v>
      </c>
      <c r="H361" s="977">
        <v>0</v>
      </c>
      <c r="I361" s="63">
        <f>(G361-H361)*'16-PlantAdditions'!$E$103</f>
        <v>0</v>
      </c>
      <c r="J361" s="63">
        <f t="shared" si="95"/>
        <v>24636518.817699999</v>
      </c>
      <c r="K361" s="63">
        <f t="shared" si="96"/>
        <v>818119.45769999921</v>
      </c>
    </row>
    <row r="362" spans="1:11" s="645" customFormat="1" ht="13">
      <c r="A362" s="109">
        <f t="shared" si="93"/>
        <v>273</v>
      </c>
      <c r="B362" s="608" t="s">
        <v>191</v>
      </c>
      <c r="C362" s="609">
        <v>2021</v>
      </c>
      <c r="D362" s="977">
        <v>113532.984</v>
      </c>
      <c r="E362" s="63">
        <f>D362*'16-PlantAdditions'!$E$103</f>
        <v>8514.9737999999998</v>
      </c>
      <c r="F362" s="63">
        <f t="shared" si="94"/>
        <v>122047.9578</v>
      </c>
      <c r="G362" s="977">
        <v>0</v>
      </c>
      <c r="H362" s="977">
        <v>0</v>
      </c>
      <c r="I362" s="63">
        <f>(G362-H362)*'16-PlantAdditions'!$E$103</f>
        <v>0</v>
      </c>
      <c r="J362" s="63">
        <f t="shared" si="95"/>
        <v>24758566.7755</v>
      </c>
      <c r="K362" s="63">
        <f t="shared" si="96"/>
        <v>940167.41550000012</v>
      </c>
    </row>
    <row r="363" spans="1:11" s="645" customFormat="1" ht="13">
      <c r="A363" s="109">
        <f t="shared" si="93"/>
        <v>274</v>
      </c>
      <c r="B363" s="608" t="s">
        <v>190</v>
      </c>
      <c r="C363" s="609">
        <v>2021</v>
      </c>
      <c r="D363" s="977">
        <v>87332.983999999997</v>
      </c>
      <c r="E363" s="63">
        <f>D363*'16-PlantAdditions'!$E$103</f>
        <v>6549.9737999999998</v>
      </c>
      <c r="F363" s="63">
        <f t="shared" si="94"/>
        <v>93882.957800000004</v>
      </c>
      <c r="G363" s="977">
        <v>0</v>
      </c>
      <c r="H363" s="977">
        <v>0</v>
      </c>
      <c r="I363" s="63">
        <f>(G363-H363)*'16-PlantAdditions'!$E$103</f>
        <v>0</v>
      </c>
      <c r="J363" s="63">
        <f t="shared" si="95"/>
        <v>24852449.7333</v>
      </c>
      <c r="K363" s="63">
        <f t="shared" si="96"/>
        <v>1034050.373300001</v>
      </c>
    </row>
    <row r="364" spans="1:11" s="645" customFormat="1" ht="13">
      <c r="A364" s="109">
        <f t="shared" si="93"/>
        <v>275</v>
      </c>
      <c r="B364" s="608" t="s">
        <v>180</v>
      </c>
      <c r="C364" s="609">
        <v>2021</v>
      </c>
      <c r="D364" s="977">
        <v>86092.676000000007</v>
      </c>
      <c r="E364" s="63">
        <f>D364*'16-PlantAdditions'!$E$103</f>
        <v>6456.9507000000003</v>
      </c>
      <c r="F364" s="63">
        <f t="shared" si="94"/>
        <v>92549.626700000008</v>
      </c>
      <c r="G364" s="977">
        <v>0</v>
      </c>
      <c r="H364" s="977">
        <v>0</v>
      </c>
      <c r="I364" s="63">
        <f>(G364-H364)*'16-PlantAdditions'!$E$103</f>
        <v>0</v>
      </c>
      <c r="J364" s="63">
        <f t="shared" si="95"/>
        <v>24944999.359999999</v>
      </c>
      <c r="K364" s="63">
        <f t="shared" si="96"/>
        <v>1126600</v>
      </c>
    </row>
    <row r="365" spans="1:11" s="645" customFormat="1" ht="13">
      <c r="A365" s="109">
        <f t="shared" si="93"/>
        <v>276</v>
      </c>
      <c r="B365" s="608" t="s">
        <v>181</v>
      </c>
      <c r="C365" s="609">
        <v>2022</v>
      </c>
      <c r="D365" s="977">
        <v>69866.492000000013</v>
      </c>
      <c r="E365" s="63">
        <f>D365*'16-PlantAdditions'!$E$103</f>
        <v>5239.9869000000008</v>
      </c>
      <c r="F365" s="63">
        <f t="shared" si="94"/>
        <v>75106.478900000016</v>
      </c>
      <c r="G365" s="977">
        <v>0</v>
      </c>
      <c r="H365" s="977">
        <v>0</v>
      </c>
      <c r="I365" s="63">
        <f>(G365-H365)*'16-PlantAdditions'!$E$103</f>
        <v>0</v>
      </c>
      <c r="J365" s="63">
        <f t="shared" si="95"/>
        <v>25020105.8389</v>
      </c>
      <c r="K365" s="63">
        <f t="shared" si="96"/>
        <v>1201706.4789000005</v>
      </c>
    </row>
    <row r="366" spans="1:11" s="645" customFormat="1" ht="13">
      <c r="A366" s="109">
        <f t="shared" si="93"/>
        <v>277</v>
      </c>
      <c r="B366" s="611" t="s">
        <v>182</v>
      </c>
      <c r="C366" s="609">
        <v>2022</v>
      </c>
      <c r="D366" s="977">
        <v>69866.492000000013</v>
      </c>
      <c r="E366" s="63">
        <f>D366*'16-PlantAdditions'!$E$103</f>
        <v>5239.9869000000008</v>
      </c>
      <c r="F366" s="63">
        <f t="shared" si="94"/>
        <v>75106.478900000016</v>
      </c>
      <c r="G366" s="977">
        <v>0</v>
      </c>
      <c r="H366" s="977">
        <v>0</v>
      </c>
      <c r="I366" s="63">
        <f>(G366-H366)*'16-PlantAdditions'!$E$103</f>
        <v>0</v>
      </c>
      <c r="J366" s="63">
        <f t="shared" si="95"/>
        <v>25095212.3178</v>
      </c>
      <c r="K366" s="63">
        <f t="shared" si="96"/>
        <v>1276812.9578000009</v>
      </c>
    </row>
    <row r="367" spans="1:11" s="645" customFormat="1" ht="13">
      <c r="A367" s="109">
        <f t="shared" si="93"/>
        <v>278</v>
      </c>
      <c r="B367" s="611" t="s">
        <v>195</v>
      </c>
      <c r="C367" s="609">
        <v>2022</v>
      </c>
      <c r="D367" s="977">
        <v>69866.492000000013</v>
      </c>
      <c r="E367" s="63">
        <f>D367*'16-PlantAdditions'!$E$103</f>
        <v>5239.9869000000008</v>
      </c>
      <c r="F367" s="63">
        <f t="shared" si="94"/>
        <v>75106.478900000016</v>
      </c>
      <c r="G367" s="977">
        <v>0</v>
      </c>
      <c r="H367" s="977">
        <v>0</v>
      </c>
      <c r="I367" s="63">
        <f>(G367-H367)*'16-PlantAdditions'!$E$103</f>
        <v>0</v>
      </c>
      <c r="J367" s="63">
        <f t="shared" si="95"/>
        <v>25170318.796700001</v>
      </c>
      <c r="K367" s="63">
        <f t="shared" si="96"/>
        <v>1351919.4367000014</v>
      </c>
    </row>
    <row r="368" spans="1:11" s="645" customFormat="1" ht="13">
      <c r="A368" s="109">
        <f t="shared" si="93"/>
        <v>279</v>
      </c>
      <c r="B368" s="608" t="s">
        <v>183</v>
      </c>
      <c r="C368" s="609">
        <v>2022</v>
      </c>
      <c r="D368" s="977">
        <v>69866.492000000013</v>
      </c>
      <c r="E368" s="63">
        <f>D368*'16-PlantAdditions'!$E$103</f>
        <v>5239.9869000000008</v>
      </c>
      <c r="F368" s="63">
        <f t="shared" si="94"/>
        <v>75106.478900000016</v>
      </c>
      <c r="G368" s="977">
        <v>0</v>
      </c>
      <c r="H368" s="977">
        <v>0</v>
      </c>
      <c r="I368" s="63">
        <f>(G368-H368)*'16-PlantAdditions'!$E$103</f>
        <v>0</v>
      </c>
      <c r="J368" s="63">
        <f t="shared" si="95"/>
        <v>25245425.275600001</v>
      </c>
      <c r="K368" s="63">
        <f t="shared" si="96"/>
        <v>1427025.9156000018</v>
      </c>
    </row>
    <row r="369" spans="1:11" s="645" customFormat="1" ht="13">
      <c r="A369" s="109">
        <f t="shared" si="93"/>
        <v>280</v>
      </c>
      <c r="B369" s="611" t="s">
        <v>184</v>
      </c>
      <c r="C369" s="609">
        <v>2022</v>
      </c>
      <c r="D369" s="977">
        <v>69866.492000000013</v>
      </c>
      <c r="E369" s="63">
        <f>D369*'16-PlantAdditions'!$E$103</f>
        <v>5239.9869000000008</v>
      </c>
      <c r="F369" s="63">
        <f t="shared" si="94"/>
        <v>75106.478900000016</v>
      </c>
      <c r="G369" s="977">
        <v>0</v>
      </c>
      <c r="H369" s="977">
        <v>0</v>
      </c>
      <c r="I369" s="63">
        <f>(G369-H369)*'16-PlantAdditions'!$E$103</f>
        <v>0</v>
      </c>
      <c r="J369" s="63">
        <f t="shared" si="95"/>
        <v>25320531.754500002</v>
      </c>
      <c r="K369" s="63">
        <f t="shared" si="96"/>
        <v>1502132.3945000023</v>
      </c>
    </row>
    <row r="370" spans="1:11" s="645" customFormat="1" ht="13">
      <c r="A370" s="109">
        <f t="shared" si="93"/>
        <v>281</v>
      </c>
      <c r="B370" s="611" t="s">
        <v>1458</v>
      </c>
      <c r="C370" s="609">
        <v>2022</v>
      </c>
      <c r="D370" s="977">
        <v>69866.492000000013</v>
      </c>
      <c r="E370" s="63">
        <f>D370*'16-PlantAdditions'!$E$103</f>
        <v>5239.9869000000008</v>
      </c>
      <c r="F370" s="63">
        <f t="shared" si="94"/>
        <v>75106.478900000016</v>
      </c>
      <c r="G370" s="977">
        <v>0</v>
      </c>
      <c r="H370" s="977">
        <v>0</v>
      </c>
      <c r="I370" s="63">
        <f>(G370-H370)*'16-PlantAdditions'!$E$103</f>
        <v>0</v>
      </c>
      <c r="J370" s="63">
        <f t="shared" si="95"/>
        <v>25395638.233400002</v>
      </c>
      <c r="K370" s="63">
        <f t="shared" si="96"/>
        <v>1577238.8734000027</v>
      </c>
    </row>
    <row r="371" spans="1:11" s="645" customFormat="1" ht="13">
      <c r="A371" s="109">
        <f t="shared" si="93"/>
        <v>282</v>
      </c>
      <c r="B371" s="608" t="s">
        <v>186</v>
      </c>
      <c r="C371" s="609">
        <v>2022</v>
      </c>
      <c r="D371" s="977">
        <v>69866.492000000013</v>
      </c>
      <c r="E371" s="63">
        <f>D371*'16-PlantAdditions'!$E$103</f>
        <v>5239.9869000000008</v>
      </c>
      <c r="F371" s="63">
        <f t="shared" si="94"/>
        <v>75106.478900000016</v>
      </c>
      <c r="G371" s="977">
        <v>0</v>
      </c>
      <c r="H371" s="977">
        <v>0</v>
      </c>
      <c r="I371" s="63">
        <f>(G371-H371)*'16-PlantAdditions'!$E$103</f>
        <v>0</v>
      </c>
      <c r="J371" s="63">
        <f t="shared" si="95"/>
        <v>25470744.712300003</v>
      </c>
      <c r="K371" s="63">
        <f t="shared" si="96"/>
        <v>1652345.3523000032</v>
      </c>
    </row>
    <row r="372" spans="1:11" s="645" customFormat="1" ht="13">
      <c r="A372" s="109">
        <f t="shared" si="93"/>
        <v>283</v>
      </c>
      <c r="B372" s="611" t="s">
        <v>187</v>
      </c>
      <c r="C372" s="609">
        <v>2022</v>
      </c>
      <c r="D372" s="977">
        <v>69866.492000000013</v>
      </c>
      <c r="E372" s="63">
        <f>D372*'16-PlantAdditions'!$E$103</f>
        <v>5239.9869000000008</v>
      </c>
      <c r="F372" s="63">
        <f t="shared" si="94"/>
        <v>75106.478900000016</v>
      </c>
      <c r="G372" s="977">
        <v>0</v>
      </c>
      <c r="H372" s="977">
        <v>0</v>
      </c>
      <c r="I372" s="63">
        <f>(G372-H372)*'16-PlantAdditions'!$E$103</f>
        <v>0</v>
      </c>
      <c r="J372" s="63">
        <f t="shared" si="95"/>
        <v>25545851.191200003</v>
      </c>
      <c r="K372" s="63">
        <f t="shared" si="96"/>
        <v>1727451.8312000036</v>
      </c>
    </row>
    <row r="373" spans="1:11" s="645" customFormat="1" ht="13">
      <c r="A373" s="109">
        <f t="shared" si="93"/>
        <v>284</v>
      </c>
      <c r="B373" s="611" t="s">
        <v>188</v>
      </c>
      <c r="C373" s="609">
        <v>2022</v>
      </c>
      <c r="D373" s="977">
        <v>69866.492000000013</v>
      </c>
      <c r="E373" s="63">
        <f>D373*'16-PlantAdditions'!$E$103</f>
        <v>5239.9869000000008</v>
      </c>
      <c r="F373" s="63">
        <f t="shared" si="94"/>
        <v>75106.478900000016</v>
      </c>
      <c r="G373" s="977">
        <v>0</v>
      </c>
      <c r="H373" s="977">
        <v>0</v>
      </c>
      <c r="I373" s="63">
        <f>(G373-H373)*'16-PlantAdditions'!$E$103</f>
        <v>0</v>
      </c>
      <c r="J373" s="63">
        <f t="shared" si="95"/>
        <v>25620957.670100003</v>
      </c>
      <c r="K373" s="63">
        <f t="shared" si="96"/>
        <v>1802558.3101000041</v>
      </c>
    </row>
    <row r="374" spans="1:11" s="645" customFormat="1" ht="13">
      <c r="A374" s="109">
        <f t="shared" si="93"/>
        <v>285</v>
      </c>
      <c r="B374" s="611" t="s">
        <v>191</v>
      </c>
      <c r="C374" s="609">
        <v>2022</v>
      </c>
      <c r="D374" s="977">
        <v>69866.492000000013</v>
      </c>
      <c r="E374" s="63">
        <f>D374*'16-PlantAdditions'!$E$103</f>
        <v>5239.9869000000008</v>
      </c>
      <c r="F374" s="63">
        <f t="shared" ref="F374:F376" si="97">E374+D374</f>
        <v>75106.478900000016</v>
      </c>
      <c r="G374" s="977">
        <v>0</v>
      </c>
      <c r="H374" s="977">
        <v>0</v>
      </c>
      <c r="I374" s="63">
        <f>(G374-H374)*'16-PlantAdditions'!$E$103</f>
        <v>0</v>
      </c>
      <c r="J374" s="63">
        <f t="shared" ref="J374:J376" si="98">J373+F374-G374-I374</f>
        <v>25696064.149000004</v>
      </c>
      <c r="K374" s="63">
        <f t="shared" si="96"/>
        <v>1877664.7890000045</v>
      </c>
    </row>
    <row r="375" spans="1:11" s="645" customFormat="1" ht="13">
      <c r="A375" s="109">
        <f t="shared" si="93"/>
        <v>286</v>
      </c>
      <c r="B375" s="611" t="s">
        <v>190</v>
      </c>
      <c r="C375" s="609">
        <v>2022</v>
      </c>
      <c r="D375" s="977">
        <v>69866.492000000013</v>
      </c>
      <c r="E375" s="63">
        <f>D375*'16-PlantAdditions'!$E$103</f>
        <v>5239.9869000000008</v>
      </c>
      <c r="F375" s="63">
        <f t="shared" si="97"/>
        <v>75106.478900000016</v>
      </c>
      <c r="G375" s="977">
        <v>0</v>
      </c>
      <c r="H375" s="977">
        <v>0</v>
      </c>
      <c r="I375" s="63">
        <f>(G375-H375)*'16-PlantAdditions'!$E$103</f>
        <v>0</v>
      </c>
      <c r="J375" s="63">
        <f t="shared" si="98"/>
        <v>25771170.627900004</v>
      </c>
      <c r="K375" s="63">
        <f t="shared" si="96"/>
        <v>1952771.267900005</v>
      </c>
    </row>
    <row r="376" spans="1:11" s="645" customFormat="1" ht="13">
      <c r="A376" s="109">
        <f t="shared" si="93"/>
        <v>287</v>
      </c>
      <c r="B376" s="611" t="s">
        <v>180</v>
      </c>
      <c r="C376" s="609">
        <v>2022</v>
      </c>
      <c r="D376" s="977">
        <v>69868.588000000003</v>
      </c>
      <c r="E376" s="63">
        <f>D376*'16-PlantAdditions'!$E$103</f>
        <v>5240.1441000000004</v>
      </c>
      <c r="F376" s="63">
        <f t="shared" si="97"/>
        <v>75108.732100000008</v>
      </c>
      <c r="G376" s="977">
        <v>0</v>
      </c>
      <c r="H376" s="977">
        <v>0</v>
      </c>
      <c r="I376" s="63">
        <f>(G376-H376)*'16-PlantAdditions'!$E$103</f>
        <v>0</v>
      </c>
      <c r="J376" s="63">
        <f t="shared" si="98"/>
        <v>25846279.360000003</v>
      </c>
      <c r="K376" s="777">
        <f t="shared" si="96"/>
        <v>2027880.0000000037</v>
      </c>
    </row>
    <row r="377" spans="1:11" s="645" customFormat="1" ht="13">
      <c r="A377" s="109">
        <f t="shared" si="93"/>
        <v>288</v>
      </c>
      <c r="B377"/>
      <c r="C377" s="644" t="s">
        <v>1603</v>
      </c>
      <c r="D377"/>
      <c r="E377"/>
      <c r="F377"/>
      <c r="G377"/>
      <c r="H377"/>
      <c r="I377"/>
      <c r="J377"/>
      <c r="K377" s="73">
        <f>AVERAGE(K364:K376)</f>
        <v>1577239.0467230794</v>
      </c>
    </row>
    <row r="378" spans="1:11" s="645" customFormat="1" ht="13">
      <c r="A378" s="109"/>
      <c r="B378"/>
      <c r="C378" s="644"/>
      <c r="D378"/>
      <c r="E378"/>
      <c r="F378"/>
      <c r="G378"/>
      <c r="H378"/>
      <c r="I378"/>
      <c r="J378"/>
      <c r="K378" s="73"/>
    </row>
    <row r="379" spans="1:11" s="645" customFormat="1" ht="13">
      <c r="B379" s="646" t="s">
        <v>1939</v>
      </c>
      <c r="D379" s="1514" t="s">
        <v>2734</v>
      </c>
      <c r="E379" s="1514"/>
      <c r="F379" s="1515"/>
      <c r="G379" s="1515"/>
    </row>
    <row r="380" spans="1:11" s="645" customFormat="1" ht="13">
      <c r="A380" s="640"/>
      <c r="B380" s="640"/>
      <c r="C380" s="640"/>
      <c r="D380" s="640" t="s">
        <v>358</v>
      </c>
      <c r="E380" s="640" t="s">
        <v>342</v>
      </c>
      <c r="F380" s="640" t="s">
        <v>343</v>
      </c>
      <c r="G380" s="640" t="s">
        <v>344</v>
      </c>
      <c r="H380" s="640" t="s">
        <v>345</v>
      </c>
      <c r="I380" s="640" t="s">
        <v>346</v>
      </c>
      <c r="J380" s="640" t="s">
        <v>347</v>
      </c>
      <c r="K380" s="640" t="s">
        <v>534</v>
      </c>
    </row>
    <row r="381" spans="1:11" s="645" customFormat="1" ht="38">
      <c r="D381" s="647"/>
      <c r="E381" s="648" t="s">
        <v>2061</v>
      </c>
      <c r="F381" s="649" t="s">
        <v>1927</v>
      </c>
      <c r="G381" s="525"/>
      <c r="H381" s="647"/>
      <c r="I381" s="648" t="s">
        <v>2062</v>
      </c>
      <c r="J381" s="648" t="s">
        <v>1928</v>
      </c>
      <c r="K381" s="648" t="s">
        <v>1929</v>
      </c>
    </row>
    <row r="382" spans="1:11" s="645" customFormat="1" ht="13">
      <c r="D382" s="647"/>
      <c r="E382" s="648"/>
      <c r="F382" s="649"/>
      <c r="G382" s="854" t="str">
        <f>G51</f>
        <v>Unloaded</v>
      </c>
      <c r="H382" s="647"/>
      <c r="I382" s="648"/>
      <c r="J382" s="648"/>
      <c r="K382" s="648"/>
    </row>
    <row r="383" spans="1:11" s="645" customFormat="1" ht="13">
      <c r="A383" s="642"/>
      <c r="B383" s="642"/>
      <c r="C383" s="642"/>
      <c r="D383" s="642" t="str">
        <f>D$52</f>
        <v>Forecast</v>
      </c>
      <c r="E383" s="642" t="str">
        <f t="shared" ref="E383:J383" si="99">E$52</f>
        <v>Corporate</v>
      </c>
      <c r="F383" s="642" t="str">
        <f t="shared" si="99"/>
        <v xml:space="preserve">Total </v>
      </c>
      <c r="G383" s="4" t="str">
        <f>G52</f>
        <v>Total</v>
      </c>
      <c r="H383" s="642" t="str">
        <f t="shared" si="99"/>
        <v>Prior Period</v>
      </c>
      <c r="I383" s="642" t="str">
        <f t="shared" si="99"/>
        <v>Over Heads</v>
      </c>
      <c r="J383" s="642" t="str">
        <f t="shared" si="99"/>
        <v>Forecast</v>
      </c>
      <c r="K383" s="642" t="str">
        <f>K$52</f>
        <v>Forecast Period</v>
      </c>
    </row>
    <row r="384" spans="1:11" s="645" customFormat="1" ht="13">
      <c r="A384" s="833" t="s">
        <v>329</v>
      </c>
      <c r="B384" s="607" t="s">
        <v>192</v>
      </c>
      <c r="C384" s="607" t="s">
        <v>193</v>
      </c>
      <c r="D384" s="640" t="str">
        <f>D$53</f>
        <v>Expenditures</v>
      </c>
      <c r="E384" s="640" t="str">
        <f t="shared" ref="E384:J384" si="100">E$53</f>
        <v>Overheads</v>
      </c>
      <c r="F384" s="640" t="str">
        <f t="shared" si="100"/>
        <v>CWIP Exp</v>
      </c>
      <c r="G384" s="84" t="str">
        <f>G53</f>
        <v>Plant Adds</v>
      </c>
      <c r="H384" s="640" t="str">
        <f t="shared" si="100"/>
        <v>CWIP Closed</v>
      </c>
      <c r="I384" s="640" t="str">
        <f t="shared" si="100"/>
        <v>Closed to PIS</v>
      </c>
      <c r="J384" s="640" t="str">
        <f t="shared" si="100"/>
        <v>Period CWIP</v>
      </c>
      <c r="K384" s="640" t="str">
        <f>K$53</f>
        <v>Incremental CWIP</v>
      </c>
    </row>
    <row r="385" spans="1:11" s="645" customFormat="1" ht="13">
      <c r="A385" s="109">
        <f>A377+1</f>
        <v>289</v>
      </c>
      <c r="B385" s="608" t="s">
        <v>180</v>
      </c>
      <c r="C385" s="609">
        <v>2020</v>
      </c>
      <c r="D385" s="649" t="s">
        <v>76</v>
      </c>
      <c r="E385" s="649" t="s">
        <v>76</v>
      </c>
      <c r="F385" s="649" t="s">
        <v>76</v>
      </c>
      <c r="G385" s="649" t="s">
        <v>76</v>
      </c>
      <c r="H385" s="649" t="s">
        <v>76</v>
      </c>
      <c r="I385" s="649" t="s">
        <v>76</v>
      </c>
      <c r="J385" s="63">
        <f>H45</f>
        <v>134608216.12</v>
      </c>
      <c r="K385" s="649" t="s">
        <v>76</v>
      </c>
    </row>
    <row r="386" spans="1:11" s="645" customFormat="1" ht="13">
      <c r="A386" s="109">
        <f>A385+1</f>
        <v>290</v>
      </c>
      <c r="B386" s="608" t="s">
        <v>181</v>
      </c>
      <c r="C386" s="609">
        <v>2021</v>
      </c>
      <c r="D386" s="106">
        <v>2219779</v>
      </c>
      <c r="E386" s="63">
        <f>D386*'16-PlantAdditions'!$E$103</f>
        <v>166483.42499999999</v>
      </c>
      <c r="F386" s="63">
        <f>E386+D386</f>
        <v>2386262.4249999998</v>
      </c>
      <c r="G386" s="977">
        <v>0</v>
      </c>
      <c r="H386" s="977">
        <v>0</v>
      </c>
      <c r="I386" s="63">
        <f>(G386-H386)*'16-PlantAdditions'!$E$103</f>
        <v>0</v>
      </c>
      <c r="J386" s="63">
        <f>J385+F386-G386-I386</f>
        <v>136994478.54500002</v>
      </c>
      <c r="K386" s="63">
        <f>J386-$J$385</f>
        <v>2386262.4250000119</v>
      </c>
    </row>
    <row r="387" spans="1:11" s="645" customFormat="1" ht="13">
      <c r="A387" s="109">
        <f t="shared" ref="A387:A410" si="101">A386+1</f>
        <v>291</v>
      </c>
      <c r="B387" s="611" t="s">
        <v>182</v>
      </c>
      <c r="C387" s="609">
        <v>2021</v>
      </c>
      <c r="D387" s="977">
        <v>2888591</v>
      </c>
      <c r="E387" s="63">
        <f>D387*'16-PlantAdditions'!$E$103</f>
        <v>216644.32499999998</v>
      </c>
      <c r="F387" s="63">
        <f>E387+D387</f>
        <v>3105235.3250000002</v>
      </c>
      <c r="G387" s="977">
        <v>0</v>
      </c>
      <c r="H387" s="977">
        <v>0</v>
      </c>
      <c r="I387" s="63">
        <f>(G387-H387)*'16-PlantAdditions'!$E$103</f>
        <v>0</v>
      </c>
      <c r="J387" s="63">
        <f>J386+F387-G387-I387</f>
        <v>140099713.87</v>
      </c>
      <c r="K387" s="63">
        <f t="shared" ref="K387:K409" si="102">J387-$J$385</f>
        <v>5491497.75</v>
      </c>
    </row>
    <row r="388" spans="1:11" s="645" customFormat="1" ht="13">
      <c r="A388" s="109">
        <f t="shared" si="101"/>
        <v>292</v>
      </c>
      <c r="B388" s="611" t="s">
        <v>195</v>
      </c>
      <c r="C388" s="609">
        <v>2021</v>
      </c>
      <c r="D388" s="977">
        <v>2140707</v>
      </c>
      <c r="E388" s="63">
        <f>D388*'16-PlantAdditions'!$E$103</f>
        <v>160553.02499999999</v>
      </c>
      <c r="F388" s="63">
        <f t="shared" ref="F388:F406" si="103">E388+D388</f>
        <v>2301260.0249999999</v>
      </c>
      <c r="G388" s="977">
        <v>0</v>
      </c>
      <c r="H388" s="977">
        <v>0</v>
      </c>
      <c r="I388" s="63">
        <f>(G388-H388)*'16-PlantAdditions'!$E$103</f>
        <v>0</v>
      </c>
      <c r="J388" s="63">
        <f t="shared" ref="J388:J406" si="104">J387+F388-G388-I388</f>
        <v>142400973.89500001</v>
      </c>
      <c r="K388" s="63">
        <f t="shared" si="102"/>
        <v>7792757.775000006</v>
      </c>
    </row>
    <row r="389" spans="1:11" s="645" customFormat="1" ht="13">
      <c r="A389" s="109">
        <f t="shared" si="101"/>
        <v>293</v>
      </c>
      <c r="B389" s="608" t="s">
        <v>183</v>
      </c>
      <c r="C389" s="609">
        <v>2021</v>
      </c>
      <c r="D389" s="977">
        <v>5988000</v>
      </c>
      <c r="E389" s="63">
        <f>D389*'16-PlantAdditions'!$E$103</f>
        <v>449100</v>
      </c>
      <c r="F389" s="63">
        <f t="shared" si="103"/>
        <v>6437100</v>
      </c>
      <c r="G389" s="977">
        <v>25083633.900000002</v>
      </c>
      <c r="H389" s="977">
        <v>22566341.899999999</v>
      </c>
      <c r="I389" s="63">
        <f>(G389-H389)*'16-PlantAdditions'!$E$103</f>
        <v>188796.90000000029</v>
      </c>
      <c r="J389" s="63">
        <f t="shared" si="104"/>
        <v>123565643.095</v>
      </c>
      <c r="K389" s="63">
        <f t="shared" si="102"/>
        <v>-11042573.025000006</v>
      </c>
    </row>
    <row r="390" spans="1:11" s="645" customFormat="1" ht="13">
      <c r="A390" s="109">
        <f t="shared" si="101"/>
        <v>294</v>
      </c>
      <c r="B390" s="611" t="s">
        <v>184</v>
      </c>
      <c r="C390" s="609">
        <v>2021</v>
      </c>
      <c r="D390" s="977">
        <v>3826000</v>
      </c>
      <c r="E390" s="63">
        <f>D390*'16-PlantAdditions'!$E$103</f>
        <v>286950</v>
      </c>
      <c r="F390" s="63">
        <f t="shared" si="103"/>
        <v>4112950</v>
      </c>
      <c r="G390" s="977">
        <v>903000</v>
      </c>
      <c r="H390" s="977">
        <v>0</v>
      </c>
      <c r="I390" s="63">
        <f>(G390-H390)*'16-PlantAdditions'!$E$103</f>
        <v>67725</v>
      </c>
      <c r="J390" s="63">
        <f t="shared" si="104"/>
        <v>126707868.095</v>
      </c>
      <c r="K390" s="63">
        <f t="shared" si="102"/>
        <v>-7900348.025000006</v>
      </c>
    </row>
    <row r="391" spans="1:11" s="645" customFormat="1" ht="13">
      <c r="A391" s="109">
        <f t="shared" si="101"/>
        <v>295</v>
      </c>
      <c r="B391" s="611" t="s">
        <v>1458</v>
      </c>
      <c r="C391" s="609">
        <v>2021</v>
      </c>
      <c r="D391" s="977">
        <v>2724000</v>
      </c>
      <c r="E391" s="63">
        <f>D391*'16-PlantAdditions'!$E$103</f>
        <v>204300</v>
      </c>
      <c r="F391" s="63">
        <f t="shared" si="103"/>
        <v>2928300</v>
      </c>
      <c r="G391" s="977">
        <v>768000</v>
      </c>
      <c r="H391" s="977">
        <v>0</v>
      </c>
      <c r="I391" s="63">
        <f>(G391-H391)*'16-PlantAdditions'!$E$103</f>
        <v>57600</v>
      </c>
      <c r="J391" s="63">
        <f t="shared" si="104"/>
        <v>128810568.095</v>
      </c>
      <c r="K391" s="63">
        <f t="shared" si="102"/>
        <v>-5797648.025000006</v>
      </c>
    </row>
    <row r="392" spans="1:11" s="645" customFormat="1" ht="13">
      <c r="A392" s="109">
        <f t="shared" si="101"/>
        <v>296</v>
      </c>
      <c r="B392" s="608" t="s">
        <v>186</v>
      </c>
      <c r="C392" s="609">
        <v>2021</v>
      </c>
      <c r="D392" s="977">
        <v>2657000</v>
      </c>
      <c r="E392" s="63">
        <f>D392*'16-PlantAdditions'!$E$103</f>
        <v>199275</v>
      </c>
      <c r="F392" s="63">
        <f t="shared" si="103"/>
        <v>2856275</v>
      </c>
      <c r="G392" s="977">
        <v>535000</v>
      </c>
      <c r="H392" s="977">
        <v>0</v>
      </c>
      <c r="I392" s="63">
        <f>(G392-H392)*'16-PlantAdditions'!$E$103</f>
        <v>40125</v>
      </c>
      <c r="J392" s="63">
        <f t="shared" si="104"/>
        <v>131091718.095</v>
      </c>
      <c r="K392" s="63">
        <f t="shared" si="102"/>
        <v>-3516498.025000006</v>
      </c>
    </row>
    <row r="393" spans="1:11" s="645" customFormat="1" ht="13">
      <c r="A393" s="109">
        <f t="shared" si="101"/>
        <v>297</v>
      </c>
      <c r="B393" s="611" t="s">
        <v>187</v>
      </c>
      <c r="C393" s="609">
        <v>2021</v>
      </c>
      <c r="D393" s="977">
        <v>2361000</v>
      </c>
      <c r="E393" s="63">
        <f>D393*'16-PlantAdditions'!$E$103</f>
        <v>177075</v>
      </c>
      <c r="F393" s="63">
        <f t="shared" si="103"/>
        <v>2538075</v>
      </c>
      <c r="G393" s="977">
        <v>293000</v>
      </c>
      <c r="H393" s="977">
        <v>0</v>
      </c>
      <c r="I393" s="63">
        <f>(G393-H393)*'16-PlantAdditions'!$E$103</f>
        <v>21975</v>
      </c>
      <c r="J393" s="63">
        <f t="shared" si="104"/>
        <v>133314818.095</v>
      </c>
      <c r="K393" s="63">
        <f t="shared" si="102"/>
        <v>-1293398.025000006</v>
      </c>
    </row>
    <row r="394" spans="1:11" s="645" customFormat="1" ht="13">
      <c r="A394" s="109">
        <f t="shared" si="101"/>
        <v>298</v>
      </c>
      <c r="B394" s="611" t="s">
        <v>188</v>
      </c>
      <c r="C394" s="609">
        <v>2021</v>
      </c>
      <c r="D394" s="977">
        <v>1948000</v>
      </c>
      <c r="E394" s="63">
        <f>D394*'16-PlantAdditions'!$E$103</f>
        <v>146100</v>
      </c>
      <c r="F394" s="63">
        <f t="shared" si="103"/>
        <v>2094100</v>
      </c>
      <c r="G394" s="977">
        <v>293000</v>
      </c>
      <c r="H394" s="977">
        <v>0</v>
      </c>
      <c r="I394" s="63">
        <f>(G394-H394)*'16-PlantAdditions'!$E$103</f>
        <v>21975</v>
      </c>
      <c r="J394" s="63">
        <f t="shared" si="104"/>
        <v>135093943.095</v>
      </c>
      <c r="K394" s="63">
        <f t="shared" si="102"/>
        <v>485726.97499999404</v>
      </c>
    </row>
    <row r="395" spans="1:11" s="645" customFormat="1" ht="13">
      <c r="A395" s="109">
        <f t="shared" si="101"/>
        <v>299</v>
      </c>
      <c r="B395" s="608" t="s">
        <v>191</v>
      </c>
      <c r="C395" s="609">
        <v>2021</v>
      </c>
      <c r="D395" s="977">
        <v>2383000</v>
      </c>
      <c r="E395" s="63">
        <f>D395*'16-PlantAdditions'!$E$103</f>
        <v>178725</v>
      </c>
      <c r="F395" s="63">
        <f t="shared" si="103"/>
        <v>2561725</v>
      </c>
      <c r="G395" s="977">
        <v>591000</v>
      </c>
      <c r="H395" s="977">
        <v>0</v>
      </c>
      <c r="I395" s="63">
        <f>(G395-H395)*'16-PlantAdditions'!$E$103</f>
        <v>44325</v>
      </c>
      <c r="J395" s="63">
        <f t="shared" si="104"/>
        <v>137020343.095</v>
      </c>
      <c r="K395" s="63">
        <f t="shared" si="102"/>
        <v>2412126.974999994</v>
      </c>
    </row>
    <row r="396" spans="1:11" s="645" customFormat="1" ht="13">
      <c r="A396" s="109">
        <f t="shared" si="101"/>
        <v>300</v>
      </c>
      <c r="B396" s="608" t="s">
        <v>190</v>
      </c>
      <c r="C396" s="609">
        <v>2021</v>
      </c>
      <c r="D396" s="977">
        <v>2310000</v>
      </c>
      <c r="E396" s="63">
        <f>D396*'16-PlantAdditions'!$E$103</f>
        <v>173250</v>
      </c>
      <c r="F396" s="63">
        <f t="shared" si="103"/>
        <v>2483250</v>
      </c>
      <c r="G396" s="977">
        <v>30818312.820000004</v>
      </c>
      <c r="H396" s="977">
        <v>25939022.82</v>
      </c>
      <c r="I396" s="63">
        <f>(G396-H396)*'16-PlantAdditions'!$E$103</f>
        <v>365946.75000000029</v>
      </c>
      <c r="J396" s="63">
        <f t="shared" si="104"/>
        <v>108319333.52499999</v>
      </c>
      <c r="K396" s="63">
        <f t="shared" si="102"/>
        <v>-26288882.595000014</v>
      </c>
    </row>
    <row r="397" spans="1:11" s="645" customFormat="1" ht="13">
      <c r="A397" s="109">
        <f t="shared" si="101"/>
        <v>301</v>
      </c>
      <c r="B397" s="608" t="s">
        <v>180</v>
      </c>
      <c r="C397" s="609">
        <v>2021</v>
      </c>
      <c r="D397" s="977">
        <v>5557923</v>
      </c>
      <c r="E397" s="63">
        <f>D397*'16-PlantAdditions'!$E$103</f>
        <v>416844.22499999998</v>
      </c>
      <c r="F397" s="63">
        <f t="shared" si="103"/>
        <v>5974767.2249999996</v>
      </c>
      <c r="G397" s="977">
        <v>2471694.54</v>
      </c>
      <c r="H397" s="977">
        <v>804276.54</v>
      </c>
      <c r="I397" s="63">
        <f>(G397-H397)*'16-PlantAdditions'!$E$103</f>
        <v>125056.34999999999</v>
      </c>
      <c r="J397" s="63">
        <f t="shared" si="104"/>
        <v>111697349.85999998</v>
      </c>
      <c r="K397" s="63">
        <f t="shared" si="102"/>
        <v>-22910866.26000002</v>
      </c>
    </row>
    <row r="398" spans="1:11" s="645" customFormat="1" ht="13">
      <c r="A398" s="109">
        <f t="shared" si="101"/>
        <v>302</v>
      </c>
      <c r="B398" s="608" t="s">
        <v>181</v>
      </c>
      <c r="C398" s="609">
        <v>2022</v>
      </c>
      <c r="D398" s="977">
        <v>1788000</v>
      </c>
      <c r="E398" s="63">
        <f>D398*'16-PlantAdditions'!$E$103</f>
        <v>134100</v>
      </c>
      <c r="F398" s="63">
        <f t="shared" si="103"/>
        <v>1922100</v>
      </c>
      <c r="G398" s="977">
        <v>28318379.440000001</v>
      </c>
      <c r="H398" s="977">
        <v>21197379.440000001</v>
      </c>
      <c r="I398" s="63">
        <f>(G398-H398)*'16-PlantAdditions'!$E$103</f>
        <v>534075</v>
      </c>
      <c r="J398" s="63">
        <f t="shared" si="104"/>
        <v>84766995.419999987</v>
      </c>
      <c r="K398" s="63">
        <f t="shared" si="102"/>
        <v>-49841220.700000018</v>
      </c>
    </row>
    <row r="399" spans="1:11" s="645" customFormat="1" ht="13">
      <c r="A399" s="109">
        <f t="shared" si="101"/>
        <v>303</v>
      </c>
      <c r="B399" s="611" t="s">
        <v>182</v>
      </c>
      <c r="C399" s="609">
        <v>2022</v>
      </c>
      <c r="D399" s="977">
        <v>2740000</v>
      </c>
      <c r="E399" s="63">
        <f>D399*'16-PlantAdditions'!$E$103</f>
        <v>205500</v>
      </c>
      <c r="F399" s="63">
        <f t="shared" si="103"/>
        <v>2945500</v>
      </c>
      <c r="G399" s="977">
        <v>1783000</v>
      </c>
      <c r="H399" s="977">
        <v>0</v>
      </c>
      <c r="I399" s="63">
        <f>(G399-H399)*'16-PlantAdditions'!$E$103</f>
        <v>133725</v>
      </c>
      <c r="J399" s="63">
        <f t="shared" si="104"/>
        <v>85795770.419999987</v>
      </c>
      <c r="K399" s="63">
        <f t="shared" si="102"/>
        <v>-48812445.700000018</v>
      </c>
    </row>
    <row r="400" spans="1:11" s="645" customFormat="1" ht="13">
      <c r="A400" s="109">
        <f t="shared" si="101"/>
        <v>304</v>
      </c>
      <c r="B400" s="611" t="s">
        <v>195</v>
      </c>
      <c r="C400" s="609">
        <v>2022</v>
      </c>
      <c r="D400" s="977">
        <v>2842000</v>
      </c>
      <c r="E400" s="63">
        <f>D400*'16-PlantAdditions'!$E$103</f>
        <v>213150</v>
      </c>
      <c r="F400" s="63">
        <f t="shared" si="103"/>
        <v>3055150</v>
      </c>
      <c r="G400" s="977">
        <v>1412000</v>
      </c>
      <c r="H400" s="977">
        <v>0</v>
      </c>
      <c r="I400" s="63">
        <f>(G400-H400)*'16-PlantAdditions'!$E$103</f>
        <v>105900</v>
      </c>
      <c r="J400" s="63">
        <f t="shared" si="104"/>
        <v>87333020.419999987</v>
      </c>
      <c r="K400" s="63">
        <f t="shared" si="102"/>
        <v>-47275195.700000018</v>
      </c>
    </row>
    <row r="401" spans="1:11" s="645" customFormat="1" ht="13">
      <c r="A401" s="109">
        <f t="shared" si="101"/>
        <v>305</v>
      </c>
      <c r="B401" s="608" t="s">
        <v>183</v>
      </c>
      <c r="C401" s="609">
        <v>2022</v>
      </c>
      <c r="D401" s="977">
        <v>4179000</v>
      </c>
      <c r="E401" s="63">
        <f>D401*'16-PlantAdditions'!$E$103</f>
        <v>313425</v>
      </c>
      <c r="F401" s="63">
        <f t="shared" si="103"/>
        <v>4492425</v>
      </c>
      <c r="G401" s="977">
        <v>1878000</v>
      </c>
      <c r="H401" s="977">
        <v>0</v>
      </c>
      <c r="I401" s="63">
        <f>(G401-H401)*'16-PlantAdditions'!$E$103</f>
        <v>140850</v>
      </c>
      <c r="J401" s="63">
        <f t="shared" si="104"/>
        <v>89806595.419999987</v>
      </c>
      <c r="K401" s="63">
        <f t="shared" si="102"/>
        <v>-44801620.700000018</v>
      </c>
    </row>
    <row r="402" spans="1:11" s="645" customFormat="1" ht="13">
      <c r="A402" s="109">
        <f t="shared" si="101"/>
        <v>306</v>
      </c>
      <c r="B402" s="611" t="s">
        <v>184</v>
      </c>
      <c r="C402" s="609">
        <v>2022</v>
      </c>
      <c r="D402" s="977">
        <v>4108000</v>
      </c>
      <c r="E402" s="63">
        <f>D402*'16-PlantAdditions'!$E$103</f>
        <v>308100</v>
      </c>
      <c r="F402" s="63">
        <f t="shared" si="103"/>
        <v>4416100</v>
      </c>
      <c r="G402" s="977">
        <v>30194277.760000002</v>
      </c>
      <c r="H402" s="977">
        <v>22955277.760000002</v>
      </c>
      <c r="I402" s="63">
        <f>(G402-H402)*'16-PlantAdditions'!$E$103</f>
        <v>542925</v>
      </c>
      <c r="J402" s="63">
        <f t="shared" si="104"/>
        <v>63485492.659999982</v>
      </c>
      <c r="K402" s="63">
        <f t="shared" si="102"/>
        <v>-71122723.460000023</v>
      </c>
    </row>
    <row r="403" spans="1:11" s="645" customFormat="1" ht="13">
      <c r="A403" s="109">
        <f t="shared" si="101"/>
        <v>307</v>
      </c>
      <c r="B403" s="611" t="s">
        <v>1458</v>
      </c>
      <c r="C403" s="609">
        <v>2022</v>
      </c>
      <c r="D403" s="977">
        <v>6275000</v>
      </c>
      <c r="E403" s="63">
        <f>D403*'16-PlantAdditions'!$E$103</f>
        <v>470625</v>
      </c>
      <c r="F403" s="63">
        <f t="shared" si="103"/>
        <v>6745625</v>
      </c>
      <c r="G403" s="977">
        <v>33785455.069999993</v>
      </c>
      <c r="H403" s="977">
        <v>20878455.07</v>
      </c>
      <c r="I403" s="63">
        <f>(G403-H403)*'16-PlantAdditions'!$E$103</f>
        <v>968024.99999999942</v>
      </c>
      <c r="J403" s="63">
        <f t="shared" si="104"/>
        <v>35477637.589999989</v>
      </c>
      <c r="K403" s="63">
        <f t="shared" si="102"/>
        <v>-99130578.530000016</v>
      </c>
    </row>
    <row r="404" spans="1:11" s="645" customFormat="1" ht="13">
      <c r="A404" s="109">
        <f t="shared" si="101"/>
        <v>308</v>
      </c>
      <c r="B404" s="608" t="s">
        <v>186</v>
      </c>
      <c r="C404" s="609">
        <v>2022</v>
      </c>
      <c r="D404" s="977">
        <v>3304000</v>
      </c>
      <c r="E404" s="63">
        <f>D404*'16-PlantAdditions'!$E$103</f>
        <v>247800</v>
      </c>
      <c r="F404" s="63">
        <f t="shared" si="103"/>
        <v>3551800</v>
      </c>
      <c r="G404" s="977">
        <v>37720462.590000004</v>
      </c>
      <c r="H404" s="977">
        <v>20267462.59</v>
      </c>
      <c r="I404" s="63">
        <f>(G404-H404)*'16-PlantAdditions'!$E$103</f>
        <v>1308975.0000000002</v>
      </c>
      <c r="J404" s="63">
        <f t="shared" si="104"/>
        <v>-1.5133991837501526E-8</v>
      </c>
      <c r="K404" s="63">
        <f t="shared" si="102"/>
        <v>-134608216.12000003</v>
      </c>
    </row>
    <row r="405" spans="1:11" s="645" customFormat="1" ht="13">
      <c r="A405" s="109">
        <f t="shared" si="101"/>
        <v>309</v>
      </c>
      <c r="B405" s="611" t="s">
        <v>187</v>
      </c>
      <c r="C405" s="609">
        <v>2022</v>
      </c>
      <c r="D405" s="977">
        <v>2002000</v>
      </c>
      <c r="E405" s="63">
        <f>D405*'16-PlantAdditions'!$E$103</f>
        <v>150150</v>
      </c>
      <c r="F405" s="63">
        <f t="shared" si="103"/>
        <v>2152150</v>
      </c>
      <c r="G405" s="977">
        <v>2002000</v>
      </c>
      <c r="H405" s="977">
        <v>0</v>
      </c>
      <c r="I405" s="63">
        <f>(G405-H405)*'16-PlantAdditions'!$E$103</f>
        <v>150150</v>
      </c>
      <c r="J405" s="63">
        <f t="shared" si="104"/>
        <v>-1.4901161193847656E-8</v>
      </c>
      <c r="K405" s="63">
        <f t="shared" si="102"/>
        <v>-134608216.12</v>
      </c>
    </row>
    <row r="406" spans="1:11" s="645" customFormat="1" ht="13">
      <c r="A406" s="109">
        <f t="shared" si="101"/>
        <v>310</v>
      </c>
      <c r="B406" s="611" t="s">
        <v>188</v>
      </c>
      <c r="C406" s="609">
        <v>2022</v>
      </c>
      <c r="D406" s="977">
        <v>1410000</v>
      </c>
      <c r="E406" s="63">
        <f>D406*'16-PlantAdditions'!$E$103</f>
        <v>105750</v>
      </c>
      <c r="F406" s="63">
        <f t="shared" si="103"/>
        <v>1515750</v>
      </c>
      <c r="G406" s="977">
        <v>1410000</v>
      </c>
      <c r="H406" s="977">
        <v>0</v>
      </c>
      <c r="I406" s="63">
        <f>(G406-H406)*'16-PlantAdditions'!$E$103</f>
        <v>105750</v>
      </c>
      <c r="J406" s="63">
        <f t="shared" si="104"/>
        <v>-1.4901161193847656E-8</v>
      </c>
      <c r="K406" s="63">
        <f t="shared" si="102"/>
        <v>-134608216.12</v>
      </c>
    </row>
    <row r="407" spans="1:11" s="645" customFormat="1" ht="13">
      <c r="A407" s="109">
        <f t="shared" si="101"/>
        <v>311</v>
      </c>
      <c r="B407" s="611" t="s">
        <v>191</v>
      </c>
      <c r="C407" s="609">
        <v>2022</v>
      </c>
      <c r="D407" s="977">
        <v>959000</v>
      </c>
      <c r="E407" s="63">
        <f>D407*'16-PlantAdditions'!$E$103</f>
        <v>71925</v>
      </c>
      <c r="F407" s="63">
        <f t="shared" ref="F407:F409" si="105">E407+D407</f>
        <v>1030925</v>
      </c>
      <c r="G407" s="977">
        <v>959000</v>
      </c>
      <c r="H407" s="977">
        <v>0</v>
      </c>
      <c r="I407" s="63">
        <f>(G407-H407)*'16-PlantAdditions'!$E$103</f>
        <v>71925</v>
      </c>
      <c r="J407" s="63">
        <f t="shared" ref="J407:J408" si="106">J406+F407-G407-I407</f>
        <v>-1.4901161193847656E-8</v>
      </c>
      <c r="K407" s="63">
        <f t="shared" si="102"/>
        <v>-134608216.12</v>
      </c>
    </row>
    <row r="408" spans="1:11" s="645" customFormat="1" ht="13">
      <c r="A408" s="109">
        <f t="shared" si="101"/>
        <v>312</v>
      </c>
      <c r="B408" s="611" t="s">
        <v>190</v>
      </c>
      <c r="C408" s="609">
        <v>2022</v>
      </c>
      <c r="D408" s="977">
        <v>874000</v>
      </c>
      <c r="E408" s="63">
        <f>D408*'16-PlantAdditions'!$E$103</f>
        <v>65550</v>
      </c>
      <c r="F408" s="63">
        <f t="shared" si="105"/>
        <v>939550</v>
      </c>
      <c r="G408" s="977">
        <v>874000</v>
      </c>
      <c r="H408" s="977">
        <v>0</v>
      </c>
      <c r="I408" s="63">
        <f>(G408-H408)*'16-PlantAdditions'!$E$103</f>
        <v>65550</v>
      </c>
      <c r="J408" s="63">
        <f t="shared" si="106"/>
        <v>-1.4901161193847656E-8</v>
      </c>
      <c r="K408" s="63">
        <f t="shared" si="102"/>
        <v>-134608216.12</v>
      </c>
    </row>
    <row r="409" spans="1:11" s="645" customFormat="1" ht="13">
      <c r="A409" s="109">
        <f t="shared" si="101"/>
        <v>313</v>
      </c>
      <c r="B409" s="611" t="s">
        <v>180</v>
      </c>
      <c r="C409" s="609">
        <v>2022</v>
      </c>
      <c r="D409" s="977">
        <v>2272000</v>
      </c>
      <c r="E409" s="63">
        <f>D409*'16-PlantAdditions'!$E$103</f>
        <v>170400</v>
      </c>
      <c r="F409" s="63">
        <f t="shared" si="105"/>
        <v>2442400</v>
      </c>
      <c r="G409" s="977">
        <v>2272000</v>
      </c>
      <c r="H409" s="977">
        <v>0</v>
      </c>
      <c r="I409" s="63">
        <f>(G409-H409)*'16-PlantAdditions'!$E$103</f>
        <v>170400</v>
      </c>
      <c r="J409" s="63">
        <f>J408+F409-G409-I409</f>
        <v>-1.4901161193847656E-8</v>
      </c>
      <c r="K409" s="110">
        <f t="shared" si="102"/>
        <v>-134608216.12</v>
      </c>
    </row>
    <row r="410" spans="1:11" s="645" customFormat="1" ht="13">
      <c r="A410" s="109">
        <f t="shared" si="101"/>
        <v>314</v>
      </c>
      <c r="B410"/>
      <c r="C410" s="644" t="s">
        <v>1603</v>
      </c>
      <c r="H410" s="649"/>
      <c r="I410" s="649"/>
      <c r="K410" s="73">
        <f>AVERAGE(K397:K409)</f>
        <v>-91657226.751538485</v>
      </c>
    </row>
    <row r="411" spans="1:11" s="645" customFormat="1" ht="13">
      <c r="A411" s="109"/>
      <c r="B411"/>
      <c r="C411" s="644"/>
      <c r="H411" s="649"/>
      <c r="I411" s="649"/>
      <c r="K411" s="73"/>
    </row>
    <row r="412" spans="1:11" s="645" customFormat="1" ht="13">
      <c r="B412" s="646" t="s">
        <v>2423</v>
      </c>
      <c r="D412" s="1514" t="s">
        <v>2727</v>
      </c>
      <c r="E412" s="1514"/>
      <c r="F412" s="14"/>
      <c r="G412" s="14"/>
    </row>
    <row r="413" spans="1:11" s="645" customFormat="1" ht="13">
      <c r="A413" s="640"/>
      <c r="B413" s="640"/>
      <c r="C413" s="640"/>
      <c r="D413" s="640" t="s">
        <v>358</v>
      </c>
      <c r="E413" s="640" t="s">
        <v>342</v>
      </c>
      <c r="F413" s="640" t="s">
        <v>343</v>
      </c>
      <c r="G413" s="640" t="s">
        <v>344</v>
      </c>
      <c r="H413" s="640" t="s">
        <v>345</v>
      </c>
      <c r="I413" s="640" t="s">
        <v>346</v>
      </c>
      <c r="J413" s="640" t="s">
        <v>347</v>
      </c>
      <c r="K413" s="640" t="s">
        <v>534</v>
      </c>
    </row>
    <row r="414" spans="1:11" s="645" customFormat="1" ht="38">
      <c r="D414" s="647"/>
      <c r="E414" s="648" t="s">
        <v>2061</v>
      </c>
      <c r="F414" s="649" t="s">
        <v>1927</v>
      </c>
      <c r="G414" s="472"/>
      <c r="H414" s="647"/>
      <c r="I414" s="648" t="s">
        <v>2062</v>
      </c>
      <c r="J414" s="648" t="s">
        <v>1928</v>
      </c>
      <c r="K414" s="648" t="s">
        <v>1929</v>
      </c>
    </row>
    <row r="415" spans="1:11" s="645" customFormat="1" ht="13">
      <c r="D415" s="647"/>
      <c r="E415" s="648"/>
      <c r="F415" s="649"/>
      <c r="G415" s="4" t="str">
        <f>G85</f>
        <v>Unloaded</v>
      </c>
      <c r="H415" s="647"/>
      <c r="I415" s="648"/>
      <c r="J415" s="648"/>
      <c r="K415" s="648"/>
    </row>
    <row r="416" spans="1:11" s="645" customFormat="1" ht="13">
      <c r="A416" s="642"/>
      <c r="B416" s="642"/>
      <c r="C416" s="642"/>
      <c r="D416" s="642" t="str">
        <f>D$52</f>
        <v>Forecast</v>
      </c>
      <c r="E416" s="642" t="str">
        <f t="shared" ref="E416:J416" si="107">E$52</f>
        <v>Corporate</v>
      </c>
      <c r="F416" s="642" t="str">
        <f t="shared" si="107"/>
        <v xml:space="preserve">Total </v>
      </c>
      <c r="G416" s="4" t="str">
        <f>G86</f>
        <v>Total</v>
      </c>
      <c r="H416" s="642" t="str">
        <f t="shared" si="107"/>
        <v>Prior Period</v>
      </c>
      <c r="I416" s="642" t="str">
        <f t="shared" si="107"/>
        <v>Over Heads</v>
      </c>
      <c r="J416" s="642" t="str">
        <f t="shared" si="107"/>
        <v>Forecast</v>
      </c>
      <c r="K416" s="642" t="str">
        <f>K$52</f>
        <v>Forecast Period</v>
      </c>
    </row>
    <row r="417" spans="1:11" s="645" customFormat="1" ht="13">
      <c r="A417" s="833" t="s">
        <v>329</v>
      </c>
      <c r="B417" s="607" t="s">
        <v>192</v>
      </c>
      <c r="C417" s="607" t="s">
        <v>193</v>
      </c>
      <c r="D417" s="640" t="str">
        <f>D$53</f>
        <v>Expenditures</v>
      </c>
      <c r="E417" s="640" t="str">
        <f t="shared" ref="E417:J417" si="108">E$53</f>
        <v>Overheads</v>
      </c>
      <c r="F417" s="640" t="str">
        <f t="shared" si="108"/>
        <v>CWIP Exp</v>
      </c>
      <c r="G417" s="84" t="str">
        <f>G87</f>
        <v>Plant Adds</v>
      </c>
      <c r="H417" s="640" t="str">
        <f t="shared" si="108"/>
        <v>CWIP Closed</v>
      </c>
      <c r="I417" s="640" t="str">
        <f t="shared" si="108"/>
        <v>Closed to PIS</v>
      </c>
      <c r="J417" s="640" t="str">
        <f t="shared" si="108"/>
        <v>Period CWIP</v>
      </c>
      <c r="K417" s="640" t="str">
        <f>K$53</f>
        <v>Incremental CWIP</v>
      </c>
    </row>
    <row r="418" spans="1:11" s="645" customFormat="1" ht="13">
      <c r="A418" s="109">
        <f>A410+1</f>
        <v>315</v>
      </c>
      <c r="B418" s="608" t="s">
        <v>180</v>
      </c>
      <c r="C418" s="609">
        <v>2020</v>
      </c>
      <c r="D418" s="649" t="s">
        <v>76</v>
      </c>
      <c r="E418" s="649" t="s">
        <v>76</v>
      </c>
      <c r="F418" s="649" t="s">
        <v>76</v>
      </c>
      <c r="G418" s="649" t="s">
        <v>76</v>
      </c>
      <c r="H418" s="649" t="s">
        <v>76</v>
      </c>
      <c r="I418" s="649" t="s">
        <v>76</v>
      </c>
      <c r="J418" s="63">
        <f>I45</f>
        <v>23607954.079999998</v>
      </c>
      <c r="K418" s="649" t="s">
        <v>76</v>
      </c>
    </row>
    <row r="419" spans="1:11" s="645" customFormat="1" ht="13">
      <c r="A419" s="109">
        <f>A418+1</f>
        <v>316</v>
      </c>
      <c r="B419" s="608" t="s">
        <v>181</v>
      </c>
      <c r="C419" s="609">
        <v>2021</v>
      </c>
      <c r="D419" s="977">
        <v>410655.99999999994</v>
      </c>
      <c r="E419" s="63">
        <f>D419*'16-PlantAdditions'!$E$103</f>
        <v>30799.199999999993</v>
      </c>
      <c r="F419" s="63">
        <f>E419+D419</f>
        <v>441455.19999999995</v>
      </c>
      <c r="G419" s="977">
        <v>0</v>
      </c>
      <c r="H419" s="977">
        <v>0</v>
      </c>
      <c r="I419" s="63">
        <f>(G419-H419)*'16-PlantAdditions'!$E$103</f>
        <v>0</v>
      </c>
      <c r="J419" s="63">
        <f t="shared" ref="J419:J442" si="109">J418+F419-G419-I419</f>
        <v>24049409.279999997</v>
      </c>
      <c r="K419" s="63">
        <f>J419-$J$418</f>
        <v>441455.19999999925</v>
      </c>
    </row>
    <row r="420" spans="1:11" s="645" customFormat="1" ht="13">
      <c r="A420" s="109">
        <f t="shared" ref="A420:A443" si="110">A419+1</f>
        <v>317</v>
      </c>
      <c r="B420" s="611" t="s">
        <v>182</v>
      </c>
      <c r="C420" s="609">
        <v>2021</v>
      </c>
      <c r="D420" s="977">
        <v>300527</v>
      </c>
      <c r="E420" s="63">
        <f>D420*'16-PlantAdditions'!$E$103</f>
        <v>22539.524999999998</v>
      </c>
      <c r="F420" s="63">
        <f t="shared" ref="F420:F442" si="111">E420+D420</f>
        <v>323066.52500000002</v>
      </c>
      <c r="G420" s="977">
        <v>0</v>
      </c>
      <c r="H420" s="977">
        <v>0</v>
      </c>
      <c r="I420" s="63">
        <f>(G420-H420)*'16-PlantAdditions'!$E$103</f>
        <v>0</v>
      </c>
      <c r="J420" s="63">
        <f t="shared" si="109"/>
        <v>24372475.804999996</v>
      </c>
      <c r="K420" s="63">
        <f t="shared" ref="K420:K442" si="112">J420-$J$418</f>
        <v>764521.72499999776</v>
      </c>
    </row>
    <row r="421" spans="1:11" s="645" customFormat="1" ht="13">
      <c r="A421" s="109">
        <f t="shared" si="110"/>
        <v>318</v>
      </c>
      <c r="B421" s="611" t="s">
        <v>195</v>
      </c>
      <c r="C421" s="609">
        <v>2021</v>
      </c>
      <c r="D421" s="977">
        <v>221178</v>
      </c>
      <c r="E421" s="63">
        <f>D421*'16-PlantAdditions'!$E$103</f>
        <v>16588.349999999999</v>
      </c>
      <c r="F421" s="63">
        <f t="shared" si="111"/>
        <v>237766.35</v>
      </c>
      <c r="G421" s="977">
        <v>0</v>
      </c>
      <c r="H421" s="977">
        <v>0</v>
      </c>
      <c r="I421" s="63">
        <f>(G421-H421)*'16-PlantAdditions'!$E$103</f>
        <v>0</v>
      </c>
      <c r="J421" s="63">
        <f t="shared" si="109"/>
        <v>24610242.154999997</v>
      </c>
      <c r="K421" s="63">
        <f t="shared" si="112"/>
        <v>1002288.0749999993</v>
      </c>
    </row>
    <row r="422" spans="1:11" s="645" customFormat="1" ht="13">
      <c r="A422" s="109">
        <f t="shared" si="110"/>
        <v>319</v>
      </c>
      <c r="B422" s="608" t="s">
        <v>183</v>
      </c>
      <c r="C422" s="609">
        <v>2021</v>
      </c>
      <c r="D422" s="977">
        <v>374485.92499999999</v>
      </c>
      <c r="E422" s="63">
        <f>D422*'16-PlantAdditions'!$E$103</f>
        <v>28086.444374999999</v>
      </c>
      <c r="F422" s="63">
        <f t="shared" si="111"/>
        <v>402572.36937500001</v>
      </c>
      <c r="G422" s="977">
        <v>0</v>
      </c>
      <c r="H422" s="977">
        <v>0</v>
      </c>
      <c r="I422" s="63">
        <f>(G422-H422)*'16-PlantAdditions'!$E$103</f>
        <v>0</v>
      </c>
      <c r="J422" s="63">
        <f t="shared" si="109"/>
        <v>25012814.524374999</v>
      </c>
      <c r="K422" s="63">
        <f t="shared" si="112"/>
        <v>1404860.4443750009</v>
      </c>
    </row>
    <row r="423" spans="1:11" s="645" customFormat="1" ht="13">
      <c r="A423" s="109">
        <f t="shared" si="110"/>
        <v>320</v>
      </c>
      <c r="B423" s="611" t="s">
        <v>184</v>
      </c>
      <c r="C423" s="609">
        <v>2021</v>
      </c>
      <c r="D423" s="977">
        <v>621094.92500000005</v>
      </c>
      <c r="E423" s="63">
        <f>D423*'16-PlantAdditions'!$E$103</f>
        <v>46582.119375000002</v>
      </c>
      <c r="F423" s="63">
        <f t="shared" si="111"/>
        <v>667677.04437500006</v>
      </c>
      <c r="G423" s="977">
        <v>0</v>
      </c>
      <c r="H423" s="977">
        <v>0</v>
      </c>
      <c r="I423" s="63">
        <f>(G423-H423)*'16-PlantAdditions'!$E$103</f>
        <v>0</v>
      </c>
      <c r="J423" s="63">
        <f t="shared" si="109"/>
        <v>25680491.568749998</v>
      </c>
      <c r="K423" s="63">
        <f t="shared" si="112"/>
        <v>2072537.4887499996</v>
      </c>
    </row>
    <row r="424" spans="1:11" s="645" customFormat="1" ht="13">
      <c r="A424" s="109">
        <f t="shared" si="110"/>
        <v>321</v>
      </c>
      <c r="B424" s="611" t="s">
        <v>1458</v>
      </c>
      <c r="C424" s="609">
        <v>2021</v>
      </c>
      <c r="D424" s="977">
        <v>363396</v>
      </c>
      <c r="E424" s="63">
        <f>D424*'16-PlantAdditions'!$E$103</f>
        <v>27254.7</v>
      </c>
      <c r="F424" s="63">
        <f t="shared" si="111"/>
        <v>390650.7</v>
      </c>
      <c r="G424" s="977">
        <v>0</v>
      </c>
      <c r="H424" s="977">
        <v>0</v>
      </c>
      <c r="I424" s="63">
        <f>(G424-H424)*'16-PlantAdditions'!$E$103</f>
        <v>0</v>
      </c>
      <c r="J424" s="63">
        <f t="shared" si="109"/>
        <v>26071142.268749997</v>
      </c>
      <c r="K424" s="63">
        <f t="shared" si="112"/>
        <v>2463188.1887499988</v>
      </c>
    </row>
    <row r="425" spans="1:11" s="645" customFormat="1" ht="13">
      <c r="A425" s="109">
        <f t="shared" si="110"/>
        <v>322</v>
      </c>
      <c r="B425" s="608" t="s">
        <v>186</v>
      </c>
      <c r="C425" s="609">
        <v>2021</v>
      </c>
      <c r="D425" s="977">
        <v>657239.35</v>
      </c>
      <c r="E425" s="63">
        <f>D425*'16-PlantAdditions'!$E$103</f>
        <v>49292.951249999998</v>
      </c>
      <c r="F425" s="63">
        <f t="shared" si="111"/>
        <v>706532.30125000002</v>
      </c>
      <c r="G425" s="977">
        <v>0</v>
      </c>
      <c r="H425" s="977">
        <v>0</v>
      </c>
      <c r="I425" s="63">
        <f>(G425-H425)*'16-PlantAdditions'!$E$103</f>
        <v>0</v>
      </c>
      <c r="J425" s="63">
        <f t="shared" si="109"/>
        <v>26777674.569999997</v>
      </c>
      <c r="K425" s="63">
        <f t="shared" si="112"/>
        <v>3169720.4899999984</v>
      </c>
    </row>
    <row r="426" spans="1:11" s="645" customFormat="1" ht="13">
      <c r="A426" s="109">
        <f t="shared" si="110"/>
        <v>323</v>
      </c>
      <c r="B426" s="611" t="s">
        <v>187</v>
      </c>
      <c r="C426" s="609">
        <v>2021</v>
      </c>
      <c r="D426" s="977">
        <v>493772.35</v>
      </c>
      <c r="E426" s="63">
        <f>D426*'16-PlantAdditions'!$E$103</f>
        <v>37032.926249999997</v>
      </c>
      <c r="F426" s="63">
        <f t="shared" si="111"/>
        <v>530805.27625</v>
      </c>
      <c r="G426" s="977">
        <v>0</v>
      </c>
      <c r="H426" s="977">
        <v>0</v>
      </c>
      <c r="I426" s="63">
        <f>(G426-H426)*'16-PlantAdditions'!$E$103</f>
        <v>0</v>
      </c>
      <c r="J426" s="63">
        <f t="shared" si="109"/>
        <v>27308479.846249998</v>
      </c>
      <c r="K426" s="63">
        <f t="shared" si="112"/>
        <v>3700525.7662499994</v>
      </c>
    </row>
    <row r="427" spans="1:11" s="645" customFormat="1" ht="13">
      <c r="A427" s="109">
        <f t="shared" si="110"/>
        <v>324</v>
      </c>
      <c r="B427" s="611" t="s">
        <v>188</v>
      </c>
      <c r="C427" s="609">
        <v>2021</v>
      </c>
      <c r="D427" s="977">
        <v>518861.75</v>
      </c>
      <c r="E427" s="63">
        <f>D427*'16-PlantAdditions'!$E$103</f>
        <v>38914.631249999999</v>
      </c>
      <c r="F427" s="63">
        <f t="shared" si="111"/>
        <v>557776.38124999998</v>
      </c>
      <c r="G427" s="977">
        <v>0</v>
      </c>
      <c r="H427" s="977">
        <v>0</v>
      </c>
      <c r="I427" s="63">
        <f>(G427-H427)*'16-PlantAdditions'!$E$103</f>
        <v>0</v>
      </c>
      <c r="J427" s="63">
        <f t="shared" si="109"/>
        <v>27866256.227499999</v>
      </c>
      <c r="K427" s="63">
        <f t="shared" si="112"/>
        <v>4258302.1475000009</v>
      </c>
    </row>
    <row r="428" spans="1:11" s="645" customFormat="1" ht="13">
      <c r="A428" s="109">
        <f t="shared" si="110"/>
        <v>325</v>
      </c>
      <c r="B428" s="608" t="s">
        <v>191</v>
      </c>
      <c r="C428" s="609">
        <v>2021</v>
      </c>
      <c r="D428" s="977">
        <v>286989.74999999994</v>
      </c>
      <c r="E428" s="63">
        <f>D428*'16-PlantAdditions'!$E$103</f>
        <v>21524.231249999993</v>
      </c>
      <c r="F428" s="63">
        <f t="shared" si="111"/>
        <v>308513.98124999995</v>
      </c>
      <c r="G428" s="977">
        <v>0</v>
      </c>
      <c r="H428" s="977">
        <v>0</v>
      </c>
      <c r="I428" s="63">
        <f>(G428-H428)*'16-PlantAdditions'!$E$103</f>
        <v>0</v>
      </c>
      <c r="J428" s="63">
        <f t="shared" si="109"/>
        <v>28174770.208749998</v>
      </c>
      <c r="K428" s="63">
        <f t="shared" si="112"/>
        <v>4566816.1287500001</v>
      </c>
    </row>
    <row r="429" spans="1:11" s="645" customFormat="1" ht="13">
      <c r="A429" s="109">
        <f t="shared" si="110"/>
        <v>326</v>
      </c>
      <c r="B429" s="608" t="s">
        <v>190</v>
      </c>
      <c r="C429" s="609">
        <v>2021</v>
      </c>
      <c r="D429" s="977">
        <v>1355589.6249999998</v>
      </c>
      <c r="E429" s="63">
        <f>D429*'16-PlantAdditions'!$E$103</f>
        <v>101669.22187499997</v>
      </c>
      <c r="F429" s="63">
        <f t="shared" si="111"/>
        <v>1457258.8468749998</v>
      </c>
      <c r="G429" s="977">
        <v>0</v>
      </c>
      <c r="H429" s="977">
        <v>0</v>
      </c>
      <c r="I429" s="63">
        <f>(G429-H429)*'16-PlantAdditions'!$E$103</f>
        <v>0</v>
      </c>
      <c r="J429" s="63">
        <f t="shared" si="109"/>
        <v>29632029.055624999</v>
      </c>
      <c r="K429" s="63">
        <f t="shared" si="112"/>
        <v>6024074.9756250009</v>
      </c>
    </row>
    <row r="430" spans="1:11" s="645" customFormat="1" ht="13">
      <c r="A430" s="109">
        <f t="shared" si="110"/>
        <v>327</v>
      </c>
      <c r="B430" s="608" t="s">
        <v>180</v>
      </c>
      <c r="C430" s="609">
        <v>2021</v>
      </c>
      <c r="D430" s="977">
        <v>1498645.8</v>
      </c>
      <c r="E430" s="63">
        <f>D430*'16-PlantAdditions'!$E$103</f>
        <v>112398.435</v>
      </c>
      <c r="F430" s="63">
        <f t="shared" si="111"/>
        <v>1611044.2350000001</v>
      </c>
      <c r="G430" s="977">
        <v>0</v>
      </c>
      <c r="H430" s="977">
        <v>0</v>
      </c>
      <c r="I430" s="63">
        <f>(G430-H430)*'16-PlantAdditions'!$E$103</f>
        <v>0</v>
      </c>
      <c r="J430" s="63">
        <f t="shared" si="109"/>
        <v>31243073.290624999</v>
      </c>
      <c r="K430" s="63">
        <f t="shared" si="112"/>
        <v>7635119.2106250003</v>
      </c>
    </row>
    <row r="431" spans="1:11" s="645" customFormat="1" ht="13">
      <c r="A431" s="109">
        <f t="shared" si="110"/>
        <v>328</v>
      </c>
      <c r="B431" s="608" t="s">
        <v>181</v>
      </c>
      <c r="C431" s="609">
        <v>2022</v>
      </c>
      <c r="D431" s="977">
        <v>6079184.6090000002</v>
      </c>
      <c r="E431" s="63">
        <f>D431*'16-PlantAdditions'!$E$103</f>
        <v>455938.84567499999</v>
      </c>
      <c r="F431" s="63">
        <f t="shared" si="111"/>
        <v>6535123.4546750002</v>
      </c>
      <c r="G431" s="977">
        <v>0</v>
      </c>
      <c r="H431" s="977">
        <v>0</v>
      </c>
      <c r="I431" s="63">
        <f>(G431-H431)*'16-PlantAdditions'!$E$103</f>
        <v>0</v>
      </c>
      <c r="J431" s="63">
        <f t="shared" si="109"/>
        <v>37778196.745299995</v>
      </c>
      <c r="K431" s="63">
        <f t="shared" si="112"/>
        <v>14170242.665299997</v>
      </c>
    </row>
    <row r="432" spans="1:11" s="645" customFormat="1" ht="13">
      <c r="A432" s="109">
        <f t="shared" si="110"/>
        <v>329</v>
      </c>
      <c r="B432" s="611" t="s">
        <v>182</v>
      </c>
      <c r="C432" s="609">
        <v>2022</v>
      </c>
      <c r="D432" s="977">
        <v>6079184.6090000002</v>
      </c>
      <c r="E432" s="63">
        <f>D432*'16-PlantAdditions'!$E$103</f>
        <v>455938.84567499999</v>
      </c>
      <c r="F432" s="63">
        <f t="shared" si="111"/>
        <v>6535123.4546750002</v>
      </c>
      <c r="G432" s="977">
        <v>0</v>
      </c>
      <c r="H432" s="977">
        <v>0</v>
      </c>
      <c r="I432" s="63">
        <f>(G432-H432)*'16-PlantAdditions'!$E$103</f>
        <v>0</v>
      </c>
      <c r="J432" s="63">
        <f t="shared" si="109"/>
        <v>44313320.199974999</v>
      </c>
      <c r="K432" s="63">
        <f t="shared" si="112"/>
        <v>20705366.119975001</v>
      </c>
    </row>
    <row r="433" spans="1:11" s="645" customFormat="1" ht="13">
      <c r="A433" s="109">
        <f t="shared" si="110"/>
        <v>330</v>
      </c>
      <c r="B433" s="611" t="s">
        <v>195</v>
      </c>
      <c r="C433" s="609">
        <v>2022</v>
      </c>
      <c r="D433" s="977">
        <v>6079184.6090000002</v>
      </c>
      <c r="E433" s="63">
        <f>D433*'16-PlantAdditions'!$E$103</f>
        <v>455938.84567499999</v>
      </c>
      <c r="F433" s="63">
        <f t="shared" si="111"/>
        <v>6535123.4546750002</v>
      </c>
      <c r="G433" s="977">
        <v>0</v>
      </c>
      <c r="H433" s="977">
        <v>0</v>
      </c>
      <c r="I433" s="63">
        <f>(G433-H433)*'16-PlantAdditions'!$E$103</f>
        <v>0</v>
      </c>
      <c r="J433" s="63">
        <f t="shared" si="109"/>
        <v>50848443.654650003</v>
      </c>
      <c r="K433" s="63">
        <f t="shared" si="112"/>
        <v>27240489.574650005</v>
      </c>
    </row>
    <row r="434" spans="1:11" s="645" customFormat="1" ht="13">
      <c r="A434" s="109">
        <f t="shared" si="110"/>
        <v>331</v>
      </c>
      <c r="B434" s="608" t="s">
        <v>183</v>
      </c>
      <c r="C434" s="609">
        <v>2022</v>
      </c>
      <c r="D434" s="977">
        <v>6079184.6090000002</v>
      </c>
      <c r="E434" s="63">
        <f>D434*'16-PlantAdditions'!$E$103</f>
        <v>455938.84567499999</v>
      </c>
      <c r="F434" s="63">
        <f t="shared" si="111"/>
        <v>6535123.4546750002</v>
      </c>
      <c r="G434" s="977">
        <v>0</v>
      </c>
      <c r="H434" s="977">
        <v>0</v>
      </c>
      <c r="I434" s="63">
        <f>(G434-H434)*'16-PlantAdditions'!$E$103</f>
        <v>0</v>
      </c>
      <c r="J434" s="63">
        <f t="shared" si="109"/>
        <v>57383567.109325007</v>
      </c>
      <c r="K434" s="63">
        <f t="shared" si="112"/>
        <v>33775613.029325008</v>
      </c>
    </row>
    <row r="435" spans="1:11" s="645" customFormat="1" ht="13">
      <c r="A435" s="109">
        <f t="shared" si="110"/>
        <v>332</v>
      </c>
      <c r="B435" s="611" t="s">
        <v>184</v>
      </c>
      <c r="C435" s="609">
        <v>2022</v>
      </c>
      <c r="D435" s="977">
        <v>6079184.6090000002</v>
      </c>
      <c r="E435" s="63">
        <f>D435*'16-PlantAdditions'!$E$103</f>
        <v>455938.84567499999</v>
      </c>
      <c r="F435" s="63">
        <f t="shared" si="111"/>
        <v>6535123.4546750002</v>
      </c>
      <c r="G435" s="977">
        <v>0</v>
      </c>
      <c r="H435" s="977">
        <v>0</v>
      </c>
      <c r="I435" s="63">
        <f>(G435-H435)*'16-PlantAdditions'!$E$103</f>
        <v>0</v>
      </c>
      <c r="J435" s="63">
        <f t="shared" si="109"/>
        <v>63918690.56400001</v>
      </c>
      <c r="K435" s="63">
        <f t="shared" si="112"/>
        <v>40310736.484000012</v>
      </c>
    </row>
    <row r="436" spans="1:11" s="645" customFormat="1" ht="13">
      <c r="A436" s="109">
        <f t="shared" si="110"/>
        <v>333</v>
      </c>
      <c r="B436" s="611" t="s">
        <v>1458</v>
      </c>
      <c r="C436" s="609">
        <v>2022</v>
      </c>
      <c r="D436" s="977">
        <v>6079184.6090000002</v>
      </c>
      <c r="E436" s="63">
        <f>D436*'16-PlantAdditions'!$E$103</f>
        <v>455938.84567499999</v>
      </c>
      <c r="F436" s="63">
        <f t="shared" si="111"/>
        <v>6535123.4546750002</v>
      </c>
      <c r="G436" s="977">
        <v>0</v>
      </c>
      <c r="H436" s="977">
        <v>0</v>
      </c>
      <c r="I436" s="63">
        <f>(G436-H436)*'16-PlantAdditions'!$E$103</f>
        <v>0</v>
      </c>
      <c r="J436" s="63">
        <f t="shared" si="109"/>
        <v>70453814.018675014</v>
      </c>
      <c r="K436" s="63">
        <f t="shared" si="112"/>
        <v>46845859.938675016</v>
      </c>
    </row>
    <row r="437" spans="1:11" s="645" customFormat="1" ht="13">
      <c r="A437" s="109">
        <f t="shared" si="110"/>
        <v>334</v>
      </c>
      <c r="B437" s="608" t="s">
        <v>186</v>
      </c>
      <c r="C437" s="609">
        <v>2022</v>
      </c>
      <c r="D437" s="977">
        <v>6079184.6090000002</v>
      </c>
      <c r="E437" s="63">
        <f>D437*'16-PlantAdditions'!$E$103</f>
        <v>455938.84567499999</v>
      </c>
      <c r="F437" s="63">
        <f t="shared" si="111"/>
        <v>6535123.4546750002</v>
      </c>
      <c r="G437" s="977">
        <v>0</v>
      </c>
      <c r="H437" s="977">
        <v>0</v>
      </c>
      <c r="I437" s="63">
        <f>(G437-H437)*'16-PlantAdditions'!$E$103</f>
        <v>0</v>
      </c>
      <c r="J437" s="63">
        <f t="shared" si="109"/>
        <v>76988937.473350018</v>
      </c>
      <c r="K437" s="63">
        <f t="shared" si="112"/>
        <v>53380983.39335002</v>
      </c>
    </row>
    <row r="438" spans="1:11" s="645" customFormat="1" ht="13">
      <c r="A438" s="109">
        <f t="shared" si="110"/>
        <v>335</v>
      </c>
      <c r="B438" s="611" t="s">
        <v>187</v>
      </c>
      <c r="C438" s="609">
        <v>2022</v>
      </c>
      <c r="D438" s="977">
        <v>6079184.6090000002</v>
      </c>
      <c r="E438" s="63">
        <f>D438*'16-PlantAdditions'!$E$103</f>
        <v>455938.84567499999</v>
      </c>
      <c r="F438" s="63">
        <f t="shared" si="111"/>
        <v>6535123.4546750002</v>
      </c>
      <c r="G438" s="977">
        <v>0</v>
      </c>
      <c r="H438" s="977">
        <v>0</v>
      </c>
      <c r="I438" s="63">
        <f>(G438-H438)*'16-PlantAdditions'!$E$103</f>
        <v>0</v>
      </c>
      <c r="J438" s="63">
        <f t="shared" si="109"/>
        <v>83524060.928025022</v>
      </c>
      <c r="K438" s="63">
        <f t="shared" si="112"/>
        <v>59916106.848025024</v>
      </c>
    </row>
    <row r="439" spans="1:11" s="645" customFormat="1" ht="13">
      <c r="A439" s="109">
        <f t="shared" si="110"/>
        <v>336</v>
      </c>
      <c r="B439" s="611" t="s">
        <v>188</v>
      </c>
      <c r="C439" s="609">
        <v>2022</v>
      </c>
      <c r="D439" s="977">
        <v>6079184.6090000002</v>
      </c>
      <c r="E439" s="63">
        <f>D439*'16-PlantAdditions'!$E$103</f>
        <v>455938.84567499999</v>
      </c>
      <c r="F439" s="63">
        <f t="shared" si="111"/>
        <v>6535123.4546750002</v>
      </c>
      <c r="G439" s="977">
        <v>0</v>
      </c>
      <c r="H439" s="977">
        <v>0</v>
      </c>
      <c r="I439" s="63">
        <f>(G439-H439)*'16-PlantAdditions'!$E$103</f>
        <v>0</v>
      </c>
      <c r="J439" s="63">
        <f t="shared" si="109"/>
        <v>90059184.382700026</v>
      </c>
      <c r="K439" s="63">
        <f t="shared" si="112"/>
        <v>66451230.302700028</v>
      </c>
    </row>
    <row r="440" spans="1:11" s="645" customFormat="1" ht="13">
      <c r="A440" s="109">
        <f t="shared" si="110"/>
        <v>337</v>
      </c>
      <c r="B440" s="611" t="s">
        <v>191</v>
      </c>
      <c r="C440" s="609">
        <v>2022</v>
      </c>
      <c r="D440" s="977">
        <v>6079184.6090000002</v>
      </c>
      <c r="E440" s="63">
        <f>D440*'16-PlantAdditions'!$E$103</f>
        <v>455938.84567499999</v>
      </c>
      <c r="F440" s="63">
        <f t="shared" si="111"/>
        <v>6535123.4546750002</v>
      </c>
      <c r="G440" s="977">
        <v>0</v>
      </c>
      <c r="H440" s="977">
        <v>0</v>
      </c>
      <c r="I440" s="63">
        <f>(G440-H440)*'16-PlantAdditions'!$E$103</f>
        <v>0</v>
      </c>
      <c r="J440" s="63">
        <f t="shared" si="109"/>
        <v>96594307.83737503</v>
      </c>
      <c r="K440" s="63">
        <f t="shared" si="112"/>
        <v>72986353.757375032</v>
      </c>
    </row>
    <row r="441" spans="1:11" s="645" customFormat="1" ht="13">
      <c r="A441" s="109">
        <f t="shared" si="110"/>
        <v>338</v>
      </c>
      <c r="B441" s="611" t="s">
        <v>190</v>
      </c>
      <c r="C441" s="609">
        <v>2022</v>
      </c>
      <c r="D441" s="977">
        <v>6079184.6090000002</v>
      </c>
      <c r="E441" s="63">
        <f>D441*'16-PlantAdditions'!$E$103</f>
        <v>455938.84567499999</v>
      </c>
      <c r="F441" s="63">
        <f t="shared" si="111"/>
        <v>6535123.4546750002</v>
      </c>
      <c r="G441" s="977">
        <v>0</v>
      </c>
      <c r="H441" s="977">
        <v>0</v>
      </c>
      <c r="I441" s="63">
        <f>(G441-H441)*'16-PlantAdditions'!$E$103</f>
        <v>0</v>
      </c>
      <c r="J441" s="63">
        <f t="shared" si="109"/>
        <v>103129431.29205003</v>
      </c>
      <c r="K441" s="63">
        <f t="shared" si="112"/>
        <v>79521477.212050036</v>
      </c>
    </row>
    <row r="442" spans="1:11" s="645" customFormat="1" ht="13">
      <c r="A442" s="109">
        <f t="shared" si="110"/>
        <v>339</v>
      </c>
      <c r="B442" s="611" t="s">
        <v>180</v>
      </c>
      <c r="C442" s="609">
        <v>2022</v>
      </c>
      <c r="D442" s="977">
        <v>8198836.8360000001</v>
      </c>
      <c r="E442" s="63">
        <f>D442*'16-PlantAdditions'!$E$103</f>
        <v>614912.76269999996</v>
      </c>
      <c r="F442" s="63">
        <f t="shared" si="111"/>
        <v>8813749.5987</v>
      </c>
      <c r="G442" s="977">
        <v>47774168.010000005</v>
      </c>
      <c r="H442" s="977">
        <v>0</v>
      </c>
      <c r="I442" s="63">
        <f>(G442-H442)*'16-PlantAdditions'!$E$103</f>
        <v>3583062.6007500002</v>
      </c>
      <c r="J442" s="63">
        <f t="shared" si="109"/>
        <v>60585950.280000031</v>
      </c>
      <c r="K442" s="110">
        <f t="shared" si="112"/>
        <v>36977996.200000033</v>
      </c>
    </row>
    <row r="443" spans="1:11" s="645" customFormat="1" ht="13">
      <c r="A443" s="109">
        <f t="shared" si="110"/>
        <v>340</v>
      </c>
      <c r="B443" s="955"/>
      <c r="C443" s="644" t="s">
        <v>1603</v>
      </c>
      <c r="H443" s="649"/>
      <c r="I443" s="649"/>
      <c r="K443" s="73">
        <f>AVERAGE(K430:K442)</f>
        <v>43070582.672003858</v>
      </c>
    </row>
    <row r="445" spans="1:11" ht="13">
      <c r="A445" s="645"/>
      <c r="B445" s="646" t="s">
        <v>2707</v>
      </c>
      <c r="C445" s="645"/>
      <c r="D445" s="961" t="s">
        <v>2681</v>
      </c>
      <c r="E445" s="1040"/>
      <c r="F445" s="96"/>
      <c r="G445" s="96"/>
      <c r="H445" s="645"/>
      <c r="I445" s="645"/>
      <c r="J445" s="645"/>
      <c r="K445" s="645"/>
    </row>
    <row r="446" spans="1:11" ht="13">
      <c r="A446" s="640"/>
      <c r="B446" s="640"/>
      <c r="C446" s="640"/>
      <c r="D446" s="640" t="s">
        <v>358</v>
      </c>
      <c r="E446" s="640" t="s">
        <v>342</v>
      </c>
      <c r="F446" s="640" t="s">
        <v>343</v>
      </c>
      <c r="G446" s="640" t="s">
        <v>344</v>
      </c>
      <c r="H446" s="640" t="s">
        <v>345</v>
      </c>
      <c r="I446" s="640" t="s">
        <v>346</v>
      </c>
      <c r="J446" s="640" t="s">
        <v>347</v>
      </c>
      <c r="K446" s="640" t="s">
        <v>534</v>
      </c>
    </row>
    <row r="447" spans="1:11" ht="38">
      <c r="A447" s="645"/>
      <c r="B447" s="645"/>
      <c r="C447" s="645"/>
      <c r="D447" s="647"/>
      <c r="E447" s="648" t="s">
        <v>2061</v>
      </c>
      <c r="F447" s="649" t="s">
        <v>1927</v>
      </c>
      <c r="G447" s="472"/>
      <c r="H447" s="647"/>
      <c r="I447" s="648" t="s">
        <v>2062</v>
      </c>
      <c r="J447" s="648" t="s">
        <v>1928</v>
      </c>
      <c r="K447" s="648" t="s">
        <v>1929</v>
      </c>
    </row>
    <row r="448" spans="1:11" ht="13">
      <c r="A448" s="645"/>
      <c r="B448" s="645"/>
      <c r="C448" s="645"/>
      <c r="D448" s="647"/>
      <c r="E448" s="648"/>
      <c r="F448" s="649"/>
      <c r="G448" s="4" t="str">
        <f>G118</f>
        <v>Unloaded</v>
      </c>
      <c r="H448" s="647"/>
      <c r="I448" s="648"/>
      <c r="J448" s="648"/>
      <c r="K448" s="648"/>
    </row>
    <row r="449" spans="1:11" ht="13">
      <c r="A449" s="642"/>
      <c r="B449" s="642"/>
      <c r="C449" s="642"/>
      <c r="D449" s="642" t="str">
        <f>D$52</f>
        <v>Forecast</v>
      </c>
      <c r="E449" s="642" t="str">
        <f t="shared" ref="E449:J449" si="113">E$52</f>
        <v>Corporate</v>
      </c>
      <c r="F449" s="642" t="str">
        <f t="shared" si="113"/>
        <v xml:space="preserve">Total </v>
      </c>
      <c r="G449" s="4" t="str">
        <f>G119</f>
        <v>Total</v>
      </c>
      <c r="H449" s="642" t="str">
        <f t="shared" si="113"/>
        <v>Prior Period</v>
      </c>
      <c r="I449" s="642" t="str">
        <f t="shared" si="113"/>
        <v>Over Heads</v>
      </c>
      <c r="J449" s="642" t="str">
        <f t="shared" si="113"/>
        <v>Forecast</v>
      </c>
      <c r="K449" s="642" t="str">
        <f>K$52</f>
        <v>Forecast Period</v>
      </c>
    </row>
    <row r="450" spans="1:11" ht="13">
      <c r="A450" s="833" t="s">
        <v>329</v>
      </c>
      <c r="B450" s="607" t="s">
        <v>192</v>
      </c>
      <c r="C450" s="607" t="s">
        <v>193</v>
      </c>
      <c r="D450" s="640" t="str">
        <f>D$53</f>
        <v>Expenditures</v>
      </c>
      <c r="E450" s="640" t="str">
        <f t="shared" ref="E450:J450" si="114">E$53</f>
        <v>Overheads</v>
      </c>
      <c r="F450" s="640" t="str">
        <f t="shared" si="114"/>
        <v>CWIP Exp</v>
      </c>
      <c r="G450" s="84" t="str">
        <f>G120</f>
        <v>Plant Adds</v>
      </c>
      <c r="H450" s="640" t="str">
        <f t="shared" si="114"/>
        <v>CWIP Closed</v>
      </c>
      <c r="I450" s="640" t="str">
        <f t="shared" si="114"/>
        <v>Closed to PIS</v>
      </c>
      <c r="J450" s="640" t="str">
        <f t="shared" si="114"/>
        <v>Period CWIP</v>
      </c>
      <c r="K450" s="640" t="str">
        <f>K$53</f>
        <v>Incremental CWIP</v>
      </c>
    </row>
    <row r="451" spans="1:11" ht="13">
      <c r="A451" s="109">
        <f>A443+1</f>
        <v>341</v>
      </c>
      <c r="B451" s="608" t="s">
        <v>180</v>
      </c>
      <c r="C451" s="609">
        <v>2020</v>
      </c>
      <c r="D451" s="649" t="s">
        <v>76</v>
      </c>
      <c r="E451" s="649" t="s">
        <v>76</v>
      </c>
      <c r="F451" s="649" t="s">
        <v>76</v>
      </c>
      <c r="G451" s="649" t="s">
        <v>76</v>
      </c>
      <c r="H451" s="649" t="s">
        <v>76</v>
      </c>
      <c r="I451" s="649" t="s">
        <v>76</v>
      </c>
      <c r="J451" s="63">
        <v>0</v>
      </c>
      <c r="K451" s="649" t="s">
        <v>76</v>
      </c>
    </row>
    <row r="452" spans="1:11" ht="13">
      <c r="A452" s="109">
        <f>A451+1</f>
        <v>342</v>
      </c>
      <c r="B452" s="608" t="s">
        <v>181</v>
      </c>
      <c r="C452" s="609">
        <v>2021</v>
      </c>
      <c r="D452" s="977"/>
      <c r="E452" s="63">
        <f>D452*'16-PlantAdditions'!$E$103</f>
        <v>0</v>
      </c>
      <c r="F452" s="63">
        <f>E452+D452</f>
        <v>0</v>
      </c>
      <c r="G452" s="977"/>
      <c r="H452" s="977"/>
      <c r="I452" s="63">
        <f>(G452-H452)*'16-PlantAdditions'!$E$103</f>
        <v>0</v>
      </c>
      <c r="J452" s="63">
        <f>J451+F452-G452-I452</f>
        <v>0</v>
      </c>
      <c r="K452" s="63">
        <f>J452-$J$451</f>
        <v>0</v>
      </c>
    </row>
    <row r="453" spans="1:11" ht="13">
      <c r="A453" s="109">
        <f t="shared" ref="A453:A476" si="115">A452+1</f>
        <v>343</v>
      </c>
      <c r="B453" s="611" t="s">
        <v>182</v>
      </c>
      <c r="C453" s="609">
        <v>2021</v>
      </c>
      <c r="D453" s="977"/>
      <c r="E453" s="63">
        <f>D453*'16-PlantAdditions'!$E$103</f>
        <v>0</v>
      </c>
      <c r="F453" s="63">
        <f t="shared" ref="F453:F475" si="116">E453+D453</f>
        <v>0</v>
      </c>
      <c r="G453" s="977"/>
      <c r="H453" s="977"/>
      <c r="I453" s="63">
        <f>(G453-H453)*'16-PlantAdditions'!$E$103</f>
        <v>0</v>
      </c>
      <c r="J453" s="63">
        <f t="shared" ref="J453:J475" si="117">J452+F453-G453-I453</f>
        <v>0</v>
      </c>
      <c r="K453" s="63">
        <f t="shared" ref="K453:K475" si="118">J453-$J$451</f>
        <v>0</v>
      </c>
    </row>
    <row r="454" spans="1:11" ht="13">
      <c r="A454" s="109">
        <f t="shared" si="115"/>
        <v>344</v>
      </c>
      <c r="B454" s="611" t="s">
        <v>195</v>
      </c>
      <c r="C454" s="609">
        <v>2021</v>
      </c>
      <c r="D454" s="977"/>
      <c r="E454" s="63">
        <f>D454*'16-PlantAdditions'!$E$103</f>
        <v>0</v>
      </c>
      <c r="F454" s="63">
        <f t="shared" si="116"/>
        <v>0</v>
      </c>
      <c r="G454" s="977"/>
      <c r="H454" s="977"/>
      <c r="I454" s="63">
        <f>(G454-H454)*'16-PlantAdditions'!$E$103</f>
        <v>0</v>
      </c>
      <c r="J454" s="63">
        <f t="shared" si="117"/>
        <v>0</v>
      </c>
      <c r="K454" s="63">
        <f t="shared" si="118"/>
        <v>0</v>
      </c>
    </row>
    <row r="455" spans="1:11" ht="13">
      <c r="A455" s="109">
        <f t="shared" si="115"/>
        <v>345</v>
      </c>
      <c r="B455" s="608" t="s">
        <v>183</v>
      </c>
      <c r="C455" s="609">
        <v>2021</v>
      </c>
      <c r="D455" s="977"/>
      <c r="E455" s="63">
        <f>D455*'16-PlantAdditions'!$E$103</f>
        <v>0</v>
      </c>
      <c r="F455" s="63">
        <f t="shared" si="116"/>
        <v>0</v>
      </c>
      <c r="G455" s="977"/>
      <c r="H455" s="977"/>
      <c r="I455" s="63">
        <f>(G455-H455)*'16-PlantAdditions'!$E$103</f>
        <v>0</v>
      </c>
      <c r="J455" s="63">
        <f t="shared" si="117"/>
        <v>0</v>
      </c>
      <c r="K455" s="63">
        <f t="shared" si="118"/>
        <v>0</v>
      </c>
    </row>
    <row r="456" spans="1:11" ht="13">
      <c r="A456" s="109">
        <f t="shared" si="115"/>
        <v>346</v>
      </c>
      <c r="B456" s="611" t="s">
        <v>184</v>
      </c>
      <c r="C456" s="609">
        <v>2021</v>
      </c>
      <c r="D456" s="977"/>
      <c r="E456" s="63">
        <f>D456*'16-PlantAdditions'!$E$103</f>
        <v>0</v>
      </c>
      <c r="F456" s="63">
        <f t="shared" si="116"/>
        <v>0</v>
      </c>
      <c r="G456" s="977"/>
      <c r="H456" s="977"/>
      <c r="I456" s="63">
        <f>(G456-H456)*'16-PlantAdditions'!$E$103</f>
        <v>0</v>
      </c>
      <c r="J456" s="63">
        <f t="shared" si="117"/>
        <v>0</v>
      </c>
      <c r="K456" s="63">
        <f t="shared" si="118"/>
        <v>0</v>
      </c>
    </row>
    <row r="457" spans="1:11" ht="13">
      <c r="A457" s="109">
        <f t="shared" si="115"/>
        <v>347</v>
      </c>
      <c r="B457" s="611" t="s">
        <v>1458</v>
      </c>
      <c r="C457" s="609">
        <v>2021</v>
      </c>
      <c r="D457" s="977"/>
      <c r="E457" s="63">
        <f>D457*'16-PlantAdditions'!$E$103</f>
        <v>0</v>
      </c>
      <c r="F457" s="63">
        <f t="shared" si="116"/>
        <v>0</v>
      </c>
      <c r="G457" s="977"/>
      <c r="H457" s="977"/>
      <c r="I457" s="63">
        <f>(G457-H457)*'16-PlantAdditions'!$E$103</f>
        <v>0</v>
      </c>
      <c r="J457" s="63">
        <f t="shared" si="117"/>
        <v>0</v>
      </c>
      <c r="K457" s="63">
        <f t="shared" si="118"/>
        <v>0</v>
      </c>
    </row>
    <row r="458" spans="1:11" ht="13">
      <c r="A458" s="109">
        <f t="shared" si="115"/>
        <v>348</v>
      </c>
      <c r="B458" s="608" t="s">
        <v>186</v>
      </c>
      <c r="C458" s="609">
        <v>2021</v>
      </c>
      <c r="D458" s="977"/>
      <c r="E458" s="63">
        <f>D458*'16-PlantAdditions'!$E$103</f>
        <v>0</v>
      </c>
      <c r="F458" s="63">
        <f t="shared" si="116"/>
        <v>0</v>
      </c>
      <c r="G458" s="977"/>
      <c r="H458" s="977"/>
      <c r="I458" s="63">
        <f>(G458-H458)*'16-PlantAdditions'!$E$103</f>
        <v>0</v>
      </c>
      <c r="J458" s="63">
        <f t="shared" si="117"/>
        <v>0</v>
      </c>
      <c r="K458" s="63">
        <f t="shared" si="118"/>
        <v>0</v>
      </c>
    </row>
    <row r="459" spans="1:11" ht="13">
      <c r="A459" s="109">
        <f t="shared" si="115"/>
        <v>349</v>
      </c>
      <c r="B459" s="611" t="s">
        <v>187</v>
      </c>
      <c r="C459" s="609">
        <v>2021</v>
      </c>
      <c r="D459" s="977"/>
      <c r="E459" s="63">
        <f>D459*'16-PlantAdditions'!$E$103</f>
        <v>0</v>
      </c>
      <c r="F459" s="63">
        <f t="shared" si="116"/>
        <v>0</v>
      </c>
      <c r="G459" s="977"/>
      <c r="H459" s="977"/>
      <c r="I459" s="63">
        <f>(G459-H459)*'16-PlantAdditions'!$E$103</f>
        <v>0</v>
      </c>
      <c r="J459" s="63">
        <f t="shared" si="117"/>
        <v>0</v>
      </c>
      <c r="K459" s="63">
        <f t="shared" si="118"/>
        <v>0</v>
      </c>
    </row>
    <row r="460" spans="1:11" ht="13">
      <c r="A460" s="109">
        <f t="shared" si="115"/>
        <v>350</v>
      </c>
      <c r="B460" s="611" t="s">
        <v>188</v>
      </c>
      <c r="C460" s="609">
        <v>2021</v>
      </c>
      <c r="D460" s="977"/>
      <c r="E460" s="63">
        <f>D460*'16-PlantAdditions'!$E$103</f>
        <v>0</v>
      </c>
      <c r="F460" s="63">
        <f t="shared" si="116"/>
        <v>0</v>
      </c>
      <c r="G460" s="977"/>
      <c r="H460" s="977"/>
      <c r="I460" s="63">
        <f>(G460-H460)*'16-PlantAdditions'!$E$103</f>
        <v>0</v>
      </c>
      <c r="J460" s="63">
        <f t="shared" si="117"/>
        <v>0</v>
      </c>
      <c r="K460" s="63">
        <f t="shared" si="118"/>
        <v>0</v>
      </c>
    </row>
    <row r="461" spans="1:11" ht="13">
      <c r="A461" s="109">
        <f t="shared" si="115"/>
        <v>351</v>
      </c>
      <c r="B461" s="608" t="s">
        <v>191</v>
      </c>
      <c r="C461" s="609">
        <v>2021</v>
      </c>
      <c r="D461" s="977"/>
      <c r="E461" s="63">
        <f>D461*'16-PlantAdditions'!$E$103</f>
        <v>0</v>
      </c>
      <c r="F461" s="63">
        <f t="shared" si="116"/>
        <v>0</v>
      </c>
      <c r="G461" s="977"/>
      <c r="H461" s="977"/>
      <c r="I461" s="63">
        <f>(G461-H461)*'16-PlantAdditions'!$E$103</f>
        <v>0</v>
      </c>
      <c r="J461" s="63">
        <f t="shared" si="117"/>
        <v>0</v>
      </c>
      <c r="K461" s="63">
        <f t="shared" si="118"/>
        <v>0</v>
      </c>
    </row>
    <row r="462" spans="1:11" ht="13">
      <c r="A462" s="109">
        <f t="shared" si="115"/>
        <v>352</v>
      </c>
      <c r="B462" s="608" t="s">
        <v>190</v>
      </c>
      <c r="C462" s="609">
        <v>2021</v>
      </c>
      <c r="D462" s="977"/>
      <c r="E462" s="63">
        <f>D462*'16-PlantAdditions'!$E$103</f>
        <v>0</v>
      </c>
      <c r="F462" s="63">
        <f t="shared" si="116"/>
        <v>0</v>
      </c>
      <c r="G462" s="977"/>
      <c r="H462" s="977"/>
      <c r="I462" s="63">
        <f>(G462-H462)*'16-PlantAdditions'!$E$103</f>
        <v>0</v>
      </c>
      <c r="J462" s="63">
        <f t="shared" si="117"/>
        <v>0</v>
      </c>
      <c r="K462" s="63">
        <f t="shared" si="118"/>
        <v>0</v>
      </c>
    </row>
    <row r="463" spans="1:11" ht="13">
      <c r="A463" s="109">
        <f t="shared" si="115"/>
        <v>353</v>
      </c>
      <c r="B463" s="608" t="s">
        <v>180</v>
      </c>
      <c r="C463" s="609">
        <v>2021</v>
      </c>
      <c r="D463" s="977"/>
      <c r="E463" s="63">
        <f>D463*'16-PlantAdditions'!$E$103</f>
        <v>0</v>
      </c>
      <c r="F463" s="63">
        <f t="shared" si="116"/>
        <v>0</v>
      </c>
      <c r="G463" s="977"/>
      <c r="H463" s="977"/>
      <c r="I463" s="63">
        <f>(G463-H463)*'16-PlantAdditions'!$E$103</f>
        <v>0</v>
      </c>
      <c r="J463" s="63">
        <f t="shared" si="117"/>
        <v>0</v>
      </c>
      <c r="K463" s="63">
        <f t="shared" si="118"/>
        <v>0</v>
      </c>
    </row>
    <row r="464" spans="1:11" ht="13">
      <c r="A464" s="109">
        <f t="shared" si="115"/>
        <v>354</v>
      </c>
      <c r="B464" s="608" t="s">
        <v>181</v>
      </c>
      <c r="C464" s="609">
        <v>2022</v>
      </c>
      <c r="D464" s="977"/>
      <c r="E464" s="63">
        <f>D464*'16-PlantAdditions'!$E$103</f>
        <v>0</v>
      </c>
      <c r="F464" s="63">
        <f t="shared" si="116"/>
        <v>0</v>
      </c>
      <c r="G464" s="977"/>
      <c r="H464" s="977"/>
      <c r="I464" s="63">
        <f>(G464-H464)*'16-PlantAdditions'!$E$103</f>
        <v>0</v>
      </c>
      <c r="J464" s="63">
        <f t="shared" si="117"/>
        <v>0</v>
      </c>
      <c r="K464" s="63">
        <f t="shared" si="118"/>
        <v>0</v>
      </c>
    </row>
    <row r="465" spans="1:11" ht="13">
      <c r="A465" s="109">
        <f t="shared" si="115"/>
        <v>355</v>
      </c>
      <c r="B465" s="611" t="s">
        <v>182</v>
      </c>
      <c r="C465" s="609">
        <v>2022</v>
      </c>
      <c r="D465" s="977"/>
      <c r="E465" s="63">
        <f>D465*'16-PlantAdditions'!$E$103</f>
        <v>0</v>
      </c>
      <c r="F465" s="63">
        <f t="shared" si="116"/>
        <v>0</v>
      </c>
      <c r="G465" s="977"/>
      <c r="H465" s="977"/>
      <c r="I465" s="63">
        <f>(G465-H465)*'16-PlantAdditions'!$E$103</f>
        <v>0</v>
      </c>
      <c r="J465" s="63">
        <f t="shared" si="117"/>
        <v>0</v>
      </c>
      <c r="K465" s="63">
        <f t="shared" si="118"/>
        <v>0</v>
      </c>
    </row>
    <row r="466" spans="1:11" ht="13">
      <c r="A466" s="109">
        <f t="shared" si="115"/>
        <v>356</v>
      </c>
      <c r="B466" s="611" t="s">
        <v>195</v>
      </c>
      <c r="C466" s="609">
        <v>2022</v>
      </c>
      <c r="D466" s="977"/>
      <c r="E466" s="63">
        <f>D466*'16-PlantAdditions'!$E$103</f>
        <v>0</v>
      </c>
      <c r="F466" s="63">
        <f t="shared" si="116"/>
        <v>0</v>
      </c>
      <c r="G466" s="977"/>
      <c r="H466" s="977"/>
      <c r="I466" s="63">
        <f>(G466-H466)*'16-PlantAdditions'!$E$103</f>
        <v>0</v>
      </c>
      <c r="J466" s="63">
        <f t="shared" si="117"/>
        <v>0</v>
      </c>
      <c r="K466" s="63">
        <f t="shared" si="118"/>
        <v>0</v>
      </c>
    </row>
    <row r="467" spans="1:11" ht="13">
      <c r="A467" s="109">
        <f t="shared" si="115"/>
        <v>357</v>
      </c>
      <c r="B467" s="608" t="s">
        <v>183</v>
      </c>
      <c r="C467" s="609">
        <v>2022</v>
      </c>
      <c r="D467" s="977"/>
      <c r="E467" s="63">
        <f>D467*'16-PlantAdditions'!$E$103</f>
        <v>0</v>
      </c>
      <c r="F467" s="63">
        <f t="shared" si="116"/>
        <v>0</v>
      </c>
      <c r="G467" s="977"/>
      <c r="H467" s="977"/>
      <c r="I467" s="63">
        <f>(G467-H467)*'16-PlantAdditions'!$E$103</f>
        <v>0</v>
      </c>
      <c r="J467" s="63">
        <f t="shared" si="117"/>
        <v>0</v>
      </c>
      <c r="K467" s="63">
        <f t="shared" si="118"/>
        <v>0</v>
      </c>
    </row>
    <row r="468" spans="1:11" ht="13">
      <c r="A468" s="109">
        <f t="shared" si="115"/>
        <v>358</v>
      </c>
      <c r="B468" s="611" t="s">
        <v>184</v>
      </c>
      <c r="C468" s="609">
        <v>2022</v>
      </c>
      <c r="D468" s="977"/>
      <c r="E468" s="63">
        <f>D468*'16-PlantAdditions'!$E$103</f>
        <v>0</v>
      </c>
      <c r="F468" s="63">
        <f t="shared" si="116"/>
        <v>0</v>
      </c>
      <c r="G468" s="977"/>
      <c r="H468" s="977"/>
      <c r="I468" s="63">
        <f>(G468-H468)*'16-PlantAdditions'!$E$103</f>
        <v>0</v>
      </c>
      <c r="J468" s="63">
        <f t="shared" si="117"/>
        <v>0</v>
      </c>
      <c r="K468" s="63">
        <f t="shared" si="118"/>
        <v>0</v>
      </c>
    </row>
    <row r="469" spans="1:11" ht="13">
      <c r="A469" s="109">
        <f t="shared" si="115"/>
        <v>359</v>
      </c>
      <c r="B469" s="611" t="s">
        <v>1458</v>
      </c>
      <c r="C469" s="609">
        <v>2022</v>
      </c>
      <c r="D469" s="977"/>
      <c r="E469" s="63">
        <f>D469*'16-PlantAdditions'!$E$103</f>
        <v>0</v>
      </c>
      <c r="F469" s="63">
        <f t="shared" si="116"/>
        <v>0</v>
      </c>
      <c r="G469" s="977"/>
      <c r="H469" s="977"/>
      <c r="I469" s="63">
        <f>(G469-H469)*'16-PlantAdditions'!$E$103</f>
        <v>0</v>
      </c>
      <c r="J469" s="63">
        <f t="shared" si="117"/>
        <v>0</v>
      </c>
      <c r="K469" s="63">
        <f t="shared" si="118"/>
        <v>0</v>
      </c>
    </row>
    <row r="470" spans="1:11" ht="13">
      <c r="A470" s="109">
        <f t="shared" si="115"/>
        <v>360</v>
      </c>
      <c r="B470" s="608" t="s">
        <v>186</v>
      </c>
      <c r="C470" s="609">
        <v>2022</v>
      </c>
      <c r="D470" s="977"/>
      <c r="E470" s="63">
        <f>D470*'16-PlantAdditions'!$E$103</f>
        <v>0</v>
      </c>
      <c r="F470" s="63">
        <f t="shared" si="116"/>
        <v>0</v>
      </c>
      <c r="G470" s="977"/>
      <c r="H470" s="977"/>
      <c r="I470" s="63">
        <f>(G470-H470)*'16-PlantAdditions'!$E$103</f>
        <v>0</v>
      </c>
      <c r="J470" s="63">
        <f t="shared" si="117"/>
        <v>0</v>
      </c>
      <c r="K470" s="63">
        <f t="shared" si="118"/>
        <v>0</v>
      </c>
    </row>
    <row r="471" spans="1:11" ht="13">
      <c r="A471" s="109">
        <f t="shared" si="115"/>
        <v>361</v>
      </c>
      <c r="B471" s="611" t="s">
        <v>187</v>
      </c>
      <c r="C471" s="609">
        <v>2022</v>
      </c>
      <c r="D471" s="977"/>
      <c r="E471" s="63">
        <f>D471*'16-PlantAdditions'!$E$103</f>
        <v>0</v>
      </c>
      <c r="F471" s="63">
        <f t="shared" si="116"/>
        <v>0</v>
      </c>
      <c r="G471" s="977"/>
      <c r="H471" s="977"/>
      <c r="I471" s="63">
        <f>(G471-H471)*'16-PlantAdditions'!$E$103</f>
        <v>0</v>
      </c>
      <c r="J471" s="63">
        <f t="shared" si="117"/>
        <v>0</v>
      </c>
      <c r="K471" s="63">
        <f t="shared" si="118"/>
        <v>0</v>
      </c>
    </row>
    <row r="472" spans="1:11" ht="13">
      <c r="A472" s="109">
        <f t="shared" si="115"/>
        <v>362</v>
      </c>
      <c r="B472" s="611" t="s">
        <v>188</v>
      </c>
      <c r="C472" s="609">
        <v>2022</v>
      </c>
      <c r="D472" s="977"/>
      <c r="E472" s="63">
        <f>D472*'16-PlantAdditions'!$E$103</f>
        <v>0</v>
      </c>
      <c r="F472" s="63">
        <f t="shared" si="116"/>
        <v>0</v>
      </c>
      <c r="G472" s="977"/>
      <c r="H472" s="977"/>
      <c r="I472" s="63">
        <f>(G472-H472)*'16-PlantAdditions'!$E$103</f>
        <v>0</v>
      </c>
      <c r="J472" s="63">
        <f t="shared" si="117"/>
        <v>0</v>
      </c>
      <c r="K472" s="63">
        <f t="shared" si="118"/>
        <v>0</v>
      </c>
    </row>
    <row r="473" spans="1:11" ht="13">
      <c r="A473" s="109">
        <f t="shared" si="115"/>
        <v>363</v>
      </c>
      <c r="B473" s="611" t="s">
        <v>191</v>
      </c>
      <c r="C473" s="609">
        <v>2022</v>
      </c>
      <c r="D473" s="977"/>
      <c r="E473" s="63">
        <f>D473*'16-PlantAdditions'!$E$103</f>
        <v>0</v>
      </c>
      <c r="F473" s="63">
        <f t="shared" si="116"/>
        <v>0</v>
      </c>
      <c r="G473" s="977"/>
      <c r="H473" s="977"/>
      <c r="I473" s="63">
        <f>(G473-H473)*'16-PlantAdditions'!$E$103</f>
        <v>0</v>
      </c>
      <c r="J473" s="63">
        <f t="shared" si="117"/>
        <v>0</v>
      </c>
      <c r="K473" s="63">
        <f t="shared" si="118"/>
        <v>0</v>
      </c>
    </row>
    <row r="474" spans="1:11" ht="13">
      <c r="A474" s="109">
        <f t="shared" si="115"/>
        <v>364</v>
      </c>
      <c r="B474" s="611" t="s">
        <v>190</v>
      </c>
      <c r="C474" s="609">
        <v>2022</v>
      </c>
      <c r="D474" s="977"/>
      <c r="E474" s="63">
        <f>D474*'16-PlantAdditions'!$E$103</f>
        <v>0</v>
      </c>
      <c r="F474" s="63">
        <f t="shared" si="116"/>
        <v>0</v>
      </c>
      <c r="G474" s="977"/>
      <c r="H474" s="977"/>
      <c r="I474" s="63">
        <f>(G474-H474)*'16-PlantAdditions'!$E$103</f>
        <v>0</v>
      </c>
      <c r="J474" s="63">
        <f t="shared" si="117"/>
        <v>0</v>
      </c>
      <c r="K474" s="63">
        <f t="shared" si="118"/>
        <v>0</v>
      </c>
    </row>
    <row r="475" spans="1:11" ht="13">
      <c r="A475" s="109">
        <f t="shared" si="115"/>
        <v>365</v>
      </c>
      <c r="B475" s="611" t="s">
        <v>180</v>
      </c>
      <c r="C475" s="609">
        <v>2022</v>
      </c>
      <c r="D475" s="977"/>
      <c r="E475" s="63">
        <f>D475*'16-PlantAdditions'!$E$103</f>
        <v>0</v>
      </c>
      <c r="F475" s="63">
        <f t="shared" si="116"/>
        <v>0</v>
      </c>
      <c r="G475" s="977"/>
      <c r="H475" s="977"/>
      <c r="I475" s="63">
        <f>(G475-H475)*'16-PlantAdditions'!$E$103</f>
        <v>0</v>
      </c>
      <c r="J475" s="63">
        <f t="shared" si="117"/>
        <v>0</v>
      </c>
      <c r="K475" s="110">
        <f t="shared" si="118"/>
        <v>0</v>
      </c>
    </row>
    <row r="476" spans="1:11" ht="13">
      <c r="A476" s="109">
        <f t="shared" si="115"/>
        <v>366</v>
      </c>
      <c r="B476" s="955"/>
      <c r="C476" s="644" t="s">
        <v>1603</v>
      </c>
      <c r="D476" s="645"/>
      <c r="E476" s="645"/>
      <c r="F476" s="645"/>
      <c r="G476" s="645"/>
      <c r="H476" s="649"/>
      <c r="I476" s="649"/>
      <c r="J476" s="645"/>
      <c r="K476" s="73">
        <f>AVERAGE(K463:K475)</f>
        <v>0</v>
      </c>
    </row>
    <row r="477" spans="1:11" ht="13">
      <c r="B477" s="615" t="s">
        <v>230</v>
      </c>
    </row>
    <row r="478" spans="1:11">
      <c r="B478" s="611" t="s">
        <v>2060</v>
      </c>
    </row>
    <row r="479" spans="1:11">
      <c r="B479" s="611" t="s">
        <v>2708</v>
      </c>
      <c r="H479" s="14"/>
      <c r="I479" s="14"/>
    </row>
    <row r="481" spans="2:9" ht="13">
      <c r="B481" s="1" t="s">
        <v>377</v>
      </c>
    </row>
    <row r="482" spans="2:9">
      <c r="B482" s="463" t="s">
        <v>989</v>
      </c>
    </row>
    <row r="483" spans="2:9">
      <c r="B483" s="463" t="s">
        <v>2682</v>
      </c>
      <c r="H483" s="14"/>
      <c r="I483" s="14"/>
    </row>
    <row r="484" spans="2:9">
      <c r="B484" s="465" t="s">
        <v>1940</v>
      </c>
    </row>
  </sheetData>
  <mergeCells count="12">
    <mergeCell ref="D412:E412"/>
    <mergeCell ref="F379:G379"/>
    <mergeCell ref="D280:E280"/>
    <mergeCell ref="D313:E313"/>
    <mergeCell ref="D346:E346"/>
    <mergeCell ref="D247:E247"/>
    <mergeCell ref="D379:E379"/>
    <mergeCell ref="D82:E82"/>
    <mergeCell ref="D115:E115"/>
    <mergeCell ref="D148:E148"/>
    <mergeCell ref="D181:E181"/>
    <mergeCell ref="D214:E214"/>
  </mergeCells>
  <pageMargins left="0.7" right="0.7" top="0.75" bottom="0.75" header="0.3" footer="0.3"/>
  <pageSetup scale="50" fitToHeight="0" orientation="landscape" cellComments="asDisplayed" r:id="rId1"/>
  <headerFooter>
    <oddHeader>&amp;CSchedule 10
CWIP
&amp;RTO2022 Annual Update 
Attachment 1</oddHeader>
    <oddFooter>&amp;R&amp;A</oddFooter>
  </headerFooter>
  <rowBreaks count="7" manualBreakCount="7">
    <brk id="47" max="16383" man="1"/>
    <brk id="113" max="10" man="1"/>
    <brk id="179" max="10" man="1"/>
    <brk id="245" max="10" man="1"/>
    <brk id="311" max="10" man="1"/>
    <brk id="377" max="10" man="1"/>
    <brk id="444"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2"/>
  <sheetViews>
    <sheetView zoomScaleNormal="100" workbookViewId="0"/>
  </sheetViews>
  <sheetFormatPr defaultRowHeight="12.5"/>
  <cols>
    <col min="1" max="1" width="4.54296875" customWidth="1"/>
    <col min="2" max="2" width="22.54296875" customWidth="1"/>
    <col min="3" max="3" width="8.54296875" customWidth="1"/>
    <col min="4" max="5" width="25.54296875" customWidth="1"/>
    <col min="6" max="6" width="22.54296875" customWidth="1"/>
  </cols>
  <sheetData>
    <row r="1" spans="1:6" ht="13">
      <c r="A1" s="38" t="s">
        <v>1193</v>
      </c>
      <c r="B1" s="118"/>
      <c r="C1" s="39"/>
      <c r="D1" s="39"/>
      <c r="E1" s="39"/>
      <c r="F1" s="39"/>
    </row>
    <row r="2" spans="1:6" ht="13">
      <c r="A2" s="120"/>
      <c r="B2" s="14"/>
      <c r="C2" s="121"/>
      <c r="D2" s="121"/>
      <c r="F2" s="43" t="s">
        <v>17</v>
      </c>
    </row>
    <row r="3" spans="1:6" ht="13">
      <c r="A3" s="120"/>
      <c r="B3" s="15" t="s">
        <v>493</v>
      </c>
      <c r="C3" s="121"/>
      <c r="D3" s="121"/>
      <c r="E3" s="121"/>
    </row>
    <row r="4" spans="1:6" ht="13">
      <c r="A4" s="120"/>
      <c r="B4" s="15" t="s">
        <v>386</v>
      </c>
      <c r="C4" s="121"/>
      <c r="D4" s="121"/>
      <c r="E4" s="121"/>
    </row>
    <row r="5" spans="1:6" ht="13">
      <c r="A5" s="120"/>
      <c r="B5" s="15" t="s">
        <v>391</v>
      </c>
      <c r="C5" s="121"/>
      <c r="D5" s="121"/>
      <c r="E5" s="121"/>
    </row>
    <row r="6" spans="1:6" ht="13">
      <c r="A6" s="120"/>
    </row>
    <row r="7" spans="1:6" ht="13">
      <c r="A7" s="51" t="s">
        <v>329</v>
      </c>
      <c r="B7" s="14"/>
      <c r="C7" s="121"/>
      <c r="D7" s="3" t="s">
        <v>389</v>
      </c>
      <c r="E7" s="119" t="s">
        <v>388</v>
      </c>
      <c r="F7" s="122" t="s">
        <v>179</v>
      </c>
    </row>
    <row r="8" spans="1:6" ht="13">
      <c r="A8" s="2">
        <v>1</v>
      </c>
      <c r="B8" s="15" t="s">
        <v>400</v>
      </c>
      <c r="D8" s="6">
        <v>30786584</v>
      </c>
      <c r="E8" s="6">
        <v>30786584</v>
      </c>
      <c r="F8" s="13" t="s">
        <v>1206</v>
      </c>
    </row>
    <row r="9" spans="1:6" ht="13">
      <c r="A9" s="2"/>
      <c r="B9" s="15"/>
      <c r="D9" s="14"/>
      <c r="E9" s="12"/>
    </row>
    <row r="10" spans="1:6" ht="13">
      <c r="A10" s="2"/>
      <c r="B10" s="15" t="s">
        <v>394</v>
      </c>
      <c r="D10" s="14"/>
      <c r="E10" s="12"/>
    </row>
    <row r="11" spans="1:6" ht="13">
      <c r="A11" s="2"/>
      <c r="B11" s="15"/>
      <c r="D11" s="14"/>
      <c r="E11" s="12"/>
    </row>
    <row r="12" spans="1:6" ht="13">
      <c r="A12" s="2"/>
      <c r="B12" s="84" t="s">
        <v>358</v>
      </c>
      <c r="C12" s="84" t="s">
        <v>342</v>
      </c>
      <c r="D12" s="84" t="s">
        <v>343</v>
      </c>
      <c r="E12" s="84" t="s">
        <v>344</v>
      </c>
      <c r="F12" s="84" t="s">
        <v>345</v>
      </c>
    </row>
    <row r="13" spans="1:6" ht="13">
      <c r="A13" s="2"/>
      <c r="B13" s="15"/>
      <c r="C13" s="2" t="s">
        <v>397</v>
      </c>
      <c r="D13" s="14"/>
      <c r="E13" s="12"/>
    </row>
    <row r="14" spans="1:6" ht="13">
      <c r="A14" s="2"/>
      <c r="B14" s="51" t="s">
        <v>100</v>
      </c>
      <c r="C14" s="3" t="s">
        <v>396</v>
      </c>
      <c r="D14" s="3" t="s">
        <v>389</v>
      </c>
      <c r="E14" s="119" t="s">
        <v>388</v>
      </c>
      <c r="F14" s="119" t="s">
        <v>179</v>
      </c>
    </row>
    <row r="15" spans="1:6" ht="13">
      <c r="A15" s="2" t="s">
        <v>507</v>
      </c>
      <c r="B15" s="961" t="s">
        <v>2824</v>
      </c>
      <c r="C15" s="96" t="s">
        <v>2825</v>
      </c>
      <c r="D15" s="6">
        <v>9942155</v>
      </c>
      <c r="E15" s="977">
        <v>9942155</v>
      </c>
      <c r="F15" s="96" t="s">
        <v>2826</v>
      </c>
    </row>
    <row r="16" spans="1:6" ht="13">
      <c r="A16" s="2" t="s">
        <v>508</v>
      </c>
      <c r="B16" s="114"/>
      <c r="C16" s="96"/>
      <c r="D16" s="6"/>
      <c r="E16" s="6"/>
      <c r="F16" s="96"/>
    </row>
    <row r="17" spans="1:6" ht="13">
      <c r="A17" s="2" t="s">
        <v>509</v>
      </c>
      <c r="B17" s="114"/>
      <c r="C17" s="96"/>
      <c r="D17" s="6"/>
      <c r="E17" s="6"/>
      <c r="F17" s="96"/>
    </row>
    <row r="18" spans="1:6" ht="13">
      <c r="A18" s="2" t="s">
        <v>510</v>
      </c>
      <c r="B18" s="114"/>
      <c r="C18" s="96"/>
      <c r="D18" s="6"/>
      <c r="E18" s="6"/>
      <c r="F18" s="96"/>
    </row>
    <row r="19" spans="1:6" ht="13">
      <c r="A19" s="2" t="s">
        <v>511</v>
      </c>
      <c r="B19" s="114"/>
      <c r="C19" s="96"/>
      <c r="D19" s="6"/>
      <c r="E19" s="6"/>
      <c r="F19" s="96"/>
    </row>
    <row r="20" spans="1:6" ht="13">
      <c r="A20" s="2" t="s">
        <v>512</v>
      </c>
      <c r="B20" s="114"/>
      <c r="C20" s="96"/>
      <c r="D20" s="6"/>
      <c r="E20" s="6"/>
      <c r="F20" s="96"/>
    </row>
    <row r="21" spans="1:6" ht="13">
      <c r="A21" s="2" t="s">
        <v>513</v>
      </c>
      <c r="B21" s="114"/>
      <c r="C21" s="96"/>
      <c r="D21" s="6"/>
      <c r="E21" s="6"/>
      <c r="F21" s="96"/>
    </row>
    <row r="22" spans="1:6" ht="13">
      <c r="A22" s="2" t="s">
        <v>514</v>
      </c>
      <c r="B22" s="114"/>
      <c r="C22" s="96"/>
      <c r="D22" s="6"/>
      <c r="E22" s="6"/>
      <c r="F22" s="96"/>
    </row>
    <row r="23" spans="1:6" ht="13">
      <c r="A23" s="109"/>
      <c r="B23" s="386" t="s">
        <v>504</v>
      </c>
      <c r="C23" s="96"/>
      <c r="D23" s="387"/>
      <c r="E23" s="387"/>
      <c r="F23" s="96"/>
    </row>
    <row r="24" spans="1:6" ht="13">
      <c r="A24" s="2">
        <v>3</v>
      </c>
      <c r="C24" s="12" t="s">
        <v>4</v>
      </c>
      <c r="D24" s="7">
        <f>SUM(D15:D22)</f>
        <v>9942155</v>
      </c>
      <c r="E24" s="7">
        <f>SUM(E15:E22)</f>
        <v>9942155</v>
      </c>
      <c r="F24" s="46" t="s">
        <v>516</v>
      </c>
    </row>
    <row r="25" spans="1:6">
      <c r="C25" s="12"/>
    </row>
    <row r="26" spans="1:6" ht="13">
      <c r="C26" s="12"/>
      <c r="D26" s="3" t="s">
        <v>389</v>
      </c>
      <c r="E26" s="119" t="s">
        <v>388</v>
      </c>
      <c r="F26" s="122" t="s">
        <v>179</v>
      </c>
    </row>
    <row r="27" spans="1:6" ht="13">
      <c r="A27" s="2">
        <v>4</v>
      </c>
      <c r="B27" s="12" t="s">
        <v>390</v>
      </c>
      <c r="C27" s="12"/>
      <c r="D27" s="6">
        <v>0</v>
      </c>
      <c r="E27" s="6">
        <v>0</v>
      </c>
      <c r="F27" s="462" t="s">
        <v>387</v>
      </c>
    </row>
    <row r="28" spans="1:6" s="955" customFormat="1" ht="13">
      <c r="A28" s="4" t="s">
        <v>583</v>
      </c>
      <c r="B28" s="12"/>
      <c r="C28" s="463"/>
      <c r="D28" s="463"/>
      <c r="E28" s="461" t="s">
        <v>2527</v>
      </c>
      <c r="F28" s="511" t="s">
        <v>1947</v>
      </c>
    </row>
    <row r="29" spans="1:6" ht="13">
      <c r="A29" s="2">
        <v>5</v>
      </c>
      <c r="B29" s="12" t="s">
        <v>302</v>
      </c>
      <c r="D29" s="123">
        <f>'27-Allocators'!G15</f>
        <v>6.982260642173875E-2</v>
      </c>
      <c r="E29" s="123">
        <f>'27-Allocators'!G15</f>
        <v>6.982260642173875E-2</v>
      </c>
      <c r="F29" s="46" t="str">
        <f>"27-Allocators, L "&amp;'27-Allocators'!A15&amp;""</f>
        <v>27-Allocators, L 9</v>
      </c>
    </row>
    <row r="30" spans="1:6" ht="13">
      <c r="A30" s="2">
        <v>6</v>
      </c>
      <c r="B30" s="12" t="s">
        <v>398</v>
      </c>
      <c r="C30" s="12"/>
      <c r="D30" s="63">
        <f>D27*D29</f>
        <v>0</v>
      </c>
      <c r="E30" s="63">
        <f>E27*E29</f>
        <v>0</v>
      </c>
      <c r="F30" s="46" t="str">
        <f>"L "&amp;A27&amp;" * L "&amp;A29&amp;""</f>
        <v>L 4 * L 5</v>
      </c>
    </row>
    <row r="31" spans="1:6">
      <c r="C31" s="12"/>
    </row>
    <row r="32" spans="1:6">
      <c r="B32" s="12" t="s">
        <v>395</v>
      </c>
    </row>
    <row r="33" spans="1:6">
      <c r="C33" s="32"/>
      <c r="D33" s="33"/>
      <c r="E33" s="35"/>
    </row>
    <row r="34" spans="1:6" ht="13">
      <c r="D34" s="3" t="s">
        <v>389</v>
      </c>
      <c r="E34" s="119" t="s">
        <v>388</v>
      </c>
      <c r="F34" s="122" t="s">
        <v>179</v>
      </c>
    </row>
    <row r="35" spans="1:6" ht="13">
      <c r="A35" s="2">
        <v>7</v>
      </c>
      <c r="C35" s="12"/>
      <c r="D35" s="6">
        <f>D8-D15</f>
        <v>20844429</v>
      </c>
      <c r="E35" s="6">
        <f>E8-E15</f>
        <v>20844429</v>
      </c>
      <c r="F35" s="13" t="s">
        <v>359</v>
      </c>
    </row>
    <row r="38" spans="1:6" ht="13">
      <c r="B38" s="12" t="s">
        <v>399</v>
      </c>
      <c r="D38" s="3" t="s">
        <v>389</v>
      </c>
      <c r="E38" s="119" t="s">
        <v>388</v>
      </c>
      <c r="F38" s="122" t="s">
        <v>179</v>
      </c>
    </row>
    <row r="39" spans="1:6" ht="13">
      <c r="A39" s="2">
        <v>8</v>
      </c>
      <c r="D39" s="100">
        <f>D24+D30</f>
        <v>9942155</v>
      </c>
      <c r="E39" s="100">
        <f>E24+E30</f>
        <v>9942155</v>
      </c>
      <c r="F39" s="46" t="str">
        <f>"L "&amp;A24&amp;" + L "&amp;A30&amp;""</f>
        <v>L 3 + L 6</v>
      </c>
    </row>
    <row r="40" spans="1:6" ht="13">
      <c r="A40" s="2"/>
      <c r="D40" s="100"/>
      <c r="E40" s="100"/>
      <c r="F40" s="13"/>
    </row>
    <row r="41" spans="1:6">
      <c r="B41" t="s">
        <v>401</v>
      </c>
    </row>
    <row r="42" spans="1:6" ht="13">
      <c r="A42" s="2">
        <v>9</v>
      </c>
      <c r="B42" s="12" t="s">
        <v>399</v>
      </c>
      <c r="D42" s="47">
        <f>(D39+E39)/2</f>
        <v>9942155</v>
      </c>
      <c r="E42" s="100"/>
      <c r="F42" s="46" t="str">
        <f>"Sum of Line "&amp;A39&amp;" / 2"</f>
        <v>Sum of Line 8 / 2</v>
      </c>
    </row>
    <row r="43" spans="1:6">
      <c r="B43" s="12"/>
    </row>
    <row r="44" spans="1:6" ht="13">
      <c r="B44" s="1" t="s">
        <v>495</v>
      </c>
      <c r="C44" s="12"/>
    </row>
    <row r="45" spans="1:6">
      <c r="C45" s="12"/>
    </row>
    <row r="46" spans="1:6" ht="13">
      <c r="A46" s="2"/>
      <c r="F46" s="122" t="s">
        <v>179</v>
      </c>
    </row>
    <row r="47" spans="1:6" ht="13">
      <c r="A47" s="2">
        <v>10</v>
      </c>
      <c r="B47" s="12" t="s">
        <v>494</v>
      </c>
      <c r="E47" s="972">
        <v>0</v>
      </c>
      <c r="F47" s="13" t="s">
        <v>33</v>
      </c>
    </row>
    <row r="50" spans="2:2" ht="13">
      <c r="B50" s="1" t="s">
        <v>377</v>
      </c>
    </row>
    <row r="51" spans="2:2">
      <c r="B51" s="12" t="s">
        <v>392</v>
      </c>
    </row>
    <row r="52" spans="2:2">
      <c r="B52" s="15" t="s">
        <v>1197</v>
      </c>
    </row>
    <row r="53" spans="2:2">
      <c r="B53" s="12" t="s">
        <v>1198</v>
      </c>
    </row>
    <row r="54" spans="2:2">
      <c r="B54" s="12" t="s">
        <v>515</v>
      </c>
    </row>
    <row r="55" spans="2:2">
      <c r="B55" s="12" t="str">
        <f>"2) For any Electric Plant Held for Future Use classified as General note amount on Line "&amp;A27&amp;"."</f>
        <v>2) For any Electric Plant Held for Future Use classified as General note amount on Line 4.</v>
      </c>
    </row>
    <row r="56" spans="2:2">
      <c r="B56" s="15" t="s">
        <v>1199</v>
      </c>
    </row>
    <row r="57" spans="2:2">
      <c r="B57" s="12" t="s">
        <v>393</v>
      </c>
    </row>
    <row r="58" spans="2:2">
      <c r="B58" s="463" t="s">
        <v>1641</v>
      </c>
    </row>
    <row r="59" spans="2:2">
      <c r="B59" s="12" t="s">
        <v>1196</v>
      </c>
    </row>
    <row r="60" spans="2:2">
      <c r="B60" s="12"/>
    </row>
    <row r="61" spans="2:2" ht="13">
      <c r="B61" s="1" t="s">
        <v>230</v>
      </c>
    </row>
    <row r="62" spans="2:2">
      <c r="B62" s="15" t="s">
        <v>1207</v>
      </c>
    </row>
  </sheetData>
  <pageMargins left="0.7" right="0.7" top="0.75" bottom="0.75" header="0.3" footer="0.3"/>
  <pageSetup scale="80" orientation="portrait" cellComments="asDisplayed" r:id="rId1"/>
  <headerFooter>
    <oddHeader>&amp;CSchedule 11
Plant Held for Future Use
&amp;RTO2022 Annual Update 
Attachment 1</oddHeader>
    <oddFooter>&amp;R11-PHFU</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6"/>
  <sheetViews>
    <sheetView zoomScaleNormal="100" workbookViewId="0"/>
  </sheetViews>
  <sheetFormatPr defaultRowHeight="12.5"/>
  <cols>
    <col min="1" max="1" width="4.54296875" customWidth="1"/>
    <col min="2" max="2" width="5.54296875" customWidth="1"/>
    <col min="3" max="10" width="12.54296875" customWidth="1"/>
    <col min="12" max="12" width="9.453125" style="14"/>
  </cols>
  <sheetData>
    <row r="1" spans="1:10" ht="13">
      <c r="A1" s="1" t="s">
        <v>290</v>
      </c>
    </row>
    <row r="2" spans="1:10">
      <c r="I2" s="511" t="s">
        <v>246</v>
      </c>
      <c r="J2" s="511"/>
    </row>
    <row r="3" spans="1:10">
      <c r="B3" t="s">
        <v>315</v>
      </c>
    </row>
    <row r="5" spans="1:10">
      <c r="B5" t="s">
        <v>310</v>
      </c>
    </row>
    <row r="6" spans="1:10">
      <c r="B6" t="s">
        <v>316</v>
      </c>
    </row>
    <row r="7" spans="1:10">
      <c r="F7" s="75" t="s">
        <v>224</v>
      </c>
      <c r="H7" s="75" t="s">
        <v>1803</v>
      </c>
    </row>
    <row r="8" spans="1:10">
      <c r="B8" s="14" t="s">
        <v>1802</v>
      </c>
      <c r="C8" s="14"/>
      <c r="D8" s="14"/>
      <c r="E8" s="14"/>
      <c r="F8" s="961"/>
      <c r="G8" s="96"/>
      <c r="H8" s="961"/>
      <c r="I8" s="96"/>
      <c r="J8" s="96"/>
    </row>
    <row r="9" spans="1:10">
      <c r="B9" s="14"/>
      <c r="C9" s="14"/>
      <c r="D9" s="14"/>
      <c r="E9" s="14"/>
      <c r="F9" s="961"/>
      <c r="G9" s="96"/>
      <c r="H9" s="96"/>
      <c r="I9" s="96"/>
      <c r="J9" s="96"/>
    </row>
    <row r="10" spans="1:10">
      <c r="B10" s="14"/>
      <c r="C10" s="14"/>
      <c r="D10" s="14"/>
      <c r="E10" s="14"/>
      <c r="F10" s="868" t="s">
        <v>504</v>
      </c>
      <c r="G10" s="14"/>
      <c r="H10" s="868" t="s">
        <v>504</v>
      </c>
      <c r="I10" s="14"/>
    </row>
    <row r="12" spans="1:10">
      <c r="B12" s="463" t="s">
        <v>375</v>
      </c>
    </row>
    <row r="13" spans="1:10">
      <c r="B13" s="463"/>
    </row>
    <row r="14" spans="1:10">
      <c r="B14" s="463" t="s">
        <v>373</v>
      </c>
    </row>
    <row r="15" spans="1:10">
      <c r="B15" s="463" t="s">
        <v>374</v>
      </c>
    </row>
    <row r="16" spans="1:10" ht="13">
      <c r="B16" s="463"/>
      <c r="G16" s="549" t="s">
        <v>376</v>
      </c>
    </row>
    <row r="17" spans="1:12" ht="13">
      <c r="A17" s="51" t="s">
        <v>329</v>
      </c>
      <c r="G17" s="3" t="s">
        <v>63</v>
      </c>
      <c r="I17" s="51" t="s">
        <v>236</v>
      </c>
    </row>
    <row r="18" spans="1:12" ht="13">
      <c r="A18" s="549">
        <v>1</v>
      </c>
      <c r="F18" s="37" t="s">
        <v>311</v>
      </c>
      <c r="G18" s="63">
        <f>SUM(IF(B31='1-BaseTRR'!$K$4,E31+I31,0),IF(B32='1-BaseTRR'!$K$4,E32+I32,0),IF(B33='1-BaseTRR'!$K$4,E33+I33,0),IF(B34='1-BaseTRR'!$K$4,E34+I34,0),IF(B35='1-BaseTRR'!$K$4,E35+I35,0),IF(B36='1-BaseTRR'!$K$4,E36+I36,0),IF(B37='1-BaseTRR'!$K$4,E37+I37,0),IF(B38='1-BaseTRR'!$K$4,E38+I38,0),IF(B39='1-BaseTRR'!$K$4,E39+I39,0),IF(B40='1-BaseTRR'!$K$4,E40+I40,0),IF(B41='1-BaseTRR'!$K$4,E41+I41,0))</f>
        <v>0</v>
      </c>
      <c r="I18" s="463" t="s">
        <v>385</v>
      </c>
    </row>
    <row r="19" spans="1:12" ht="13">
      <c r="A19" s="549">
        <v>2</v>
      </c>
      <c r="F19" s="461" t="s">
        <v>379</v>
      </c>
      <c r="G19" s="63">
        <f>SUM(IF(B31='1-BaseTRR'!$K$4-1,C31+G31,0),IF(B32='1-BaseTRR'!$K$4-1,C32+G32,0),IF(B33='1-BaseTRR'!$K$4-1,C33+G33,0),IF(B34='1-BaseTRR'!$K$4-1,C34+G34,0),IF(B35='1-BaseTRR'!$K$4-1,C35+G35,0),IF(B36='1-BaseTRR'!$K$4-1,C36+G36,0),IF(B37='1-BaseTRR'!$K$4-1,C37+G37,0),IF(B38='1-BaseTRR'!$K$4-1,C38+G38,0),IF(B39='1-BaseTRR'!$K$4-1,C39+G39,0),IF(B40='1-BaseTRR'!$K$4-1,C40+G40,0),IF(B41='1-BaseTRR'!$K$4-1,C41+G41,0))</f>
        <v>0</v>
      </c>
      <c r="I19" s="463" t="s">
        <v>385</v>
      </c>
    </row>
    <row r="20" spans="1:12" ht="13">
      <c r="A20" s="549">
        <v>3</v>
      </c>
      <c r="F20" s="37" t="s">
        <v>313</v>
      </c>
      <c r="G20" s="63">
        <f>SUM(IF(B31='1-BaseTRR'!$K$4,C31+G31,0),IF(B32='1-BaseTRR'!$K$4,C32+G32,0),IF(B33='1-BaseTRR'!$K$4,C33+G33,0),IF(B34='1-BaseTRR'!$K$4,C34+G34,0),IF(B35='1-BaseTRR'!$K$4,C35+G35,0),IF(B36='1-BaseTRR'!$K$4,C36+G36,0),IF(B37='1-BaseTRR'!$K$4,C37+G37,0),IF(B38='1-BaseTRR'!$K$4,C38+G38,0),IF(B39='1-BaseTRR'!$K$4,C39+G39,0),IF(B40='1-BaseTRR'!$K$4,C40+G40,0),IF(B41='1-BaseTRR'!$K$4,C41+G41,0))</f>
        <v>0</v>
      </c>
      <c r="I20" s="463" t="s">
        <v>385</v>
      </c>
    </row>
    <row r="21" spans="1:12" ht="13">
      <c r="A21" s="549">
        <v>4</v>
      </c>
      <c r="F21" s="37" t="s">
        <v>314</v>
      </c>
      <c r="G21" s="63">
        <f>(G19+G20)/2</f>
        <v>0</v>
      </c>
      <c r="I21" s="465" t="str">
        <f>"Average of Lines "&amp;A19&amp;" and "&amp;A20&amp;"."</f>
        <v>Average of Lines 2 and 3.</v>
      </c>
    </row>
    <row r="22" spans="1:12" s="955" customFormat="1" ht="13">
      <c r="A22" s="549">
        <v>5</v>
      </c>
      <c r="E22" s="465"/>
      <c r="F22" s="842" t="s">
        <v>2289</v>
      </c>
      <c r="G22" s="63">
        <f>SUM(IF(B31='1-BaseTRR'!$K$4-1,D31+H31,0),IF(B32='1-BaseTRR'!$K$4-1,D32+H32,0),IF(B33='1-BaseTRR'!$K$4-1,D33+H33,0),IF(B34='1-BaseTRR'!$K$4-1,D34+H34,0),IF(B35='1-BaseTRR'!$K$4-1,D35+H35,0),IF(B36='1-BaseTRR'!$K$4-1,D36+H36,0),IF(B37='1-BaseTRR'!$K$4-1,D37+H37,0),IF(B38='1-BaseTRR'!$K$4-1,D38+H38,0),IF(B39='1-BaseTRR'!$K$4-1,D39+H39,0),IF(B40='1-BaseTRR'!$K$4-1,D40+H40,0),IF(B41='1-BaseTRR'!$K$4-1,D41+H41,0))</f>
        <v>0</v>
      </c>
      <c r="H22" s="465"/>
      <c r="I22" s="465" t="s">
        <v>385</v>
      </c>
      <c r="J22" s="465"/>
      <c r="L22" s="14"/>
    </row>
    <row r="23" spans="1:12">
      <c r="I23" s="463"/>
    </row>
    <row r="25" spans="1:12" ht="13">
      <c r="A25" s="549">
        <v>6</v>
      </c>
      <c r="C25" s="1" t="s">
        <v>502</v>
      </c>
      <c r="D25" s="961" t="s">
        <v>503</v>
      </c>
      <c r="G25" s="149" t="s">
        <v>505</v>
      </c>
      <c r="H25" s="473" t="s">
        <v>503</v>
      </c>
      <c r="I25" s="551"/>
      <c r="J25" s="465"/>
    </row>
    <row r="26" spans="1:12" ht="13">
      <c r="A26" s="549"/>
      <c r="C26" s="1"/>
      <c r="D26" s="465"/>
      <c r="E26" s="14"/>
      <c r="G26" s="551"/>
      <c r="H26" s="465"/>
      <c r="I26" s="551"/>
      <c r="J26" s="465"/>
    </row>
    <row r="27" spans="1:12" ht="13">
      <c r="D27" s="109" t="s">
        <v>1676</v>
      </c>
      <c r="E27" s="109" t="s">
        <v>370</v>
      </c>
      <c r="F27" s="14"/>
      <c r="G27" s="14"/>
      <c r="H27" s="109" t="s">
        <v>1676</v>
      </c>
      <c r="I27" s="549" t="s">
        <v>370</v>
      </c>
      <c r="J27" s="109"/>
    </row>
    <row r="28" spans="1:12" ht="13">
      <c r="C28" s="549" t="s">
        <v>299</v>
      </c>
      <c r="D28" s="109" t="s">
        <v>370</v>
      </c>
      <c r="E28" s="109" t="s">
        <v>371</v>
      </c>
      <c r="F28" s="14"/>
      <c r="G28" s="109" t="s">
        <v>299</v>
      </c>
      <c r="H28" s="109" t="s">
        <v>370</v>
      </c>
      <c r="I28" s="549" t="s">
        <v>371</v>
      </c>
      <c r="J28" s="109"/>
    </row>
    <row r="29" spans="1:12" ht="13">
      <c r="C29" s="549" t="s">
        <v>370</v>
      </c>
      <c r="D29" s="109" t="s">
        <v>371</v>
      </c>
      <c r="E29" s="109" t="s">
        <v>372</v>
      </c>
      <c r="F29" s="14"/>
      <c r="G29" s="109" t="s">
        <v>370</v>
      </c>
      <c r="H29" s="109" t="s">
        <v>371</v>
      </c>
      <c r="I29" s="549" t="s">
        <v>372</v>
      </c>
      <c r="J29" s="109"/>
    </row>
    <row r="30" spans="1:12" ht="13">
      <c r="A30" s="549"/>
      <c r="B30" s="3" t="s">
        <v>193</v>
      </c>
      <c r="C30" s="3" t="s">
        <v>371</v>
      </c>
      <c r="D30" s="122" t="s">
        <v>1677</v>
      </c>
      <c r="E30" s="122" t="s">
        <v>323</v>
      </c>
      <c r="F30" s="14"/>
      <c r="G30" s="122" t="s">
        <v>371</v>
      </c>
      <c r="H30" s="122" t="s">
        <v>1677</v>
      </c>
      <c r="I30" s="3" t="s">
        <v>323</v>
      </c>
      <c r="J30" s="122"/>
    </row>
    <row r="31" spans="1:12" ht="13">
      <c r="A31" s="549">
        <v>7</v>
      </c>
      <c r="B31">
        <v>2015</v>
      </c>
      <c r="C31" s="1036"/>
      <c r="D31" s="1036"/>
      <c r="E31" s="1036"/>
      <c r="G31" s="96"/>
      <c r="H31" s="96"/>
      <c r="I31" s="96"/>
      <c r="J31" s="14"/>
    </row>
    <row r="32" spans="1:12" ht="13">
      <c r="A32" s="549">
        <v>8</v>
      </c>
      <c r="B32">
        <v>2016</v>
      </c>
      <c r="C32" s="1036"/>
      <c r="D32" s="1036"/>
      <c r="E32" s="1036"/>
      <c r="G32" s="96"/>
      <c r="H32" s="96"/>
      <c r="I32" s="96"/>
      <c r="J32" s="14"/>
    </row>
    <row r="33" spans="1:10" ht="13">
      <c r="A33" s="549">
        <v>9</v>
      </c>
      <c r="B33">
        <v>2017</v>
      </c>
      <c r="C33" s="96"/>
      <c r="D33" s="96"/>
      <c r="E33" s="96"/>
      <c r="G33" s="96"/>
      <c r="H33" s="96"/>
      <c r="I33" s="96"/>
      <c r="J33" s="14"/>
    </row>
    <row r="34" spans="1:10" ht="13">
      <c r="A34" s="549">
        <v>10</v>
      </c>
      <c r="B34">
        <v>2018</v>
      </c>
      <c r="C34" s="96"/>
      <c r="D34" s="96"/>
      <c r="E34" s="96"/>
      <c r="G34" s="96"/>
      <c r="H34" s="96"/>
      <c r="I34" s="96"/>
      <c r="J34" s="14"/>
    </row>
    <row r="35" spans="1:10" ht="13">
      <c r="A35" s="549">
        <v>11</v>
      </c>
      <c r="B35">
        <v>2019</v>
      </c>
      <c r="C35" s="96"/>
      <c r="D35" s="96"/>
      <c r="E35" s="96"/>
      <c r="G35" s="96"/>
      <c r="H35" s="96"/>
      <c r="I35" s="96"/>
      <c r="J35" s="14"/>
    </row>
    <row r="36" spans="1:10" ht="13">
      <c r="A36" s="549">
        <v>12</v>
      </c>
      <c r="B36">
        <v>2020</v>
      </c>
      <c r="C36" s="96"/>
      <c r="D36" s="96"/>
      <c r="E36" s="96"/>
      <c r="G36" s="96"/>
      <c r="H36" s="96"/>
      <c r="I36" s="96"/>
      <c r="J36" s="14"/>
    </row>
    <row r="37" spans="1:10" ht="13">
      <c r="A37" s="549">
        <v>13</v>
      </c>
      <c r="B37">
        <v>2021</v>
      </c>
      <c r="C37" s="96"/>
      <c r="D37" s="96"/>
      <c r="E37" s="96"/>
      <c r="G37" s="96"/>
      <c r="H37" s="96"/>
      <c r="I37" s="96"/>
      <c r="J37" s="14"/>
    </row>
    <row r="38" spans="1:10" ht="13">
      <c r="A38" s="549">
        <v>14</v>
      </c>
      <c r="B38">
        <v>2022</v>
      </c>
      <c r="C38" s="96"/>
      <c r="D38" s="96"/>
      <c r="E38" s="96"/>
      <c r="G38" s="96"/>
      <c r="H38" s="96"/>
      <c r="I38" s="96"/>
      <c r="J38" s="14"/>
    </row>
    <row r="39" spans="1:10" ht="13">
      <c r="A39" s="549">
        <v>15</v>
      </c>
      <c r="B39">
        <v>2023</v>
      </c>
      <c r="C39" s="96"/>
      <c r="D39" s="96"/>
      <c r="E39" s="96"/>
      <c r="G39" s="96"/>
      <c r="H39" s="96"/>
      <c r="I39" s="96"/>
      <c r="J39" s="14"/>
    </row>
    <row r="40" spans="1:10" ht="13">
      <c r="A40" s="549">
        <v>16</v>
      </c>
      <c r="B40">
        <v>2024</v>
      </c>
      <c r="C40" s="96"/>
      <c r="D40" s="96"/>
      <c r="E40" s="96"/>
      <c r="G40" s="96"/>
      <c r="H40" s="96"/>
      <c r="I40" s="96"/>
      <c r="J40" s="14"/>
    </row>
    <row r="41" spans="1:10" ht="13">
      <c r="A41" s="549">
        <v>17</v>
      </c>
      <c r="B41">
        <v>2025</v>
      </c>
      <c r="C41" s="96"/>
      <c r="D41" s="96"/>
      <c r="E41" s="96"/>
      <c r="G41" s="96"/>
      <c r="H41" s="96"/>
      <c r="I41" s="96"/>
      <c r="J41" s="14"/>
    </row>
    <row r="42" spans="1:10" ht="13">
      <c r="A42" s="549">
        <v>18</v>
      </c>
      <c r="B42" s="552" t="s">
        <v>504</v>
      </c>
    </row>
    <row r="43" spans="1:10" ht="13">
      <c r="A43" s="549"/>
      <c r="B43" s="552"/>
    </row>
    <row r="44" spans="1:10" ht="13">
      <c r="A44" s="549"/>
      <c r="B44" s="44" t="s">
        <v>230</v>
      </c>
      <c r="C44" s="14"/>
      <c r="D44" s="14"/>
      <c r="E44" s="14"/>
      <c r="F44" s="14"/>
      <c r="G44" s="14"/>
      <c r="H44" s="14"/>
      <c r="I44" s="14"/>
      <c r="J44" s="14"/>
    </row>
    <row r="45" spans="1:10" ht="13">
      <c r="A45" s="549"/>
      <c r="B45" s="465" t="s">
        <v>1678</v>
      </c>
      <c r="C45" s="14"/>
      <c r="D45" s="14"/>
      <c r="E45" s="14"/>
      <c r="F45" s="14"/>
      <c r="G45" s="14"/>
      <c r="H45" s="14"/>
      <c r="I45" s="14"/>
      <c r="J45" s="14"/>
    </row>
    <row r="46" spans="1:10" ht="13">
      <c r="A46" s="549"/>
      <c r="B46" s="14"/>
      <c r="C46" s="14"/>
      <c r="D46" s="14"/>
      <c r="E46" s="14"/>
      <c r="F46" s="14"/>
      <c r="G46" s="14"/>
      <c r="H46" s="14"/>
      <c r="I46" s="14"/>
      <c r="J46" s="14"/>
    </row>
    <row r="47" spans="1:10" ht="13">
      <c r="A47" s="549"/>
      <c r="B47" s="44" t="s">
        <v>377</v>
      </c>
      <c r="C47" s="14"/>
      <c r="D47" s="14"/>
      <c r="E47" s="14"/>
      <c r="F47" s="14"/>
      <c r="G47" s="14"/>
      <c r="H47" s="14"/>
      <c r="I47" s="14"/>
      <c r="J47" s="14"/>
    </row>
    <row r="48" spans="1:10" ht="13">
      <c r="A48" s="549"/>
      <c r="B48" s="465" t="s">
        <v>378</v>
      </c>
      <c r="C48" s="14"/>
      <c r="D48" s="14"/>
      <c r="E48" s="14"/>
      <c r="F48" s="14"/>
      <c r="G48" s="14"/>
      <c r="H48" s="14"/>
      <c r="I48" s="14"/>
      <c r="J48" s="14"/>
    </row>
    <row r="49" spans="1:10" ht="13">
      <c r="A49" s="549"/>
      <c r="B49" s="462" t="s">
        <v>1679</v>
      </c>
      <c r="C49" s="14"/>
      <c r="D49" s="14"/>
      <c r="E49" s="14"/>
      <c r="F49" s="14"/>
      <c r="G49" s="14"/>
      <c r="H49" s="14"/>
      <c r="I49" s="14"/>
      <c r="J49" s="14"/>
    </row>
    <row r="50" spans="1:10" ht="13">
      <c r="A50" s="549"/>
      <c r="B50" s="462" t="s">
        <v>1680</v>
      </c>
      <c r="C50" s="14"/>
      <c r="D50" s="14"/>
      <c r="E50" s="14"/>
      <c r="F50" s="14"/>
      <c r="G50" s="14"/>
      <c r="H50" s="14"/>
      <c r="I50" s="14"/>
      <c r="J50" s="14"/>
    </row>
    <row r="51" spans="1:10" ht="13">
      <c r="A51" s="549"/>
      <c r="B51" s="462" t="s">
        <v>383</v>
      </c>
      <c r="C51" s="14"/>
      <c r="D51" s="14"/>
      <c r="E51" s="14"/>
      <c r="F51" s="14"/>
      <c r="G51" s="14"/>
      <c r="H51" s="14"/>
      <c r="I51" s="14"/>
      <c r="J51" s="14"/>
    </row>
    <row r="52" spans="1:10" ht="13">
      <c r="A52" s="549"/>
      <c r="B52" s="462" t="s">
        <v>384</v>
      </c>
      <c r="C52" s="14"/>
      <c r="D52" s="14"/>
      <c r="E52" s="14"/>
      <c r="F52" s="14"/>
      <c r="G52" s="14"/>
      <c r="H52" s="14"/>
      <c r="I52" s="14"/>
      <c r="J52" s="14"/>
    </row>
    <row r="53" spans="1:10">
      <c r="B53" s="462" t="s">
        <v>381</v>
      </c>
      <c r="C53" s="14"/>
      <c r="D53" s="14"/>
      <c r="E53" s="14"/>
      <c r="F53" s="14"/>
      <c r="G53" s="14"/>
      <c r="H53" s="14"/>
      <c r="I53" s="14"/>
      <c r="J53" s="14"/>
    </row>
    <row r="54" spans="1:10">
      <c r="B54" s="849" t="s">
        <v>506</v>
      </c>
      <c r="C54" s="14"/>
      <c r="D54" s="14"/>
      <c r="E54" s="14"/>
      <c r="F54" s="14"/>
      <c r="G54" s="14"/>
      <c r="H54" s="14"/>
      <c r="I54" s="14"/>
      <c r="J54" s="14"/>
    </row>
    <row r="55" spans="1:10">
      <c r="B55" s="465" t="s">
        <v>382</v>
      </c>
      <c r="C55" s="14"/>
      <c r="D55" s="14"/>
      <c r="E55" s="14"/>
      <c r="F55" s="14"/>
      <c r="G55" s="14"/>
      <c r="H55" s="14"/>
      <c r="I55" s="14"/>
      <c r="J55" s="14"/>
    </row>
    <row r="56" spans="1:10">
      <c r="B56" s="465" t="s">
        <v>2288</v>
      </c>
      <c r="C56" s="14"/>
      <c r="D56" s="14"/>
      <c r="E56" s="14"/>
      <c r="F56" s="14"/>
      <c r="G56" s="14"/>
      <c r="H56" s="14"/>
      <c r="I56" s="14"/>
      <c r="J56" s="14"/>
    </row>
  </sheetData>
  <pageMargins left="0.7" right="0.7" top="0.75" bottom="0.75" header="0.3" footer="0.3"/>
  <pageSetup scale="80" orientation="portrait" cellComments="asDisplayed" r:id="rId1"/>
  <headerFooter>
    <oddHeader>&amp;CSchedule 12
Abandoned Plant
&amp;RTO2022 Annual Update 
Attachment 1</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zoomScaleNormal="100" workbookViewId="0"/>
  </sheetViews>
  <sheetFormatPr defaultRowHeight="12.5"/>
  <cols>
    <col min="1" max="1" width="4.54296875" customWidth="1"/>
    <col min="2" max="2" width="3.54296875" customWidth="1"/>
    <col min="3" max="3" width="14.54296875" customWidth="1"/>
    <col min="4" max="4" width="8.54296875" customWidth="1"/>
    <col min="5" max="5" width="15.453125" customWidth="1"/>
    <col min="6" max="6" width="24.54296875" customWidth="1"/>
    <col min="7" max="7" width="35.54296875" customWidth="1"/>
    <col min="11" max="11" width="11.453125" bestFit="1" customWidth="1"/>
  </cols>
  <sheetData>
    <row r="1" spans="1:7" ht="13">
      <c r="A1" s="1" t="s">
        <v>6</v>
      </c>
    </row>
    <row r="2" spans="1:7">
      <c r="C2" s="463"/>
      <c r="F2" s="43" t="s">
        <v>17</v>
      </c>
      <c r="G2" s="1228"/>
    </row>
    <row r="3" spans="1:7" ht="13">
      <c r="B3" s="1" t="s">
        <v>159</v>
      </c>
      <c r="F3" s="68" t="s">
        <v>2531</v>
      </c>
      <c r="G3" s="1480" t="s">
        <v>2819</v>
      </c>
    </row>
    <row r="4" spans="1:7">
      <c r="C4" s="12" t="s">
        <v>549</v>
      </c>
      <c r="E4" s="18"/>
      <c r="F4" s="28"/>
      <c r="G4" s="27"/>
    </row>
    <row r="5" spans="1:7">
      <c r="C5" s="12" t="s">
        <v>550</v>
      </c>
      <c r="E5" s="18"/>
      <c r="F5" s="28"/>
      <c r="G5" s="27"/>
    </row>
    <row r="6" spans="1:7" ht="13">
      <c r="E6" s="18"/>
      <c r="F6" s="74"/>
      <c r="G6" s="27"/>
    </row>
    <row r="7" spans="1:7" ht="13">
      <c r="C7" s="21"/>
      <c r="D7" s="17"/>
      <c r="E7" s="26" t="s">
        <v>194</v>
      </c>
      <c r="F7" s="26" t="s">
        <v>1664</v>
      </c>
      <c r="G7" s="26"/>
    </row>
    <row r="8" spans="1:7" ht="13">
      <c r="A8" s="53" t="s">
        <v>319</v>
      </c>
      <c r="C8" s="25" t="s">
        <v>192</v>
      </c>
      <c r="D8" s="25" t="s">
        <v>193</v>
      </c>
      <c r="E8" s="25" t="s">
        <v>179</v>
      </c>
      <c r="F8" s="31" t="s">
        <v>1663</v>
      </c>
      <c r="G8" s="29" t="s">
        <v>168</v>
      </c>
    </row>
    <row r="9" spans="1:7" ht="13">
      <c r="A9" s="2">
        <v>1</v>
      </c>
      <c r="C9" s="19" t="s">
        <v>180</v>
      </c>
      <c r="D9" s="145">
        <v>2019</v>
      </c>
      <c r="E9" s="30" t="s">
        <v>548</v>
      </c>
      <c r="F9" s="1046">
        <v>361868594</v>
      </c>
      <c r="G9" s="30" t="s">
        <v>85</v>
      </c>
    </row>
    <row r="10" spans="1:7" ht="13">
      <c r="A10" s="109">
        <f>A9+1</f>
        <v>2</v>
      </c>
      <c r="B10" s="14"/>
      <c r="C10" s="800" t="s">
        <v>181</v>
      </c>
      <c r="D10" s="145">
        <v>2020</v>
      </c>
      <c r="E10" s="497" t="s">
        <v>33</v>
      </c>
      <c r="F10" s="1450">
        <v>365574612.18000001</v>
      </c>
      <c r="G10" s="30"/>
    </row>
    <row r="11" spans="1:7" ht="13">
      <c r="A11" s="109">
        <f t="shared" ref="A11:A21" si="0">A10+1</f>
        <v>3</v>
      </c>
      <c r="B11" s="14"/>
      <c r="C11" s="800" t="s">
        <v>182</v>
      </c>
      <c r="D11" s="145">
        <v>2020</v>
      </c>
      <c r="E11" s="497" t="s">
        <v>33</v>
      </c>
      <c r="F11" s="1450">
        <v>366515548.06999999</v>
      </c>
      <c r="G11" s="30"/>
    </row>
    <row r="12" spans="1:7" ht="13">
      <c r="A12" s="109">
        <f t="shared" si="0"/>
        <v>4</v>
      </c>
      <c r="B12" s="14"/>
      <c r="C12" s="800" t="s">
        <v>195</v>
      </c>
      <c r="D12" s="145">
        <v>2020</v>
      </c>
      <c r="E12" s="497" t="s">
        <v>33</v>
      </c>
      <c r="F12" s="1450">
        <v>361009194.45999998</v>
      </c>
      <c r="G12" s="30"/>
    </row>
    <row r="13" spans="1:7" ht="13">
      <c r="A13" s="109">
        <f t="shared" si="0"/>
        <v>5</v>
      </c>
      <c r="B13" s="14"/>
      <c r="C13" s="800" t="s">
        <v>183</v>
      </c>
      <c r="D13" s="145">
        <v>2020</v>
      </c>
      <c r="E13" s="497" t="s">
        <v>33</v>
      </c>
      <c r="F13" s="1450">
        <v>365450038.75</v>
      </c>
      <c r="G13" s="30"/>
    </row>
    <row r="14" spans="1:7" ht="13">
      <c r="A14" s="109">
        <f t="shared" si="0"/>
        <v>6</v>
      </c>
      <c r="B14" s="14"/>
      <c r="C14" s="800" t="s">
        <v>184</v>
      </c>
      <c r="D14" s="145">
        <v>2020</v>
      </c>
      <c r="E14" s="497" t="s">
        <v>33</v>
      </c>
      <c r="F14" s="1450">
        <v>372091894.52999997</v>
      </c>
      <c r="G14" s="30"/>
    </row>
    <row r="15" spans="1:7" ht="13">
      <c r="A15" s="109">
        <f t="shared" si="0"/>
        <v>7</v>
      </c>
      <c r="B15" s="14"/>
      <c r="C15" s="800" t="s">
        <v>1458</v>
      </c>
      <c r="D15" s="145">
        <v>2020</v>
      </c>
      <c r="E15" s="497" t="s">
        <v>33</v>
      </c>
      <c r="F15" s="1450">
        <v>380998858.01999998</v>
      </c>
      <c r="G15" s="30"/>
    </row>
    <row r="16" spans="1:7" ht="13">
      <c r="A16" s="109">
        <f t="shared" si="0"/>
        <v>8</v>
      </c>
      <c r="B16" s="14"/>
      <c r="C16" s="800" t="s">
        <v>186</v>
      </c>
      <c r="D16" s="145">
        <v>2020</v>
      </c>
      <c r="E16" s="497" t="s">
        <v>33</v>
      </c>
      <c r="F16" s="1450">
        <v>381157653.31999999</v>
      </c>
      <c r="G16" s="30"/>
    </row>
    <row r="17" spans="1:7" ht="13">
      <c r="A17" s="109">
        <f t="shared" si="0"/>
        <v>9</v>
      </c>
      <c r="B17" s="14"/>
      <c r="C17" s="800" t="s">
        <v>187</v>
      </c>
      <c r="D17" s="145">
        <v>2020</v>
      </c>
      <c r="E17" s="497" t="s">
        <v>33</v>
      </c>
      <c r="F17" s="1450">
        <v>381441536.77999997</v>
      </c>
      <c r="G17" s="30"/>
    </row>
    <row r="18" spans="1:7" ht="13">
      <c r="A18" s="109">
        <f t="shared" si="0"/>
        <v>10</v>
      </c>
      <c r="B18" s="14"/>
      <c r="C18" s="800" t="s">
        <v>188</v>
      </c>
      <c r="D18" s="145">
        <v>2020</v>
      </c>
      <c r="E18" s="497" t="s">
        <v>33</v>
      </c>
      <c r="F18" s="1450">
        <v>385241041.55000001</v>
      </c>
      <c r="G18" s="30"/>
    </row>
    <row r="19" spans="1:7" ht="13">
      <c r="A19" s="109">
        <f t="shared" si="0"/>
        <v>11</v>
      </c>
      <c r="B19" s="14"/>
      <c r="C19" s="800" t="s">
        <v>191</v>
      </c>
      <c r="D19" s="145">
        <v>2020</v>
      </c>
      <c r="E19" s="497" t="s">
        <v>33</v>
      </c>
      <c r="F19" s="1450">
        <v>383962655.92000002</v>
      </c>
      <c r="G19" s="30"/>
    </row>
    <row r="20" spans="1:7" ht="13">
      <c r="A20" s="109">
        <f t="shared" si="0"/>
        <v>12</v>
      </c>
      <c r="B20" s="14"/>
      <c r="C20" s="800" t="s">
        <v>190</v>
      </c>
      <c r="D20" s="145">
        <v>2020</v>
      </c>
      <c r="E20" s="497" t="s">
        <v>33</v>
      </c>
      <c r="F20" s="493">
        <v>397326696.20999998</v>
      </c>
      <c r="G20" s="30"/>
    </row>
    <row r="21" spans="1:7" ht="13">
      <c r="A21" s="109">
        <f t="shared" si="0"/>
        <v>13</v>
      </c>
      <c r="B21" s="14"/>
      <c r="C21" s="21" t="s">
        <v>180</v>
      </c>
      <c r="D21" s="145">
        <v>2020</v>
      </c>
      <c r="E21" s="30" t="s">
        <v>547</v>
      </c>
      <c r="F21" s="1046">
        <v>402935061</v>
      </c>
      <c r="G21" s="16" t="s">
        <v>89</v>
      </c>
    </row>
    <row r="22" spans="1:7" ht="13">
      <c r="A22" s="14"/>
      <c r="B22" s="14"/>
      <c r="C22" s="22"/>
      <c r="D22" s="22"/>
      <c r="E22" s="18"/>
      <c r="G22" s="30"/>
    </row>
    <row r="23" spans="1:7" ht="13">
      <c r="A23" s="109">
        <f>A21+1</f>
        <v>14</v>
      </c>
      <c r="B23" s="14"/>
      <c r="C23" s="22"/>
      <c r="D23" s="22"/>
      <c r="E23" s="495" t="s">
        <v>1813</v>
      </c>
      <c r="F23" s="33">
        <f>SUM(F9:F21)/13</f>
        <v>377351798.82999998</v>
      </c>
      <c r="G23" s="112" t="str">
        <f>"(Sum Line "&amp;A9&amp;" to Line "&amp;A21&amp;") / 13"</f>
        <v>(Sum Line 1 to Line 13) / 13</v>
      </c>
    </row>
    <row r="24" spans="1:7" ht="13">
      <c r="A24" s="109">
        <f>A23+1</f>
        <v>15</v>
      </c>
      <c r="B24" s="14"/>
      <c r="C24" s="22"/>
      <c r="D24" s="22"/>
      <c r="E24" s="34" t="s">
        <v>309</v>
      </c>
      <c r="F24" s="36">
        <f>'27-Allocators'!G15</f>
        <v>6.982260642173875E-2</v>
      </c>
      <c r="G24" s="112" t="str">
        <f>"27-Allocators, Line "&amp;'27-Allocators'!A15&amp;""</f>
        <v>27-Allocators, Line 9</v>
      </c>
    </row>
    <row r="25" spans="1:7" ht="13">
      <c r="A25" s="14"/>
      <c r="B25" s="14"/>
      <c r="C25" s="14"/>
      <c r="D25" s="22"/>
      <c r="E25" s="34"/>
      <c r="F25" s="33"/>
      <c r="G25" s="112"/>
    </row>
    <row r="26" spans="1:7" ht="13">
      <c r="A26" s="109">
        <f>A24+1</f>
        <v>16</v>
      </c>
      <c r="B26" s="14"/>
      <c r="C26" s="22" t="s">
        <v>91</v>
      </c>
      <c r="D26" s="22"/>
      <c r="E26" s="356" t="s">
        <v>156</v>
      </c>
      <c r="F26" s="33">
        <f>F21*F24</f>
        <v>28133976.177722294</v>
      </c>
      <c r="G26" s="46" t="str">
        <f>"Line "&amp;A21&amp;" * Line "&amp;A24&amp;""</f>
        <v>Line 13 * Line 15</v>
      </c>
    </row>
    <row r="27" spans="1:7" ht="13">
      <c r="A27" s="109">
        <f>A26+1</f>
        <v>17</v>
      </c>
      <c r="B27" s="14"/>
      <c r="C27" s="22"/>
      <c r="D27" s="22"/>
      <c r="E27" s="495" t="s">
        <v>1814</v>
      </c>
      <c r="F27" s="33">
        <f>F23*F24</f>
        <v>26347686.132242225</v>
      </c>
      <c r="G27" s="46" t="str">
        <f>"Line "&amp;A23&amp;" * Line "&amp;A24&amp;""</f>
        <v>Line 14 * Line 15</v>
      </c>
    </row>
    <row r="28" spans="1:7">
      <c r="A28" s="14"/>
      <c r="B28" s="14"/>
      <c r="C28" s="14"/>
      <c r="D28" s="14"/>
      <c r="E28" s="14"/>
      <c r="F28" s="14"/>
    </row>
    <row r="29" spans="1:7" ht="13">
      <c r="A29" s="14"/>
      <c r="B29" s="44" t="s">
        <v>158</v>
      </c>
      <c r="C29" s="14"/>
      <c r="D29" s="14"/>
      <c r="E29" s="14"/>
      <c r="F29" s="14"/>
    </row>
    <row r="30" spans="1:7">
      <c r="A30" s="14"/>
      <c r="B30" s="14"/>
      <c r="C30" s="14" t="s">
        <v>7</v>
      </c>
      <c r="D30" s="14"/>
      <c r="E30" s="504"/>
      <c r="F30" s="28"/>
      <c r="G30" s="27"/>
    </row>
    <row r="31" spans="1:7">
      <c r="A31" s="14"/>
      <c r="B31" s="14"/>
      <c r="C31" s="14" t="s">
        <v>1751</v>
      </c>
      <c r="D31" s="14"/>
      <c r="E31" s="504"/>
      <c r="F31" s="28"/>
      <c r="G31" s="27"/>
    </row>
    <row r="32" spans="1:7" ht="13">
      <c r="C32" s="21"/>
      <c r="D32" s="17"/>
      <c r="E32" s="26" t="s">
        <v>194</v>
      </c>
      <c r="F32" s="74" t="s">
        <v>242</v>
      </c>
      <c r="G32" s="26"/>
    </row>
    <row r="33" spans="1:11" ht="13">
      <c r="C33" s="25" t="s">
        <v>192</v>
      </c>
      <c r="D33" s="25" t="s">
        <v>193</v>
      </c>
      <c r="E33" s="25" t="s">
        <v>179</v>
      </c>
      <c r="F33" s="31" t="s">
        <v>2</v>
      </c>
      <c r="G33" s="29" t="s">
        <v>168</v>
      </c>
    </row>
    <row r="34" spans="1:11" ht="13">
      <c r="A34" s="109">
        <f>A27+1</f>
        <v>18</v>
      </c>
      <c r="B34" s="14"/>
      <c r="C34" s="283" t="s">
        <v>180</v>
      </c>
      <c r="D34" s="145">
        <v>2019</v>
      </c>
      <c r="E34" s="1037" t="s">
        <v>2298</v>
      </c>
      <c r="F34" s="63">
        <f>F63</f>
        <v>213194393</v>
      </c>
      <c r="G34" s="1037" t="s">
        <v>2296</v>
      </c>
    </row>
    <row r="35" spans="1:11" ht="13">
      <c r="A35" s="109">
        <f>A34+1</f>
        <v>19</v>
      </c>
      <c r="B35" s="14"/>
      <c r="C35" s="800" t="s">
        <v>181</v>
      </c>
      <c r="D35" s="145">
        <v>2020</v>
      </c>
      <c r="E35" s="497" t="s">
        <v>33</v>
      </c>
      <c r="F35" s="977">
        <v>246061106.99000001</v>
      </c>
      <c r="G35" s="1037"/>
      <c r="J35" s="7"/>
      <c r="K35" s="7"/>
    </row>
    <row r="36" spans="1:11" ht="13">
      <c r="A36" s="109">
        <f t="shared" ref="A36:A46" si="1">A35+1</f>
        <v>20</v>
      </c>
      <c r="B36" s="14"/>
      <c r="C36" s="800" t="s">
        <v>182</v>
      </c>
      <c r="D36" s="145">
        <v>2020</v>
      </c>
      <c r="E36" s="497" t="s">
        <v>33</v>
      </c>
      <c r="F36" s="977">
        <v>202116161.55000001</v>
      </c>
      <c r="G36" s="1037"/>
      <c r="J36" s="7"/>
      <c r="K36" s="7"/>
    </row>
    <row r="37" spans="1:11" ht="13">
      <c r="A37" s="109">
        <f t="shared" si="1"/>
        <v>21</v>
      </c>
      <c r="B37" s="14"/>
      <c r="C37" s="800" t="s">
        <v>195</v>
      </c>
      <c r="D37" s="145">
        <v>2020</v>
      </c>
      <c r="E37" s="497" t="s">
        <v>33</v>
      </c>
      <c r="F37" s="977">
        <v>157932030.94</v>
      </c>
      <c r="G37" s="1037"/>
      <c r="J37" s="7"/>
      <c r="K37" s="7"/>
    </row>
    <row r="38" spans="1:11" ht="13">
      <c r="A38" s="109">
        <f t="shared" si="1"/>
        <v>22</v>
      </c>
      <c r="B38" s="14"/>
      <c r="C38" s="800" t="s">
        <v>183</v>
      </c>
      <c r="D38" s="145">
        <v>2020</v>
      </c>
      <c r="E38" s="497" t="s">
        <v>33</v>
      </c>
      <c r="F38" s="977">
        <v>199928279.40000001</v>
      </c>
      <c r="G38" s="1037"/>
      <c r="J38" s="7"/>
      <c r="K38" s="7"/>
    </row>
    <row r="39" spans="1:11" ht="13">
      <c r="A39" s="109">
        <f t="shared" si="1"/>
        <v>23</v>
      </c>
      <c r="B39" s="14"/>
      <c r="C39" s="800" t="s">
        <v>184</v>
      </c>
      <c r="D39" s="145">
        <v>2020</v>
      </c>
      <c r="E39" s="497" t="s">
        <v>33</v>
      </c>
      <c r="F39" s="977">
        <v>125105157.75</v>
      </c>
      <c r="G39" s="1037"/>
      <c r="J39" s="7"/>
      <c r="K39" s="7"/>
    </row>
    <row r="40" spans="1:11" ht="13">
      <c r="A40" s="109">
        <f t="shared" si="1"/>
        <v>24</v>
      </c>
      <c r="B40" s="14"/>
      <c r="C40" s="800" t="s">
        <v>1458</v>
      </c>
      <c r="D40" s="145">
        <v>2020</v>
      </c>
      <c r="E40" s="497" t="s">
        <v>33</v>
      </c>
      <c r="F40" s="977">
        <v>48988512.350000001</v>
      </c>
      <c r="G40" s="1037"/>
      <c r="J40" s="7"/>
      <c r="K40" s="7"/>
    </row>
    <row r="41" spans="1:11" ht="13">
      <c r="A41" s="109">
        <f t="shared" si="1"/>
        <v>25</v>
      </c>
      <c r="B41" s="14"/>
      <c r="C41" s="800" t="s">
        <v>186</v>
      </c>
      <c r="D41" s="145">
        <v>2020</v>
      </c>
      <c r="E41" s="497" t="s">
        <v>33</v>
      </c>
      <c r="F41" s="977">
        <v>416380573.32999998</v>
      </c>
      <c r="G41" s="1037"/>
      <c r="J41" s="7"/>
      <c r="K41" s="7"/>
    </row>
    <row r="42" spans="1:11" ht="13">
      <c r="A42" s="109">
        <f t="shared" si="1"/>
        <v>26</v>
      </c>
      <c r="B42" s="14"/>
      <c r="C42" s="800" t="s">
        <v>187</v>
      </c>
      <c r="D42" s="145">
        <v>2020</v>
      </c>
      <c r="E42" s="497" t="s">
        <v>33</v>
      </c>
      <c r="F42" s="977">
        <v>384389158.19</v>
      </c>
      <c r="G42" s="1037"/>
      <c r="J42" s="7"/>
      <c r="K42" s="7"/>
    </row>
    <row r="43" spans="1:11" ht="13">
      <c r="A43" s="109">
        <f t="shared" si="1"/>
        <v>27</v>
      </c>
      <c r="B43" s="14"/>
      <c r="C43" s="800" t="s">
        <v>188</v>
      </c>
      <c r="D43" s="145">
        <v>2020</v>
      </c>
      <c r="E43" s="497" t="s">
        <v>33</v>
      </c>
      <c r="F43" s="977">
        <v>337805346.69999999</v>
      </c>
      <c r="G43" s="1037"/>
      <c r="J43" s="7"/>
      <c r="K43" s="7"/>
    </row>
    <row r="44" spans="1:11" ht="13">
      <c r="A44" s="109">
        <f t="shared" si="1"/>
        <v>28</v>
      </c>
      <c r="B44" s="14"/>
      <c r="C44" s="800" t="s">
        <v>191</v>
      </c>
      <c r="D44" s="145">
        <v>2020</v>
      </c>
      <c r="E44" s="497" t="s">
        <v>33</v>
      </c>
      <c r="F44" s="977">
        <v>307482426.23000002</v>
      </c>
      <c r="G44" s="1037"/>
      <c r="J44" s="7"/>
      <c r="K44" s="7"/>
    </row>
    <row r="45" spans="1:11" ht="14.5">
      <c r="A45" s="109">
        <f t="shared" si="1"/>
        <v>29</v>
      </c>
      <c r="B45" s="14"/>
      <c r="C45" s="800" t="s">
        <v>190</v>
      </c>
      <c r="D45" s="145">
        <v>2020</v>
      </c>
      <c r="E45" s="497" t="s">
        <v>33</v>
      </c>
      <c r="F45" s="1451">
        <v>300680528.75</v>
      </c>
      <c r="G45" s="1037"/>
      <c r="J45" s="7"/>
      <c r="K45" s="7"/>
    </row>
    <row r="46" spans="1:11" ht="13">
      <c r="A46" s="109">
        <f t="shared" si="1"/>
        <v>30</v>
      </c>
      <c r="B46" s="14"/>
      <c r="C46" s="21" t="s">
        <v>180</v>
      </c>
      <c r="D46" s="145">
        <v>2020</v>
      </c>
      <c r="E46" s="1037" t="s">
        <v>2299</v>
      </c>
      <c r="F46" s="63">
        <f>F69</f>
        <v>280079123</v>
      </c>
      <c r="G46" s="1037" t="s">
        <v>2297</v>
      </c>
    </row>
    <row r="47" spans="1:11">
      <c r="A47" s="14"/>
      <c r="B47" s="14"/>
      <c r="C47" s="21"/>
      <c r="D47" s="24"/>
      <c r="E47" s="23"/>
      <c r="F47" s="33"/>
      <c r="G47" s="16"/>
    </row>
    <row r="48" spans="1:11" ht="13">
      <c r="A48" s="14"/>
      <c r="B48" s="14"/>
      <c r="C48" s="615" t="s">
        <v>1750</v>
      </c>
      <c r="D48" s="615"/>
      <c r="E48" s="869"/>
      <c r="F48" s="14"/>
      <c r="G48" s="30"/>
    </row>
    <row r="49" spans="1:8" ht="13">
      <c r="A49" s="109">
        <f>A46+1</f>
        <v>31</v>
      </c>
      <c r="B49" s="14"/>
      <c r="C49" s="22"/>
      <c r="D49" s="22"/>
      <c r="E49" s="651" t="s">
        <v>1814</v>
      </c>
      <c r="F49" s="33">
        <f>SUM(F34:F46)/13</f>
        <v>247703292.1676923</v>
      </c>
      <c r="G49" s="112" t="str">
        <f>"(Sum Line "&amp;A34&amp;" to Line "&amp;A46&amp;") / 13"</f>
        <v>(Sum Line 18 to Line 30) / 13</v>
      </c>
    </row>
    <row r="50" spans="1:8" ht="13">
      <c r="A50" s="109">
        <f>A49+1</f>
        <v>32</v>
      </c>
      <c r="B50" s="14"/>
      <c r="C50" s="22"/>
      <c r="D50" s="22"/>
      <c r="E50" s="495" t="s">
        <v>309</v>
      </c>
      <c r="F50" s="36">
        <f>'27-Allocators'!G15</f>
        <v>6.982260642173875E-2</v>
      </c>
      <c r="G50" s="112" t="str">
        <f>"27-Allocators, Line "&amp;'27-Allocators'!A15&amp;""</f>
        <v>27-Allocators, Line 9</v>
      </c>
    </row>
    <row r="51" spans="1:8" ht="13">
      <c r="A51" s="109">
        <f>A50+1</f>
        <v>33</v>
      </c>
      <c r="B51" s="14"/>
      <c r="C51" s="22"/>
      <c r="D51" s="22"/>
      <c r="E51" s="870" t="s">
        <v>162</v>
      </c>
      <c r="F51" s="33">
        <f>F49*F50</f>
        <v>17295289.478393741</v>
      </c>
      <c r="G51" s="46" t="str">
        <f>"Line "&amp;A49&amp;" * Line "&amp;A50&amp;""</f>
        <v>Line 31 * Line 32</v>
      </c>
    </row>
    <row r="52" spans="1:8" ht="13">
      <c r="A52" s="14"/>
      <c r="B52" s="14"/>
      <c r="C52" s="22" t="s">
        <v>241</v>
      </c>
      <c r="D52" s="22"/>
      <c r="E52" s="504"/>
      <c r="F52" s="14"/>
      <c r="G52" s="35"/>
    </row>
    <row r="53" spans="1:8" ht="13">
      <c r="A53" s="109">
        <f>A51+1</f>
        <v>34</v>
      </c>
      <c r="B53" s="14"/>
      <c r="C53" s="22"/>
      <c r="D53" s="22"/>
      <c r="E53" s="34" t="s">
        <v>156</v>
      </c>
      <c r="F53" s="33">
        <f>F46</f>
        <v>280079123</v>
      </c>
      <c r="G53" s="35" t="str">
        <f>"Line "&amp;A46&amp;""</f>
        <v>Line 30</v>
      </c>
    </row>
    <row r="54" spans="1:8" ht="13">
      <c r="A54" s="109">
        <f>A53+1</f>
        <v>35</v>
      </c>
      <c r="B54" s="14"/>
      <c r="C54" s="22"/>
      <c r="D54" s="22"/>
      <c r="E54" s="34" t="s">
        <v>309</v>
      </c>
      <c r="F54" s="36">
        <f>'27-Allocators'!G15</f>
        <v>6.982260642173875E-2</v>
      </c>
      <c r="G54" s="112" t="str">
        <f>"27-Allocators, Line "&amp;'27-Allocators'!A15&amp;""</f>
        <v>27-Allocators, Line 9</v>
      </c>
    </row>
    <row r="55" spans="1:8" ht="13">
      <c r="A55" s="109">
        <f>A54+1</f>
        <v>36</v>
      </c>
      <c r="B55" s="14"/>
      <c r="C55" s="22"/>
      <c r="D55" s="22"/>
      <c r="E55" s="32" t="s">
        <v>162</v>
      </c>
      <c r="F55" s="33">
        <f>F53*F54</f>
        <v>19555854.372174758</v>
      </c>
      <c r="G55" s="46" t="str">
        <f>"Line "&amp;A53&amp;" * Line "&amp;A54&amp;""</f>
        <v>Line 34 * Line 35</v>
      </c>
    </row>
    <row r="56" spans="1:8" ht="13">
      <c r="B56" s="51" t="s">
        <v>230</v>
      </c>
      <c r="C56" s="465"/>
      <c r="D56" s="463"/>
      <c r="E56" s="465"/>
      <c r="F56" s="463"/>
      <c r="G56" s="463"/>
    </row>
    <row r="57" spans="1:8">
      <c r="B57" s="463" t="s">
        <v>2300</v>
      </c>
      <c r="C57" s="465" t="str">
        <f>"Remove any amounts related to years prior to 2012 on "&amp;B62&amp;" and "&amp;B68&amp;" below."</f>
        <v>Remove any amounts related to years prior to 2012 on b and e below.</v>
      </c>
      <c r="D57" s="463"/>
      <c r="E57" s="465"/>
      <c r="F57" s="463"/>
      <c r="G57" s="463"/>
    </row>
    <row r="58" spans="1:8" ht="13">
      <c r="A58" s="2"/>
      <c r="B58" s="463"/>
      <c r="C58" s="465"/>
      <c r="D58" s="463"/>
      <c r="E58" s="842"/>
      <c r="F58" s="470"/>
      <c r="G58" s="467"/>
      <c r="H58" s="1"/>
    </row>
    <row r="59" spans="1:8" ht="13">
      <c r="A59" s="2"/>
      <c r="B59" s="463"/>
      <c r="C59" s="465" t="s">
        <v>2301</v>
      </c>
      <c r="D59" s="463"/>
      <c r="E59" s="842"/>
      <c r="F59" s="1038" t="s">
        <v>92</v>
      </c>
      <c r="G59" s="462"/>
    </row>
    <row r="60" spans="1:8" ht="13">
      <c r="A60" s="2"/>
      <c r="B60" s="463"/>
      <c r="C60" s="465"/>
      <c r="D60" s="463"/>
      <c r="E60" s="842"/>
      <c r="F60" s="619" t="s">
        <v>2</v>
      </c>
      <c r="G60" s="376" t="s">
        <v>179</v>
      </c>
    </row>
    <row r="61" spans="1:8" ht="13">
      <c r="A61" s="547"/>
      <c r="B61" s="549" t="s">
        <v>1667</v>
      </c>
      <c r="C61" s="1039"/>
      <c r="D61" s="463"/>
      <c r="E61" s="842" t="s">
        <v>2302</v>
      </c>
      <c r="F61" s="1046">
        <v>213194393</v>
      </c>
      <c r="G61" s="1037" t="s">
        <v>160</v>
      </c>
    </row>
    <row r="62" spans="1:8" ht="13">
      <c r="A62" s="547"/>
      <c r="B62" s="549" t="s">
        <v>1668</v>
      </c>
      <c r="C62" s="465"/>
      <c r="D62" s="463"/>
      <c r="E62" s="842" t="s">
        <v>2303</v>
      </c>
      <c r="F62" s="115">
        <v>0</v>
      </c>
      <c r="G62" s="467" t="s">
        <v>359</v>
      </c>
    </row>
    <row r="63" spans="1:8" ht="13">
      <c r="A63" s="547"/>
      <c r="B63" s="549" t="s">
        <v>1669</v>
      </c>
      <c r="C63" s="465"/>
      <c r="D63" s="463"/>
      <c r="E63" s="842" t="s">
        <v>2304</v>
      </c>
      <c r="F63" s="477">
        <f>F61-F62</f>
        <v>213194393</v>
      </c>
      <c r="G63" s="462" t="str">
        <f>""&amp;B61&amp;" - "&amp;B62&amp;""</f>
        <v>a - b</v>
      </c>
    </row>
    <row r="64" spans="1:8" ht="13">
      <c r="A64" s="547"/>
      <c r="B64" s="463"/>
      <c r="C64" s="465"/>
      <c r="D64" s="463"/>
      <c r="E64" s="465"/>
      <c r="F64" s="463"/>
      <c r="G64" s="463"/>
    </row>
    <row r="65" spans="1:7" ht="13">
      <c r="A65" s="547"/>
      <c r="B65" s="463"/>
      <c r="C65" s="465" t="s">
        <v>2305</v>
      </c>
      <c r="D65" s="463"/>
      <c r="E65" s="842"/>
      <c r="F65" s="1038" t="s">
        <v>92</v>
      </c>
      <c r="G65" s="462"/>
    </row>
    <row r="66" spans="1:7" ht="13">
      <c r="A66" s="547"/>
      <c r="B66" s="463"/>
      <c r="C66" s="465"/>
      <c r="D66" s="463"/>
      <c r="E66" s="842"/>
      <c r="F66" s="619" t="s">
        <v>2</v>
      </c>
      <c r="G66" s="376" t="s">
        <v>179</v>
      </c>
    </row>
    <row r="67" spans="1:7" ht="13">
      <c r="A67" s="547"/>
      <c r="B67" s="549" t="s">
        <v>1670</v>
      </c>
      <c r="C67" s="1039"/>
      <c r="D67" s="463"/>
      <c r="E67" s="842" t="s">
        <v>2302</v>
      </c>
      <c r="F67" s="1046">
        <v>280079123</v>
      </c>
      <c r="G67" s="1037" t="s">
        <v>161</v>
      </c>
    </row>
    <row r="68" spans="1:7" ht="13">
      <c r="A68" s="547"/>
      <c r="B68" s="549" t="s">
        <v>1671</v>
      </c>
      <c r="C68" s="465"/>
      <c r="D68" s="463"/>
      <c r="E68" s="842" t="s">
        <v>2303</v>
      </c>
      <c r="F68" s="115">
        <v>0</v>
      </c>
      <c r="G68" s="467" t="s">
        <v>359</v>
      </c>
    </row>
    <row r="69" spans="1:7" ht="13">
      <c r="A69" s="547"/>
      <c r="B69" s="549" t="s">
        <v>1672</v>
      </c>
      <c r="C69" s="465"/>
      <c r="D69" s="465"/>
      <c r="E69" s="842" t="s">
        <v>2306</v>
      </c>
      <c r="F69" s="477">
        <f>F67-F68</f>
        <v>280079123</v>
      </c>
      <c r="G69" s="462" t="str">
        <f>""&amp;B67&amp;" - "&amp;B68&amp;""</f>
        <v>d - e</v>
      </c>
    </row>
    <row r="73" spans="1:7">
      <c r="F73" s="548"/>
    </row>
  </sheetData>
  <phoneticPr fontId="23" type="noConversion"/>
  <pageMargins left="0.75" right="0.75" top="1" bottom="1" header="0.5" footer="0.5"/>
  <pageSetup scale="73" orientation="portrait" cellComments="asDisplayed" r:id="rId1"/>
  <headerFooter alignWithMargins="0">
    <oddHeader>&amp;CSchedule 13
Working Capital
&amp;RTO2022 Annual Update 
Attachment 1</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zoomScaleNormal="100" workbookViewId="0"/>
  </sheetViews>
  <sheetFormatPr defaultRowHeight="12.5"/>
  <cols>
    <col min="1" max="1" width="2.54296875" customWidth="1"/>
    <col min="2" max="2" width="18.54296875" customWidth="1"/>
    <col min="3" max="3" width="10.54296875" customWidth="1"/>
    <col min="4" max="4" width="66.54296875" customWidth="1"/>
  </cols>
  <sheetData>
    <row r="1" spans="1:4" ht="13">
      <c r="A1" s="1" t="s">
        <v>1123</v>
      </c>
      <c r="C1" s="1"/>
    </row>
    <row r="3" spans="1:4" ht="13">
      <c r="B3" s="3" t="s">
        <v>1124</v>
      </c>
      <c r="C3" s="3" t="s">
        <v>1192</v>
      </c>
      <c r="D3" s="376" t="s">
        <v>519</v>
      </c>
    </row>
    <row r="4" spans="1:4">
      <c r="B4" s="364" t="s">
        <v>1078</v>
      </c>
      <c r="C4" s="61"/>
      <c r="D4" s="12" t="s">
        <v>1126</v>
      </c>
    </row>
    <row r="5" spans="1:4">
      <c r="B5" s="568" t="s">
        <v>1125</v>
      </c>
      <c r="C5" s="61">
        <v>1</v>
      </c>
      <c r="D5" s="463" t="s">
        <v>2148</v>
      </c>
    </row>
    <row r="6" spans="1:4">
      <c r="B6" s="568" t="s">
        <v>1089</v>
      </c>
      <c r="C6" s="61">
        <v>2</v>
      </c>
      <c r="D6" s="12" t="s">
        <v>1133</v>
      </c>
    </row>
    <row r="7" spans="1:4">
      <c r="B7" s="568" t="s">
        <v>1090</v>
      </c>
      <c r="C7" s="61">
        <v>3</v>
      </c>
      <c r="D7" s="12" t="s">
        <v>1134</v>
      </c>
    </row>
    <row r="8" spans="1:4">
      <c r="B8" s="568" t="s">
        <v>1481</v>
      </c>
      <c r="C8" s="61">
        <v>4</v>
      </c>
      <c r="D8" s="463" t="s">
        <v>1482</v>
      </c>
    </row>
    <row r="9" spans="1:4">
      <c r="B9" s="568" t="s">
        <v>1079</v>
      </c>
      <c r="C9" s="61">
        <v>5</v>
      </c>
      <c r="D9" s="12" t="s">
        <v>1127</v>
      </c>
    </row>
    <row r="10" spans="1:4">
      <c r="B10" s="568" t="s">
        <v>1082</v>
      </c>
      <c r="C10" s="61">
        <v>6</v>
      </c>
      <c r="D10" s="12" t="s">
        <v>1130</v>
      </c>
    </row>
    <row r="11" spans="1:4">
      <c r="B11" s="568" t="s">
        <v>1083</v>
      </c>
      <c r="C11" s="61">
        <v>7</v>
      </c>
      <c r="D11" s="12" t="s">
        <v>1428</v>
      </c>
    </row>
    <row r="12" spans="1:4">
      <c r="B12" s="568" t="s">
        <v>1092</v>
      </c>
      <c r="C12" s="61">
        <v>8</v>
      </c>
      <c r="D12" s="12" t="s">
        <v>1135</v>
      </c>
    </row>
    <row r="13" spans="1:4">
      <c r="B13" s="568" t="s">
        <v>201</v>
      </c>
      <c r="C13" s="61">
        <v>9</v>
      </c>
      <c r="D13" s="12" t="s">
        <v>98</v>
      </c>
    </row>
    <row r="14" spans="1:4">
      <c r="B14" s="568" t="s">
        <v>1</v>
      </c>
      <c r="C14" s="61">
        <v>10</v>
      </c>
      <c r="D14" s="463" t="s">
        <v>2149</v>
      </c>
    </row>
    <row r="15" spans="1:4">
      <c r="B15" s="568" t="s">
        <v>1084</v>
      </c>
      <c r="C15" s="61">
        <v>11</v>
      </c>
      <c r="D15" s="12" t="s">
        <v>1178</v>
      </c>
    </row>
    <row r="16" spans="1:4">
      <c r="B16" s="568" t="s">
        <v>1085</v>
      </c>
      <c r="C16" s="61">
        <v>12</v>
      </c>
      <c r="D16" s="12" t="s">
        <v>1131</v>
      </c>
    </row>
    <row r="17" spans="2:4">
      <c r="B17" s="568" t="s">
        <v>1091</v>
      </c>
      <c r="C17" s="61">
        <v>13</v>
      </c>
      <c r="D17" s="12" t="s">
        <v>1145</v>
      </c>
    </row>
    <row r="18" spans="2:4">
      <c r="B18" s="568" t="s">
        <v>1086</v>
      </c>
      <c r="C18" s="61">
        <v>14</v>
      </c>
      <c r="D18" s="12" t="s">
        <v>1132</v>
      </c>
    </row>
    <row r="19" spans="2:4">
      <c r="B19" s="568" t="s">
        <v>1087</v>
      </c>
      <c r="C19" s="61">
        <v>15</v>
      </c>
      <c r="D19" s="463" t="s">
        <v>1675</v>
      </c>
    </row>
    <row r="20" spans="2:4">
      <c r="B20" s="568" t="s">
        <v>1088</v>
      </c>
      <c r="C20" s="61">
        <v>16</v>
      </c>
      <c r="D20" s="12" t="s">
        <v>1185</v>
      </c>
    </row>
    <row r="21" spans="2:4">
      <c r="B21" s="568" t="s">
        <v>1080</v>
      </c>
      <c r="C21" s="61">
        <v>17</v>
      </c>
      <c r="D21" s="12" t="s">
        <v>1128</v>
      </c>
    </row>
    <row r="22" spans="2:4">
      <c r="B22" s="568" t="s">
        <v>1081</v>
      </c>
      <c r="C22" s="61">
        <v>18</v>
      </c>
      <c r="D22" s="12" t="s">
        <v>1129</v>
      </c>
    </row>
    <row r="23" spans="2:4">
      <c r="B23" s="568" t="s">
        <v>1093</v>
      </c>
      <c r="C23" s="61">
        <v>19</v>
      </c>
      <c r="D23" s="12" t="s">
        <v>1136</v>
      </c>
    </row>
    <row r="24" spans="2:4">
      <c r="B24" s="568" t="s">
        <v>1094</v>
      </c>
      <c r="C24" s="61">
        <v>20</v>
      </c>
      <c r="D24" s="463" t="s">
        <v>280</v>
      </c>
    </row>
    <row r="25" spans="2:4">
      <c r="B25" s="568" t="s">
        <v>1102</v>
      </c>
      <c r="C25" s="61">
        <v>21</v>
      </c>
      <c r="D25" s="12" t="s">
        <v>1137</v>
      </c>
    </row>
    <row r="26" spans="2:4">
      <c r="B26" s="568" t="s">
        <v>1103</v>
      </c>
      <c r="C26" s="61">
        <v>22</v>
      </c>
      <c r="D26" s="12" t="s">
        <v>1184</v>
      </c>
    </row>
    <row r="27" spans="2:4">
      <c r="B27" s="568" t="s">
        <v>1104</v>
      </c>
      <c r="C27" s="61">
        <v>23</v>
      </c>
      <c r="D27" s="12" t="s">
        <v>1138</v>
      </c>
    </row>
    <row r="28" spans="2:4" ht="12.75" customHeight="1">
      <c r="B28" s="568" t="s">
        <v>1415</v>
      </c>
      <c r="C28" s="61">
        <v>24</v>
      </c>
      <c r="D28" s="12" t="s">
        <v>1416</v>
      </c>
    </row>
    <row r="29" spans="2:4">
      <c r="B29" s="568" t="s">
        <v>1356</v>
      </c>
      <c r="C29" s="61">
        <v>25</v>
      </c>
      <c r="D29" s="12" t="s">
        <v>1357</v>
      </c>
    </row>
    <row r="30" spans="2:4">
      <c r="B30" s="568" t="s">
        <v>1107</v>
      </c>
      <c r="C30" s="61">
        <v>26</v>
      </c>
      <c r="D30" s="12" t="s">
        <v>1139</v>
      </c>
    </row>
    <row r="31" spans="2:4">
      <c r="B31" s="568" t="s">
        <v>1106</v>
      </c>
      <c r="C31" s="61">
        <v>27</v>
      </c>
      <c r="D31" s="12" t="s">
        <v>202</v>
      </c>
    </row>
    <row r="32" spans="2:4">
      <c r="B32" s="568" t="s">
        <v>1105</v>
      </c>
      <c r="C32" s="61">
        <v>28</v>
      </c>
      <c r="D32" s="12" t="s">
        <v>1140</v>
      </c>
    </row>
    <row r="33" spans="2:4">
      <c r="B33" s="568" t="s">
        <v>1108</v>
      </c>
      <c r="C33" s="61">
        <v>29</v>
      </c>
      <c r="D33" s="12" t="s">
        <v>1141</v>
      </c>
    </row>
    <row r="34" spans="2:4">
      <c r="B34" s="568" t="s">
        <v>1109</v>
      </c>
      <c r="C34" s="61">
        <v>30</v>
      </c>
      <c r="D34" s="12" t="s">
        <v>1186</v>
      </c>
    </row>
    <row r="35" spans="2:4">
      <c r="B35" s="568" t="s">
        <v>1110</v>
      </c>
      <c r="C35" s="61">
        <v>31</v>
      </c>
      <c r="D35" s="12" t="s">
        <v>1142</v>
      </c>
    </row>
    <row r="36" spans="2:4">
      <c r="B36" s="568" t="s">
        <v>1111</v>
      </c>
      <c r="C36" s="61">
        <v>32</v>
      </c>
      <c r="D36" s="12" t="s">
        <v>1143</v>
      </c>
    </row>
    <row r="37" spans="2:4">
      <c r="B37" s="568" t="s">
        <v>1112</v>
      </c>
      <c r="C37" s="454">
        <v>33</v>
      </c>
      <c r="D37" s="12" t="s">
        <v>1144</v>
      </c>
    </row>
    <row r="38" spans="2:4">
      <c r="B38" s="568" t="s">
        <v>1953</v>
      </c>
      <c r="C38" s="838">
        <v>34</v>
      </c>
      <c r="D38" s="465" t="s">
        <v>1976</v>
      </c>
    </row>
    <row r="39" spans="2:4">
      <c r="B39" s="12"/>
    </row>
    <row r="40" spans="2:4">
      <c r="B40" s="12"/>
    </row>
    <row r="41" spans="2:4">
      <c r="B41" s="12"/>
    </row>
    <row r="42" spans="2:4">
      <c r="B42" s="12"/>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Print_Area" display="Unfunded Reserves" xr:uid="{00000000-0004-0000-0100-000022000000}"/>
  </hyperlinks>
  <pageMargins left="0.7" right="0.7" top="0.75" bottom="0.75" header="0.3" footer="0.3"/>
  <pageSetup scale="90" orientation="portrait" cellComments="asDisplayed" r:id="rId1"/>
  <headerFooter>
    <oddHeader>&amp;RTO2022 Annual Update 
Attachment 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440"/>
  <sheetViews>
    <sheetView zoomScaleNormal="100" zoomScalePageLayoutView="80" workbookViewId="0"/>
  </sheetViews>
  <sheetFormatPr defaultRowHeight="12.5"/>
  <cols>
    <col min="1" max="1" width="4.54296875" customWidth="1"/>
    <col min="2" max="2" width="3.54296875" customWidth="1"/>
    <col min="3" max="3" width="16.54296875" customWidth="1"/>
    <col min="4" max="4" width="9.54296875" customWidth="1"/>
    <col min="5" max="8" width="15.54296875" customWidth="1"/>
    <col min="9" max="11" width="14.54296875" customWidth="1"/>
  </cols>
  <sheetData>
    <row r="1" spans="1:10" ht="13">
      <c r="A1" s="1" t="s">
        <v>244</v>
      </c>
    </row>
    <row r="2" spans="1:10" ht="13">
      <c r="A2" s="1" t="s">
        <v>245</v>
      </c>
      <c r="E2" s="68" t="s">
        <v>2531</v>
      </c>
      <c r="F2" s="1480" t="s">
        <v>2735</v>
      </c>
      <c r="G2" s="96"/>
    </row>
    <row r="3" spans="1:10" ht="13">
      <c r="B3" s="1"/>
      <c r="H3" s="184" t="s">
        <v>246</v>
      </c>
      <c r="I3" s="96"/>
      <c r="J3" s="56"/>
    </row>
    <row r="4" spans="1:10" ht="13">
      <c r="B4" s="1" t="s">
        <v>247</v>
      </c>
      <c r="H4" s="1124"/>
    </row>
    <row r="5" spans="1:10" ht="13">
      <c r="B5" s="55" t="s">
        <v>248</v>
      </c>
    </row>
    <row r="6" spans="1:10" ht="13">
      <c r="B6" s="55" t="s">
        <v>297</v>
      </c>
    </row>
    <row r="7" spans="1:10" ht="13">
      <c r="B7" s="102" t="s">
        <v>991</v>
      </c>
    </row>
    <row r="8" spans="1:10" ht="13">
      <c r="B8" s="102" t="s">
        <v>1483</v>
      </c>
    </row>
    <row r="9" spans="1:10" ht="13">
      <c r="B9" s="102" t="s">
        <v>1484</v>
      </c>
      <c r="D9" s="1"/>
      <c r="E9" s="1"/>
    </row>
    <row r="10" spans="1:10" ht="13">
      <c r="B10" s="55"/>
    </row>
    <row r="11" spans="1:10" ht="13">
      <c r="B11" s="55"/>
      <c r="C11" s="12" t="s">
        <v>355</v>
      </c>
    </row>
    <row r="12" spans="1:10" ht="13">
      <c r="B12" s="55"/>
      <c r="C12" s="467" t="s">
        <v>1486</v>
      </c>
    </row>
    <row r="13" spans="1:10" ht="13">
      <c r="B13" s="55"/>
      <c r="C13" s="462" t="s">
        <v>1764</v>
      </c>
      <c r="D13" s="14"/>
      <c r="E13" s="14"/>
      <c r="F13" s="14"/>
      <c r="G13" s="14"/>
      <c r="H13" s="14"/>
      <c r="I13" s="14"/>
    </row>
    <row r="14" spans="1:10" ht="13">
      <c r="B14" s="55"/>
      <c r="C14" s="462" t="s">
        <v>1487</v>
      </c>
      <c r="D14" s="14"/>
      <c r="E14" s="14"/>
      <c r="F14" s="14"/>
      <c r="G14" s="14"/>
      <c r="H14" s="14"/>
      <c r="I14" s="14"/>
    </row>
    <row r="15" spans="1:10" ht="13">
      <c r="B15" s="55"/>
      <c r="C15" s="845" t="s">
        <v>1488</v>
      </c>
      <c r="D15" s="14"/>
      <c r="E15" s="14"/>
      <c r="F15" s="14"/>
      <c r="G15" s="14"/>
      <c r="H15" s="14"/>
      <c r="I15" s="14"/>
    </row>
    <row r="16" spans="1:10" ht="13">
      <c r="B16" s="55"/>
      <c r="C16" s="462" t="s">
        <v>1490</v>
      </c>
      <c r="D16" s="14"/>
      <c r="E16" s="14"/>
      <c r="F16" s="14"/>
      <c r="G16" s="14"/>
      <c r="H16" s="14"/>
      <c r="I16" s="14"/>
    </row>
    <row r="17" spans="1:10" ht="13">
      <c r="B17" s="55"/>
      <c r="C17" s="462" t="s">
        <v>1489</v>
      </c>
      <c r="D17" s="14"/>
      <c r="E17" s="14"/>
      <c r="F17" s="14"/>
      <c r="G17" s="14"/>
      <c r="H17" s="14"/>
      <c r="I17" s="14"/>
    </row>
    <row r="18" spans="1:10" ht="13">
      <c r="B18" s="55"/>
      <c r="C18" s="46"/>
      <c r="D18" s="14"/>
      <c r="E18" s="14"/>
      <c r="F18" s="14"/>
      <c r="G18" s="14"/>
      <c r="H18" s="14"/>
      <c r="I18" s="14"/>
    </row>
    <row r="19" spans="1:10" ht="13">
      <c r="C19" s="44" t="s">
        <v>990</v>
      </c>
      <c r="D19" s="14"/>
      <c r="E19" s="14"/>
      <c r="F19" s="14"/>
      <c r="G19" s="14"/>
      <c r="H19" s="14"/>
      <c r="I19" s="14"/>
    </row>
    <row r="20" spans="1:10" ht="13">
      <c r="C20" s="44"/>
      <c r="D20" s="14"/>
      <c r="E20" s="122" t="s">
        <v>358</v>
      </c>
      <c r="F20" s="122" t="s">
        <v>342</v>
      </c>
      <c r="G20" s="122" t="s">
        <v>343</v>
      </c>
      <c r="H20" s="14"/>
      <c r="I20" s="14"/>
    </row>
    <row r="21" spans="1:10" ht="13">
      <c r="B21" s="1"/>
      <c r="C21" s="14"/>
      <c r="D21" s="14"/>
      <c r="E21" s="14"/>
      <c r="F21" s="109" t="s">
        <v>63</v>
      </c>
      <c r="G21" s="109" t="s">
        <v>18</v>
      </c>
      <c r="H21" s="14"/>
      <c r="I21" s="14"/>
    </row>
    <row r="22" spans="1:10" ht="13">
      <c r="B22" s="1"/>
      <c r="C22" s="14"/>
      <c r="D22" s="14"/>
      <c r="E22" s="109" t="s">
        <v>63</v>
      </c>
      <c r="F22" s="854" t="s">
        <v>228</v>
      </c>
      <c r="G22" s="109" t="s">
        <v>296</v>
      </c>
      <c r="H22" s="14"/>
      <c r="I22" s="14"/>
    </row>
    <row r="23" spans="1:10" ht="13">
      <c r="B23" s="1"/>
      <c r="C23" s="15"/>
      <c r="D23" s="14"/>
      <c r="E23" s="109" t="s">
        <v>227</v>
      </c>
      <c r="F23" s="109" t="s">
        <v>229</v>
      </c>
      <c r="G23" s="109" t="s">
        <v>1</v>
      </c>
      <c r="H23" s="14"/>
      <c r="I23" s="14"/>
    </row>
    <row r="24" spans="1:10" ht="13">
      <c r="B24" s="1"/>
      <c r="C24" s="109" t="s">
        <v>8</v>
      </c>
      <c r="D24" s="14"/>
      <c r="E24" s="109" t="s">
        <v>240</v>
      </c>
      <c r="F24" s="109" t="s">
        <v>240</v>
      </c>
      <c r="G24" s="854" t="s">
        <v>10</v>
      </c>
      <c r="H24" s="14"/>
      <c r="I24" s="14"/>
    </row>
    <row r="25" spans="1:10" ht="13">
      <c r="A25" s="51" t="s">
        <v>329</v>
      </c>
      <c r="B25" s="1"/>
      <c r="C25" s="122" t="s">
        <v>224</v>
      </c>
      <c r="D25" s="14"/>
      <c r="E25" s="122" t="s">
        <v>175</v>
      </c>
      <c r="F25" s="122" t="s">
        <v>175</v>
      </c>
      <c r="G25" s="122" t="s">
        <v>175</v>
      </c>
      <c r="H25" s="122" t="s">
        <v>230</v>
      </c>
      <c r="I25" s="108"/>
      <c r="J25" s="50"/>
    </row>
    <row r="26" spans="1:10" ht="13">
      <c r="A26" s="2">
        <v>1</v>
      </c>
      <c r="B26" s="1"/>
      <c r="C26" s="15" t="s">
        <v>336</v>
      </c>
      <c r="D26" s="14"/>
      <c r="E26" s="63">
        <f>'10-CWIP'!E25</f>
        <v>160227</v>
      </c>
      <c r="F26" s="63">
        <f>'10-CWIP'!E26</f>
        <v>158247.98461538463</v>
      </c>
      <c r="G26" s="63">
        <f>'10-CWIP'!K113</f>
        <v>7624571.0523076914</v>
      </c>
      <c r="H26" s="46" t="str">
        <f>"10-CWIP Lines "&amp;'10-CWIP'!A25&amp;", "&amp;'10-CWIP'!A26&amp;", and "&amp;'10-CWIP'!A113&amp;""</f>
        <v>10-CWIP Lines 13, 14, and 80</v>
      </c>
      <c r="I26" s="14"/>
    </row>
    <row r="27" spans="1:10" ht="13">
      <c r="A27" s="2">
        <f t="shared" ref="A27:A38" si="0">A26+1</f>
        <v>2</v>
      </c>
      <c r="B27" s="1"/>
      <c r="C27" s="15" t="s">
        <v>337</v>
      </c>
      <c r="D27" s="14"/>
      <c r="E27" s="63">
        <f>'10-CWIP'!F25</f>
        <v>0</v>
      </c>
      <c r="F27" s="63">
        <f>'10-CWIP'!F26</f>
        <v>0</v>
      </c>
      <c r="G27" s="63">
        <f>'10-CWIP'!K146</f>
        <v>0</v>
      </c>
      <c r="H27" s="46" t="str">
        <f>"10-CWIP Lines "&amp;'10-CWIP'!A25&amp;", "&amp;'10-CWIP'!A26&amp;", and "&amp;'10-CWIP'!A146&amp;""</f>
        <v>10-CWIP Lines 13, 14, and 106</v>
      </c>
      <c r="I27" s="14"/>
    </row>
    <row r="28" spans="1:10" ht="13">
      <c r="A28" s="2">
        <f t="shared" si="0"/>
        <v>3</v>
      </c>
      <c r="B28" s="1"/>
      <c r="C28" s="465" t="s">
        <v>2331</v>
      </c>
      <c r="D28" s="14"/>
      <c r="E28" s="63">
        <f>'10-CWIP'!G25</f>
        <v>5772572.9199999999</v>
      </c>
      <c r="F28" s="63">
        <f>'10-CWIP'!G26</f>
        <v>5634482.1292307684</v>
      </c>
      <c r="G28" s="63">
        <f>'10-CWIP'!K179</f>
        <v>2437769.2307692319</v>
      </c>
      <c r="H28" s="46" t="str">
        <f>"10-CWIP Lines "&amp;'10-CWIP'!A25&amp;", "&amp;'10-CWIP'!A26&amp;", and "&amp;'10-CWIP'!A179&amp;""</f>
        <v>10-CWIP Lines 13, 14, and 132</v>
      </c>
      <c r="I28" s="14"/>
    </row>
    <row r="29" spans="1:10" ht="13">
      <c r="A29" s="2">
        <f t="shared" si="0"/>
        <v>4</v>
      </c>
      <c r="B29" s="1"/>
      <c r="C29" s="465" t="s">
        <v>2332</v>
      </c>
      <c r="D29" s="14"/>
      <c r="E29" s="63">
        <f>'10-CWIP'!H25</f>
        <v>650835316.65999997</v>
      </c>
      <c r="F29" s="63">
        <f>'10-CWIP'!H26</f>
        <v>561949690.21384621</v>
      </c>
      <c r="G29" s="63">
        <f>'10-CWIP'!K212</f>
        <v>-650835316.65999985</v>
      </c>
      <c r="H29" s="46" t="str">
        <f>"10-CWIP Lines "&amp;'10-CWIP'!A25&amp;", "&amp;'10-CWIP'!A26&amp;", and "&amp;'10-CWIP'!A212&amp;""</f>
        <v>10-CWIP Lines 13, 14, and 158</v>
      </c>
      <c r="I29" s="14"/>
    </row>
    <row r="30" spans="1:10" ht="13">
      <c r="A30" s="2">
        <f t="shared" si="0"/>
        <v>5</v>
      </c>
      <c r="B30" s="1"/>
      <c r="C30" s="15" t="s">
        <v>996</v>
      </c>
      <c r="D30" s="14"/>
      <c r="E30" s="63">
        <f>'10-CWIP'!I25</f>
        <v>0</v>
      </c>
      <c r="F30" s="63">
        <f>'10-CWIP'!I26</f>
        <v>0</v>
      </c>
      <c r="G30" s="63">
        <f>'10-CWIP'!K245</f>
        <v>0</v>
      </c>
      <c r="H30" s="46" t="str">
        <f>"10-CWIP Lines "&amp;'10-CWIP'!A25&amp;", "&amp;'10-CWIP'!A26&amp;", and "&amp;'10-CWIP'!A245&amp;""</f>
        <v>10-CWIP Lines 13, 14, and 184</v>
      </c>
      <c r="I30" s="14"/>
    </row>
    <row r="31" spans="1:10" ht="13">
      <c r="A31" s="2">
        <f t="shared" si="0"/>
        <v>6</v>
      </c>
      <c r="B31" s="1"/>
      <c r="C31" s="15" t="s">
        <v>997</v>
      </c>
      <c r="D31" s="14"/>
      <c r="E31" s="63">
        <f>'10-CWIP'!D45</f>
        <v>0</v>
      </c>
      <c r="F31" s="63">
        <f>'10-CWIP'!D46</f>
        <v>0</v>
      </c>
      <c r="G31" s="63">
        <f>'10-CWIP'!K278</f>
        <v>0</v>
      </c>
      <c r="H31" s="46" t="str">
        <f>"10-CWIP Lines "&amp;'10-CWIP'!A45&amp;", "&amp;'10-CWIP'!A46&amp;", and "&amp;'10-CWIP'!A278&amp;""</f>
        <v>10-CWIP Lines 27, 28, and 210</v>
      </c>
      <c r="I31" s="14"/>
    </row>
    <row r="32" spans="1:10" ht="13">
      <c r="A32" s="2">
        <f t="shared" si="0"/>
        <v>7</v>
      </c>
      <c r="B32" s="1"/>
      <c r="C32" s="15" t="s">
        <v>998</v>
      </c>
      <c r="D32" s="14"/>
      <c r="E32" s="63">
        <f>'10-CWIP'!E45</f>
        <v>5327831.78</v>
      </c>
      <c r="F32" s="63">
        <f>'10-CWIP'!E46</f>
        <v>1882516.0330769231</v>
      </c>
      <c r="G32" s="63">
        <f>'10-CWIP'!K311</f>
        <v>-5327831.7800000021</v>
      </c>
      <c r="H32" s="46" t="str">
        <f>"10-CWIP Lines "&amp;'10-CWIP'!A45&amp;", "&amp;'10-CWIP'!A46&amp;", and "&amp;'10-CWIP'!A311&amp;""</f>
        <v>10-CWIP Lines 27, 28, and 236</v>
      </c>
      <c r="I32" s="14"/>
    </row>
    <row r="33" spans="1:10" ht="13">
      <c r="A33" s="2">
        <f t="shared" si="0"/>
        <v>8</v>
      </c>
      <c r="B33" s="1"/>
      <c r="C33" s="465" t="s">
        <v>2420</v>
      </c>
      <c r="D33" s="14"/>
      <c r="E33" s="63">
        <f>'10-CWIP'!F45</f>
        <v>130044184.2</v>
      </c>
      <c r="F33" s="63">
        <f>'10-CWIP'!F46</f>
        <v>82731749.68923077</v>
      </c>
      <c r="G33" s="63">
        <f>'10-CWIP'!K344</f>
        <v>-127003605.75269237</v>
      </c>
      <c r="H33" s="46" t="str">
        <f>"10-CWIP Lines "&amp;'10-CWIP'!A45&amp;", "&amp;'10-CWIP'!A46&amp;", and "&amp;'10-CWIP'!A344&amp;""</f>
        <v>10-CWIP Lines 27, 28, and 262</v>
      </c>
      <c r="I33" s="14"/>
    </row>
    <row r="34" spans="1:10" ht="13">
      <c r="A34" s="2">
        <f t="shared" si="0"/>
        <v>9</v>
      </c>
      <c r="B34" s="1"/>
      <c r="C34" s="465" t="s">
        <v>2421</v>
      </c>
      <c r="D34" s="14"/>
      <c r="E34" s="63">
        <f>'10-CWIP'!G45</f>
        <v>23818399.359999999</v>
      </c>
      <c r="F34" s="63">
        <f>'10-CWIP'!G46</f>
        <v>22821065.029999997</v>
      </c>
      <c r="G34" s="63">
        <f>'10-CWIP'!K377</f>
        <v>1577239.0467230794</v>
      </c>
      <c r="H34" s="46" t="str">
        <f>"10-CWIP Lines "&amp;'10-CWIP'!A45&amp;", "&amp;'10-CWIP'!A46&amp;", and "&amp;'10-CWIP'!A377&amp;""</f>
        <v>10-CWIP Lines 27, 28, and 288</v>
      </c>
      <c r="I34" s="14"/>
    </row>
    <row r="35" spans="1:10" ht="13">
      <c r="A35" s="2">
        <f t="shared" si="0"/>
        <v>10</v>
      </c>
      <c r="B35" s="1"/>
      <c r="C35" s="465" t="s">
        <v>2422</v>
      </c>
      <c r="E35" s="63">
        <f>'10-CWIP'!H45</f>
        <v>134608216.12</v>
      </c>
      <c r="F35" s="63">
        <f>'10-CWIP'!H46</f>
        <v>111791646.83615384</v>
      </c>
      <c r="G35" s="63">
        <f>'10-CWIP'!K410</f>
        <v>-91657226.751538485</v>
      </c>
      <c r="H35" s="46" t="str">
        <f>"10-CWIP Lines "&amp;'10-CWIP'!A45&amp;", "&amp;'10-CWIP'!A46&amp;", and "&amp;'10-CWIP'!A410&amp;""</f>
        <v>10-CWIP Lines 27, 28, and 314</v>
      </c>
      <c r="I35" s="14"/>
      <c r="J35" s="14"/>
    </row>
    <row r="36" spans="1:10" s="955" customFormat="1" ht="13">
      <c r="A36" s="549">
        <f t="shared" si="0"/>
        <v>11</v>
      </c>
      <c r="B36" s="1"/>
      <c r="C36" s="465" t="s">
        <v>2736</v>
      </c>
      <c r="D36" s="14"/>
      <c r="E36" s="63">
        <f>'10-CWIP'!I45</f>
        <v>23607954.079999998</v>
      </c>
      <c r="F36" s="63">
        <f>'10-CWIP'!I46</f>
        <v>5363187.307692308</v>
      </c>
      <c r="G36" s="63">
        <f>'10-CWIP'!K443</f>
        <v>43070582.672003858</v>
      </c>
      <c r="H36" s="46" t="str">
        <f>"10-CWIP Lines "&amp;'10-CWIP'!A45&amp;", "&amp;'10-CWIP'!A46&amp;", and "&amp;'10-CWIP'!A443&amp;""</f>
        <v>10-CWIP Lines 27, 28, and 340</v>
      </c>
      <c r="I36" s="14"/>
      <c r="J36" s="14"/>
    </row>
    <row r="37" spans="1:10" ht="13">
      <c r="A37" s="549">
        <f t="shared" si="0"/>
        <v>12</v>
      </c>
      <c r="B37" s="1"/>
      <c r="C37" s="524" t="s">
        <v>504</v>
      </c>
      <c r="D37" s="96"/>
      <c r="E37" s="871" t="str">
        <f>'10-CWIP'!J46</f>
        <v>---</v>
      </c>
      <c r="F37" s="871" t="str">
        <f>'10-CWIP'!J46</f>
        <v>---</v>
      </c>
      <c r="G37" s="63">
        <f>'10-CWIP'!K476</f>
        <v>0</v>
      </c>
      <c r="H37" s="46" t="str">
        <f>"10-CWIP Lines "&amp;'10-CWIP'!A45&amp;", "&amp;'10-CWIP'!A46&amp;", and "&amp;'10-CWIP'!A476&amp;""</f>
        <v>10-CWIP Lines 27, 28, and 366</v>
      </c>
      <c r="I37" s="14"/>
    </row>
    <row r="38" spans="1:10" ht="13">
      <c r="A38" s="549">
        <f t="shared" si="0"/>
        <v>13</v>
      </c>
      <c r="B38" s="1"/>
      <c r="D38" s="79" t="s">
        <v>197</v>
      </c>
      <c r="E38" s="7">
        <f>SUM(E26:E37)</f>
        <v>974174702.12</v>
      </c>
      <c r="F38" s="7">
        <f>SUM(F26:F37)</f>
        <v>792332585.2238462</v>
      </c>
      <c r="G38" s="7">
        <f>SUM(G26:G37)</f>
        <v>-820113818.9424268</v>
      </c>
      <c r="H38" s="52"/>
    </row>
    <row r="39" spans="1:10" ht="13">
      <c r="B39" s="1"/>
    </row>
    <row r="40" spans="1:10" ht="13">
      <c r="B40" s="1"/>
      <c r="C40" s="1" t="s">
        <v>1239</v>
      </c>
    </row>
    <row r="41" spans="1:10" ht="13">
      <c r="B41" s="1"/>
      <c r="C41" s="1"/>
    </row>
    <row r="42" spans="1:10" ht="13">
      <c r="B42" s="1"/>
      <c r="E42" s="3" t="s">
        <v>358</v>
      </c>
      <c r="F42" s="3" t="s">
        <v>342</v>
      </c>
      <c r="G42" s="3" t="s">
        <v>343</v>
      </c>
    </row>
    <row r="43" spans="1:10" ht="13">
      <c r="B43" s="1"/>
      <c r="E43" s="525" t="s">
        <v>1461</v>
      </c>
      <c r="F43" s="3"/>
      <c r="G43" s="3"/>
    </row>
    <row r="44" spans="1:10" ht="13">
      <c r="B44" s="1"/>
      <c r="E44" s="2" t="s">
        <v>63</v>
      </c>
      <c r="F44" s="2" t="s">
        <v>299</v>
      </c>
      <c r="G44" s="2" t="s">
        <v>299</v>
      </c>
    </row>
    <row r="45" spans="1:10" ht="13">
      <c r="B45" s="1"/>
      <c r="E45" s="2" t="s">
        <v>8</v>
      </c>
      <c r="F45" s="2" t="s">
        <v>1</v>
      </c>
      <c r="G45" s="2" t="s">
        <v>298</v>
      </c>
    </row>
    <row r="46" spans="1:10" ht="13">
      <c r="B46" s="1"/>
      <c r="E46" s="3" t="s">
        <v>173</v>
      </c>
      <c r="F46" s="3" t="s">
        <v>249</v>
      </c>
      <c r="G46" s="3" t="s">
        <v>3</v>
      </c>
      <c r="H46" s="3" t="s">
        <v>230</v>
      </c>
    </row>
    <row r="47" spans="1:10" ht="13">
      <c r="A47" s="2">
        <f>A38+1</f>
        <v>14</v>
      </c>
      <c r="B47" s="1"/>
      <c r="C47" t="s">
        <v>225</v>
      </c>
      <c r="E47" s="100">
        <f>F47+G47</f>
        <v>136014895.64741364</v>
      </c>
      <c r="F47" s="63">
        <v>0</v>
      </c>
      <c r="G47" s="63">
        <f>H85</f>
        <v>136014895.64741364</v>
      </c>
      <c r="H47" s="46" t="str">
        <f>"Line "&amp;A85&amp;", C4"</f>
        <v>Line 38, C4</v>
      </c>
      <c r="I47" s="14"/>
    </row>
    <row r="48" spans="1:10" ht="13">
      <c r="A48" s="2">
        <f>A47+1</f>
        <v>15</v>
      </c>
      <c r="B48" s="1"/>
      <c r="C48" t="s">
        <v>226</v>
      </c>
      <c r="E48" s="100">
        <f>F48+G48</f>
        <v>2517273959.592175</v>
      </c>
      <c r="F48" s="63">
        <f>E26</f>
        <v>160227</v>
      </c>
      <c r="G48" s="63">
        <f>F85</f>
        <v>2517113732.592175</v>
      </c>
      <c r="H48" s="46" t="str">
        <f>"Line "&amp;A26&amp;", C1, and Line "&amp;A85&amp;", C2"</f>
        <v>Line 1, C1, and Line 38, C2</v>
      </c>
      <c r="I48" s="14"/>
    </row>
    <row r="49" spans="1:9" ht="13">
      <c r="A49" s="2">
        <f>A48+1</f>
        <v>16</v>
      </c>
      <c r="B49" s="1"/>
      <c r="C49" s="463" t="s">
        <v>1642</v>
      </c>
      <c r="E49" s="100">
        <f>F49+G49</f>
        <v>629713992.18976367</v>
      </c>
      <c r="F49" s="63">
        <f>E27</f>
        <v>0</v>
      </c>
      <c r="G49" s="63">
        <f>G85</f>
        <v>629713992.18976367</v>
      </c>
      <c r="H49" s="46" t="str">
        <f>"Line "&amp;A27&amp;", C1, and Line "&amp;A85&amp;", C3"</f>
        <v>Line 2, C1, and Line 38, C3</v>
      </c>
      <c r="I49" s="14"/>
    </row>
    <row r="50" spans="1:9" ht="13">
      <c r="A50" s="2">
        <f>A49+1</f>
        <v>17</v>
      </c>
      <c r="B50" s="1"/>
      <c r="C50" s="524" t="s">
        <v>504</v>
      </c>
      <c r="D50" s="96"/>
      <c r="E50" s="1403" t="s">
        <v>76</v>
      </c>
      <c r="F50" s="1403" t="s">
        <v>76</v>
      </c>
      <c r="G50" s="1403" t="s">
        <v>76</v>
      </c>
      <c r="H50" s="524" t="s">
        <v>504</v>
      </c>
      <c r="I50" s="96"/>
    </row>
    <row r="51" spans="1:9" ht="13">
      <c r="A51" s="2">
        <f>A50+1</f>
        <v>18</v>
      </c>
      <c r="B51" s="1"/>
      <c r="C51" s="185"/>
      <c r="E51" s="95"/>
      <c r="F51" s="95"/>
      <c r="G51" s="95"/>
      <c r="H51" s="13"/>
    </row>
    <row r="52" spans="1:9" ht="13">
      <c r="A52" s="2">
        <f>A51+1</f>
        <v>19</v>
      </c>
      <c r="B52" s="1"/>
      <c r="D52" s="461" t="s">
        <v>1646</v>
      </c>
      <c r="E52" s="7">
        <f>SUM(E47:E49)</f>
        <v>3283002847.4293523</v>
      </c>
      <c r="F52" s="95"/>
      <c r="G52" s="95"/>
      <c r="H52" s="467" t="s">
        <v>1647</v>
      </c>
    </row>
    <row r="53" spans="1:9" ht="13">
      <c r="B53" s="1"/>
    </row>
    <row r="54" spans="1:9" ht="13">
      <c r="B54" s="1"/>
      <c r="C54" s="1" t="s">
        <v>1485</v>
      </c>
    </row>
    <row r="55" spans="1:9" ht="13">
      <c r="B55" s="1"/>
      <c r="C55" s="1"/>
    </row>
    <row r="56" spans="1:9" ht="13">
      <c r="B56" s="1"/>
      <c r="C56" s="1"/>
      <c r="E56" s="3" t="s">
        <v>358</v>
      </c>
      <c r="F56" s="3" t="s">
        <v>342</v>
      </c>
      <c r="G56" s="3" t="s">
        <v>343</v>
      </c>
    </row>
    <row r="57" spans="1:9" ht="13">
      <c r="B57" s="1"/>
      <c r="E57" s="525" t="s">
        <v>1461</v>
      </c>
      <c r="G57" s="2" t="s">
        <v>10</v>
      </c>
    </row>
    <row r="58" spans="1:9" ht="13">
      <c r="B58" s="1"/>
      <c r="E58" s="2" t="s">
        <v>63</v>
      </c>
      <c r="F58" s="2" t="s">
        <v>10</v>
      </c>
      <c r="G58" s="2" t="s">
        <v>298</v>
      </c>
    </row>
    <row r="59" spans="1:9" ht="13">
      <c r="B59" s="1"/>
      <c r="C59" s="2" t="s">
        <v>8</v>
      </c>
      <c r="E59" s="2" t="s">
        <v>8</v>
      </c>
      <c r="F59" s="2" t="s">
        <v>1</v>
      </c>
      <c r="G59" s="2" t="s">
        <v>3</v>
      </c>
    </row>
    <row r="60" spans="1:9" ht="12.75" customHeight="1">
      <c r="B60" s="1"/>
      <c r="C60" s="3" t="s">
        <v>224</v>
      </c>
      <c r="E60" s="3" t="s">
        <v>173</v>
      </c>
      <c r="F60" s="3" t="s">
        <v>249</v>
      </c>
      <c r="G60" s="3" t="s">
        <v>249</v>
      </c>
      <c r="H60" s="3" t="s">
        <v>230</v>
      </c>
    </row>
    <row r="61" spans="1:9" ht="13">
      <c r="A61" s="2">
        <f>A52+1</f>
        <v>20</v>
      </c>
      <c r="B61" s="1"/>
      <c r="C61" t="s">
        <v>225</v>
      </c>
      <c r="E61" s="100">
        <f>F61+G61</f>
        <v>138378365.31053418</v>
      </c>
      <c r="F61" s="63">
        <v>0</v>
      </c>
      <c r="G61" s="103">
        <f>H86</f>
        <v>138378365.31053418</v>
      </c>
      <c r="H61" s="46" t="str">
        <f>"Line "&amp;A86&amp;", C4"</f>
        <v>Line 39, C4</v>
      </c>
      <c r="I61" s="14"/>
    </row>
    <row r="62" spans="1:9" ht="13">
      <c r="A62" s="2">
        <f>A61+1</f>
        <v>21</v>
      </c>
      <c r="B62" s="1"/>
      <c r="C62" t="s">
        <v>226</v>
      </c>
      <c r="E62" s="100">
        <f>F62+G62</f>
        <v>2555469461.3082299</v>
      </c>
      <c r="F62" s="63">
        <f>F26</f>
        <v>158247.98461538463</v>
      </c>
      <c r="G62" s="103">
        <f>F86</f>
        <v>2555311213.3236146</v>
      </c>
      <c r="H62" s="46" t="str">
        <f>"Line "&amp;A26&amp;", C2, and Line "&amp;A86&amp;", C2"</f>
        <v>Line 1, C2, and Line 39, C2</v>
      </c>
      <c r="I62" s="14"/>
    </row>
    <row r="63" spans="1:9" ht="13">
      <c r="A63" s="2">
        <f>A62+1</f>
        <v>22</v>
      </c>
      <c r="B63" s="1"/>
      <c r="C63" s="12" t="s">
        <v>539</v>
      </c>
      <c r="E63" s="100">
        <f>F63+G63</f>
        <v>639557237.65767205</v>
      </c>
      <c r="F63" s="63">
        <f>F27</f>
        <v>0</v>
      </c>
      <c r="G63" s="103">
        <f>G86</f>
        <v>639557237.65767205</v>
      </c>
      <c r="H63" s="46" t="str">
        <f>"Line "&amp;A27&amp;", C2, and Line "&amp;A86&amp;", C3"</f>
        <v>Line 2, C2, and Line 39, C3</v>
      </c>
      <c r="I63" s="14"/>
    </row>
    <row r="64" spans="1:9" ht="13">
      <c r="A64" s="2">
        <f>A63+1</f>
        <v>23</v>
      </c>
      <c r="B64" s="1"/>
      <c r="C64" s="524" t="s">
        <v>504</v>
      </c>
      <c r="D64" s="96"/>
      <c r="E64" s="1403" t="s">
        <v>76</v>
      </c>
      <c r="F64" s="1403" t="s">
        <v>76</v>
      </c>
      <c r="G64" s="1403" t="s">
        <v>76</v>
      </c>
      <c r="H64" s="524" t="s">
        <v>504</v>
      </c>
      <c r="I64" s="96"/>
    </row>
    <row r="65" spans="1:11" ht="13">
      <c r="A65" s="2">
        <f>A64+1</f>
        <v>24</v>
      </c>
      <c r="B65" s="1"/>
      <c r="C65" s="185"/>
      <c r="E65" s="95"/>
      <c r="F65" s="95"/>
      <c r="G65" s="95"/>
      <c r="H65" s="13"/>
    </row>
    <row r="66" spans="1:11" ht="13">
      <c r="A66" s="2">
        <f>A65+1</f>
        <v>25</v>
      </c>
      <c r="B66" s="1"/>
      <c r="D66" s="461" t="s">
        <v>1646</v>
      </c>
      <c r="E66" s="7">
        <f>SUM(E61:E63)</f>
        <v>3333405064.2764359</v>
      </c>
      <c r="H66" s="540" t="s">
        <v>1648</v>
      </c>
    </row>
    <row r="67" spans="1:11" ht="13">
      <c r="A67" s="505"/>
      <c r="B67" s="1"/>
      <c r="D67" s="93"/>
      <c r="E67" s="7"/>
    </row>
    <row r="68" spans="1:11" ht="13">
      <c r="C68" s="1" t="s">
        <v>999</v>
      </c>
    </row>
    <row r="69" spans="1:11" ht="13">
      <c r="E69" s="84" t="s">
        <v>358</v>
      </c>
      <c r="F69" s="84" t="s">
        <v>342</v>
      </c>
      <c r="G69" s="84" t="s">
        <v>343</v>
      </c>
      <c r="H69" s="84" t="s">
        <v>344</v>
      </c>
      <c r="I69" s="84" t="s">
        <v>345</v>
      </c>
      <c r="J69" s="84"/>
    </row>
    <row r="70" spans="1:11" ht="13">
      <c r="C70" s="2" t="s">
        <v>528</v>
      </c>
      <c r="E70" s="2" t="s">
        <v>531</v>
      </c>
      <c r="F70" s="838" t="str">
        <f>"L "&amp;A118&amp;" to L "&amp;A130&amp;", C3"</f>
        <v>L 54 to L 66, C3</v>
      </c>
      <c r="G70" s="838" t="str">
        <f>"L "&amp;A158&amp;" to L "&amp;A170&amp;", C3"</f>
        <v>L 80 to L 92, C3</v>
      </c>
      <c r="H70" s="838" t="str">
        <f>"L "&amp;A138&amp;" to L "&amp;A150&amp;", C3"</f>
        <v>L 67 to L 79, C3</v>
      </c>
      <c r="I70" s="96"/>
      <c r="K70" s="2"/>
    </row>
    <row r="71" spans="1:11" ht="13">
      <c r="C71" s="2" t="s">
        <v>193</v>
      </c>
      <c r="E71" s="2" t="s">
        <v>532</v>
      </c>
      <c r="F71" s="14"/>
      <c r="G71" s="109" t="s">
        <v>340</v>
      </c>
      <c r="H71" s="109" t="s">
        <v>529</v>
      </c>
      <c r="I71" s="186"/>
      <c r="J71" s="355"/>
      <c r="K71" s="2"/>
    </row>
    <row r="72" spans="1:11" ht="13">
      <c r="A72" s="51"/>
      <c r="C72" s="25" t="s">
        <v>192</v>
      </c>
      <c r="D72" s="25" t="s">
        <v>193</v>
      </c>
      <c r="E72" s="3" t="s">
        <v>3</v>
      </c>
      <c r="F72" s="122" t="s">
        <v>223</v>
      </c>
      <c r="G72" s="122" t="s">
        <v>341</v>
      </c>
      <c r="H72" s="122" t="s">
        <v>530</v>
      </c>
      <c r="I72" s="187"/>
      <c r="J72" s="3" t="s">
        <v>168</v>
      </c>
    </row>
    <row r="73" spans="1:11" ht="13">
      <c r="A73" s="2">
        <f>A66+1</f>
        <v>26</v>
      </c>
      <c r="C73" s="20" t="s">
        <v>180</v>
      </c>
      <c r="D73" s="1047">
        <v>2019</v>
      </c>
      <c r="E73" s="59">
        <f>SUM(F73:H73)</f>
        <v>3382278971.2172151</v>
      </c>
      <c r="F73" s="871">
        <f>G118</f>
        <v>2592436383.5972152</v>
      </c>
      <c r="G73" s="871">
        <f>G158</f>
        <v>649167356.07999992</v>
      </c>
      <c r="H73" s="871">
        <f>G138</f>
        <v>140675231.53999996</v>
      </c>
      <c r="I73" s="355" t="s">
        <v>76</v>
      </c>
      <c r="J73" s="50" t="s">
        <v>1003</v>
      </c>
    </row>
    <row r="74" spans="1:11" ht="13">
      <c r="A74" s="2">
        <f>A73+1</f>
        <v>27</v>
      </c>
      <c r="C74" s="20" t="s">
        <v>181</v>
      </c>
      <c r="D74" s="609">
        <v>2020</v>
      </c>
      <c r="E74" s="59">
        <f t="shared" ref="E74:E85" si="1">SUM(F74:H74)</f>
        <v>3374887603.7977877</v>
      </c>
      <c r="F74" s="871">
        <f t="shared" ref="F74:F85" si="2">G119</f>
        <v>2586729783.1405182</v>
      </c>
      <c r="G74" s="871">
        <f t="shared" ref="G74:G85" si="3">G159</f>
        <v>647798796.72185922</v>
      </c>
      <c r="H74" s="871">
        <f t="shared" ref="H74:H85" si="4">G139</f>
        <v>140359023.93541038</v>
      </c>
      <c r="I74" s="355" t="s">
        <v>76</v>
      </c>
      <c r="J74" s="13" t="s">
        <v>1002</v>
      </c>
    </row>
    <row r="75" spans="1:11" ht="13">
      <c r="A75" s="2">
        <f t="shared" ref="A75:A86" si="5">A74+1</f>
        <v>28</v>
      </c>
      <c r="C75" s="21" t="s">
        <v>182</v>
      </c>
      <c r="D75" s="609">
        <v>2020</v>
      </c>
      <c r="E75" s="59">
        <f t="shared" si="1"/>
        <v>3366859021.5617576</v>
      </c>
      <c r="F75" s="871">
        <f t="shared" si="2"/>
        <v>2580740194.7972236</v>
      </c>
      <c r="G75" s="871">
        <f t="shared" si="3"/>
        <v>646154723.58257782</v>
      </c>
      <c r="H75" s="871">
        <f t="shared" si="4"/>
        <v>139964103.18195614</v>
      </c>
      <c r="I75" s="355" t="s">
        <v>76</v>
      </c>
      <c r="J75" s="355" t="s">
        <v>1001</v>
      </c>
      <c r="K75" s="2"/>
    </row>
    <row r="76" spans="1:11" ht="13">
      <c r="A76" s="2">
        <f t="shared" si="5"/>
        <v>29</v>
      </c>
      <c r="C76" s="21" t="s">
        <v>195</v>
      </c>
      <c r="D76" s="609">
        <v>2020</v>
      </c>
      <c r="E76" s="59">
        <f t="shared" si="1"/>
        <v>3358720398.3413043</v>
      </c>
      <c r="F76" s="871">
        <f t="shared" si="2"/>
        <v>2574640565.4695058</v>
      </c>
      <c r="G76" s="871">
        <f t="shared" si="3"/>
        <v>644510650.44329643</v>
      </c>
      <c r="H76" s="871">
        <f t="shared" si="4"/>
        <v>139569182.42850187</v>
      </c>
      <c r="I76" s="355" t="s">
        <v>76</v>
      </c>
      <c r="J76" s="355"/>
      <c r="K76" s="2"/>
    </row>
    <row r="77" spans="1:11" ht="13">
      <c r="A77" s="2">
        <f t="shared" si="5"/>
        <v>30</v>
      </c>
      <c r="C77" s="20" t="s">
        <v>183</v>
      </c>
      <c r="D77" s="609">
        <v>2020</v>
      </c>
      <c r="E77" s="59">
        <f t="shared" si="1"/>
        <v>3350381573.8898764</v>
      </c>
      <c r="F77" s="871">
        <f t="shared" si="2"/>
        <v>2568340734.9108138</v>
      </c>
      <c r="G77" s="871">
        <f t="shared" si="3"/>
        <v>642866577.30401492</v>
      </c>
      <c r="H77" s="871">
        <f t="shared" si="4"/>
        <v>139174261.67504764</v>
      </c>
      <c r="I77" s="355" t="s">
        <v>76</v>
      </c>
      <c r="J77" s="355"/>
      <c r="K77" s="2"/>
    </row>
    <row r="78" spans="1:11" ht="13">
      <c r="A78" s="2">
        <f t="shared" si="5"/>
        <v>31</v>
      </c>
      <c r="C78" s="21" t="s">
        <v>184</v>
      </c>
      <c r="D78" s="609">
        <v>2020</v>
      </c>
      <c r="E78" s="59">
        <f t="shared" si="1"/>
        <v>3342037141.8384027</v>
      </c>
      <c r="F78" s="871">
        <f t="shared" si="2"/>
        <v>2562035296.7520761</v>
      </c>
      <c r="G78" s="871">
        <f t="shared" si="3"/>
        <v>641222504.16473353</v>
      </c>
      <c r="H78" s="871">
        <f t="shared" si="4"/>
        <v>138779340.9215934</v>
      </c>
      <c r="I78" s="355" t="s">
        <v>76</v>
      </c>
      <c r="J78" s="355"/>
      <c r="K78" s="2"/>
    </row>
    <row r="79" spans="1:11" ht="13">
      <c r="A79" s="2">
        <f t="shared" si="5"/>
        <v>32</v>
      </c>
      <c r="C79" s="21" t="s">
        <v>185</v>
      </c>
      <c r="D79" s="609">
        <v>2020</v>
      </c>
      <c r="E79" s="59">
        <f t="shared" si="1"/>
        <v>3333655786.537271</v>
      </c>
      <c r="F79" s="871">
        <f t="shared" si="2"/>
        <v>2555692935.3436799</v>
      </c>
      <c r="G79" s="871">
        <f t="shared" si="3"/>
        <v>639578431.02545214</v>
      </c>
      <c r="H79" s="871">
        <f t="shared" si="4"/>
        <v>138384420.16813913</v>
      </c>
      <c r="I79" s="355" t="s">
        <v>76</v>
      </c>
      <c r="J79" s="355"/>
      <c r="K79" s="2"/>
    </row>
    <row r="80" spans="1:11" ht="13">
      <c r="A80" s="2">
        <f t="shared" si="5"/>
        <v>33</v>
      </c>
      <c r="C80" s="20" t="s">
        <v>186</v>
      </c>
      <c r="D80" s="609">
        <v>2020</v>
      </c>
      <c r="E80" s="59">
        <f t="shared" si="1"/>
        <v>3325456063.2540331</v>
      </c>
      <c r="F80" s="871">
        <f t="shared" si="2"/>
        <v>2549532205.9531775</v>
      </c>
      <c r="G80" s="871">
        <f t="shared" si="3"/>
        <v>637934357.88617074</v>
      </c>
      <c r="H80" s="871">
        <f t="shared" si="4"/>
        <v>137989499.41468489</v>
      </c>
      <c r="I80" s="355" t="s">
        <v>76</v>
      </c>
      <c r="J80" s="355"/>
      <c r="K80" s="83"/>
    </row>
    <row r="81" spans="1:11" ht="13">
      <c r="A81" s="2">
        <f t="shared" si="5"/>
        <v>34</v>
      </c>
      <c r="C81" s="21" t="s">
        <v>187</v>
      </c>
      <c r="D81" s="609">
        <v>2020</v>
      </c>
      <c r="E81" s="59">
        <f t="shared" si="1"/>
        <v>3317081161.7866597</v>
      </c>
      <c r="F81" s="871">
        <f t="shared" si="2"/>
        <v>2543196298.3785396</v>
      </c>
      <c r="G81" s="871">
        <f t="shared" si="3"/>
        <v>636290284.74688935</v>
      </c>
      <c r="H81" s="871">
        <f t="shared" si="4"/>
        <v>137594578.66123062</v>
      </c>
      <c r="I81" s="355" t="s">
        <v>76</v>
      </c>
      <c r="J81" s="355"/>
      <c r="K81" s="2"/>
    </row>
    <row r="82" spans="1:11" ht="13">
      <c r="A82" s="2">
        <f t="shared" si="5"/>
        <v>35</v>
      </c>
      <c r="C82" s="21" t="s">
        <v>188</v>
      </c>
      <c r="D82" s="609">
        <v>2020</v>
      </c>
      <c r="E82" s="59">
        <f t="shared" si="1"/>
        <v>3307165152.4203649</v>
      </c>
      <c r="F82" s="871">
        <f t="shared" si="2"/>
        <v>2535319282.9049807</v>
      </c>
      <c r="G82" s="871">
        <f t="shared" si="3"/>
        <v>634646211.60760784</v>
      </c>
      <c r="H82" s="871">
        <f t="shared" si="4"/>
        <v>137199657.90777639</v>
      </c>
      <c r="I82" s="355" t="s">
        <v>76</v>
      </c>
      <c r="J82" s="355"/>
      <c r="K82" s="2"/>
    </row>
    <row r="83" spans="1:11" ht="13">
      <c r="A83" s="2">
        <f t="shared" si="5"/>
        <v>36</v>
      </c>
      <c r="C83" s="20" t="s">
        <v>189</v>
      </c>
      <c r="D83" s="609">
        <v>2020</v>
      </c>
      <c r="E83" s="59">
        <f t="shared" si="1"/>
        <v>3299625210.4877958</v>
      </c>
      <c r="F83" s="871">
        <f t="shared" si="2"/>
        <v>2529818334.8651471</v>
      </c>
      <c r="G83" s="871">
        <f t="shared" si="3"/>
        <v>633002138.46832645</v>
      </c>
      <c r="H83" s="871">
        <f t="shared" si="4"/>
        <v>136804737.15432215</v>
      </c>
      <c r="I83" s="355" t="s">
        <v>76</v>
      </c>
      <c r="J83" s="355"/>
      <c r="K83" s="2"/>
    </row>
    <row r="84" spans="1:11" ht="13">
      <c r="A84" s="2">
        <f t="shared" si="5"/>
        <v>37</v>
      </c>
      <c r="C84" s="20" t="s">
        <v>190</v>
      </c>
      <c r="D84" s="609">
        <v>2020</v>
      </c>
      <c r="E84" s="59">
        <f t="shared" si="1"/>
        <v>3291217906.2318482</v>
      </c>
      <c r="F84" s="871">
        <f t="shared" si="2"/>
        <v>2523450024.501935</v>
      </c>
      <c r="G84" s="871">
        <f t="shared" si="3"/>
        <v>631358065.32904506</v>
      </c>
      <c r="H84" s="871">
        <f t="shared" si="4"/>
        <v>136409816.40086788</v>
      </c>
      <c r="I84" s="355" t="s">
        <v>76</v>
      </c>
      <c r="J84" s="355"/>
      <c r="K84" s="2"/>
    </row>
    <row r="85" spans="1:11" ht="13">
      <c r="A85" s="2">
        <f t="shared" si="5"/>
        <v>38</v>
      </c>
      <c r="C85" s="20" t="s">
        <v>180</v>
      </c>
      <c r="D85" s="609">
        <v>2020</v>
      </c>
      <c r="E85" s="58">
        <f t="shared" si="1"/>
        <v>3282842620.4293523</v>
      </c>
      <c r="F85" s="357">
        <f t="shared" si="2"/>
        <v>2517113732.592175</v>
      </c>
      <c r="G85" s="357">
        <f t="shared" si="3"/>
        <v>629713992.18976367</v>
      </c>
      <c r="H85" s="357">
        <f t="shared" si="4"/>
        <v>136014895.64741364</v>
      </c>
      <c r="I85" s="355" t="s">
        <v>76</v>
      </c>
      <c r="J85" s="355"/>
      <c r="K85" s="2"/>
    </row>
    <row r="86" spans="1:11" ht="13">
      <c r="A86" s="2">
        <f t="shared" si="5"/>
        <v>39</v>
      </c>
      <c r="C86" s="20"/>
      <c r="D86" s="1141" t="s">
        <v>536</v>
      </c>
      <c r="E86" s="104">
        <f>SUM(E73:E85)/13</f>
        <v>3333246816.29182</v>
      </c>
      <c r="F86" s="104">
        <f>SUM(F73:F85)/13</f>
        <v>2555311213.3236146</v>
      </c>
      <c r="G86" s="104">
        <f>SUM(G73:G85)/13</f>
        <v>639557237.65767205</v>
      </c>
      <c r="H86" s="104">
        <f>SUM(H73:H85)/13</f>
        <v>138378365.31053418</v>
      </c>
      <c r="I86" s="44"/>
      <c r="J86" s="1"/>
      <c r="K86" s="2"/>
    </row>
    <row r="88" spans="1:11" ht="13">
      <c r="A88" s="505"/>
      <c r="C88" s="506" t="s">
        <v>1531</v>
      </c>
      <c r="D88" s="507"/>
      <c r="E88" s="508"/>
      <c r="F88" s="508"/>
      <c r="G88" s="508"/>
      <c r="H88" s="508"/>
      <c r="I88" s="1"/>
      <c r="J88" s="1"/>
    </row>
    <row r="89" spans="1:11" ht="13">
      <c r="A89" s="505"/>
      <c r="C89" s="506"/>
      <c r="D89" s="507"/>
      <c r="E89" s="84" t="s">
        <v>358</v>
      </c>
      <c r="F89" s="84" t="s">
        <v>342</v>
      </c>
      <c r="G89" s="84" t="s">
        <v>343</v>
      </c>
      <c r="H89" s="508"/>
      <c r="I89" s="1"/>
      <c r="J89" s="1"/>
    </row>
    <row r="90" spans="1:11" ht="13">
      <c r="A90" s="505"/>
      <c r="C90" s="494"/>
      <c r="D90" s="507"/>
      <c r="G90" s="472" t="s">
        <v>1643</v>
      </c>
      <c r="H90" s="508"/>
      <c r="I90" s="1"/>
      <c r="J90" s="1"/>
    </row>
    <row r="91" spans="1:11" ht="13">
      <c r="A91" s="505"/>
      <c r="C91" s="494"/>
      <c r="D91" s="507"/>
      <c r="E91" s="352" t="s">
        <v>431</v>
      </c>
      <c r="F91" s="508"/>
      <c r="G91" s="509" t="s">
        <v>1532</v>
      </c>
      <c r="H91" s="508"/>
      <c r="I91" s="1"/>
      <c r="J91" s="1"/>
    </row>
    <row r="92" spans="1:11" ht="13">
      <c r="A92" s="505"/>
      <c r="C92" s="505" t="s">
        <v>528</v>
      </c>
      <c r="E92" s="352" t="s">
        <v>1533</v>
      </c>
      <c r="F92" s="352" t="s">
        <v>99</v>
      </c>
      <c r="G92" s="352" t="s">
        <v>1533</v>
      </c>
      <c r="H92" s="508"/>
      <c r="I92" s="1"/>
      <c r="J92" s="1"/>
    </row>
    <row r="93" spans="1:11" ht="13">
      <c r="A93" s="505"/>
      <c r="C93" s="505" t="s">
        <v>193</v>
      </c>
      <c r="E93" s="352" t="s">
        <v>8</v>
      </c>
      <c r="F93" s="4" t="s">
        <v>1534</v>
      </c>
      <c r="G93" s="352" t="s">
        <v>8</v>
      </c>
      <c r="H93" s="508"/>
      <c r="I93" s="1"/>
      <c r="J93" s="1"/>
    </row>
    <row r="94" spans="1:11" ht="13">
      <c r="A94" s="505"/>
      <c r="C94" s="25" t="s">
        <v>192</v>
      </c>
      <c r="D94" s="25" t="s">
        <v>193</v>
      </c>
      <c r="E94" s="353" t="s">
        <v>1535</v>
      </c>
      <c r="F94" s="3" t="s">
        <v>1536</v>
      </c>
      <c r="G94" s="353" t="s">
        <v>1535</v>
      </c>
      <c r="H94" s="353" t="s">
        <v>1537</v>
      </c>
      <c r="I94" s="1"/>
      <c r="J94" s="1"/>
    </row>
    <row r="95" spans="1:11" ht="12.75" customHeight="1">
      <c r="A95" s="505">
        <f>A86+1</f>
        <v>40</v>
      </c>
      <c r="C95" s="494" t="s">
        <v>180</v>
      </c>
      <c r="D95" s="1047">
        <v>2019</v>
      </c>
      <c r="E95" s="7">
        <f t="shared" ref="E95:E107" si="6">H118+H138+H158+H177+H196+H215+H234+H253+H272+H291+H310+H330</f>
        <v>0</v>
      </c>
      <c r="F95" s="510">
        <v>0</v>
      </c>
      <c r="G95" s="508">
        <f>E95-F95</f>
        <v>0</v>
      </c>
      <c r="H95" s="515" t="s">
        <v>1547</v>
      </c>
      <c r="I95" s="1"/>
      <c r="J95" s="7"/>
    </row>
    <row r="96" spans="1:11" ht="13">
      <c r="A96" s="505">
        <f>A95+1</f>
        <v>41</v>
      </c>
      <c r="C96" s="494" t="s">
        <v>181</v>
      </c>
      <c r="D96" s="609">
        <v>2020</v>
      </c>
      <c r="E96" s="7">
        <f t="shared" si="6"/>
        <v>1870687.6209477633</v>
      </c>
      <c r="F96" s="510">
        <v>0</v>
      </c>
      <c r="G96" s="508">
        <f t="shared" ref="G96:G107" si="7">E96-F96</f>
        <v>1870687.6209477633</v>
      </c>
      <c r="H96" s="515" t="s">
        <v>1546</v>
      </c>
      <c r="I96" s="73"/>
      <c r="J96" s="7"/>
    </row>
    <row r="97" spans="1:10" ht="13">
      <c r="A97" s="505">
        <f t="shared" ref="A97:A108" si="8">A96+1</f>
        <v>42</v>
      </c>
      <c r="C97" s="492" t="s">
        <v>182</v>
      </c>
      <c r="D97" s="609">
        <v>2020</v>
      </c>
      <c r="E97" s="7">
        <f t="shared" si="6"/>
        <v>7918949.9297281541</v>
      </c>
      <c r="F97" s="510">
        <v>0</v>
      </c>
      <c r="G97" s="508">
        <f t="shared" si="7"/>
        <v>7918949.9297281541</v>
      </c>
      <c r="H97" s="515"/>
      <c r="I97" s="73"/>
      <c r="J97" s="7"/>
    </row>
    <row r="98" spans="1:10" ht="13">
      <c r="A98" s="505">
        <f t="shared" si="8"/>
        <v>43</v>
      </c>
      <c r="C98" s="492" t="s">
        <v>195</v>
      </c>
      <c r="D98" s="609">
        <v>2020</v>
      </c>
      <c r="E98" s="7">
        <f t="shared" si="6"/>
        <v>1411780.950645715</v>
      </c>
      <c r="F98" s="510">
        <v>0</v>
      </c>
      <c r="G98" s="508">
        <f t="shared" si="7"/>
        <v>1411780.950645715</v>
      </c>
      <c r="H98" s="508"/>
      <c r="I98" s="73"/>
      <c r="J98" s="7"/>
    </row>
    <row r="99" spans="1:10" ht="13">
      <c r="A99" s="505">
        <f t="shared" si="8"/>
        <v>44</v>
      </c>
      <c r="C99" s="494" t="s">
        <v>183</v>
      </c>
      <c r="D99" s="609">
        <v>2020</v>
      </c>
      <c r="E99" s="7">
        <f t="shared" si="6"/>
        <v>4205932.3342519421</v>
      </c>
      <c r="F99" s="510">
        <v>0</v>
      </c>
      <c r="G99" s="508">
        <f t="shared" si="7"/>
        <v>4205932.3342519421</v>
      </c>
      <c r="H99" s="508"/>
      <c r="I99" s="73"/>
      <c r="J99" s="7"/>
    </row>
    <row r="100" spans="1:10" ht="13">
      <c r="A100" s="505">
        <f t="shared" si="8"/>
        <v>45</v>
      </c>
      <c r="C100" s="492" t="s">
        <v>184</v>
      </c>
      <c r="D100" s="609">
        <v>2020</v>
      </c>
      <c r="E100" s="7">
        <f t="shared" si="6"/>
        <v>1377483.2028322779</v>
      </c>
      <c r="F100" s="510">
        <v>0</v>
      </c>
      <c r="G100" s="508">
        <f t="shared" si="7"/>
        <v>1377483.2028322779</v>
      </c>
      <c r="H100" s="508"/>
      <c r="I100" s="73"/>
      <c r="J100" s="7"/>
    </row>
    <row r="101" spans="1:10" ht="13">
      <c r="A101" s="505">
        <f t="shared" si="8"/>
        <v>46</v>
      </c>
      <c r="C101" s="492" t="s">
        <v>185</v>
      </c>
      <c r="D101" s="609">
        <v>2020</v>
      </c>
      <c r="E101" s="7">
        <f t="shared" si="6"/>
        <v>14855695.706188645</v>
      </c>
      <c r="F101" s="510">
        <v>0</v>
      </c>
      <c r="G101" s="508">
        <f t="shared" si="7"/>
        <v>14855695.706188645</v>
      </c>
      <c r="H101" s="508"/>
      <c r="I101" s="73"/>
      <c r="J101" s="7"/>
    </row>
    <row r="102" spans="1:10" ht="13">
      <c r="A102" s="505">
        <f t="shared" si="8"/>
        <v>47</v>
      </c>
      <c r="C102" s="494" t="s">
        <v>186</v>
      </c>
      <c r="D102" s="609">
        <v>2020</v>
      </c>
      <c r="E102" s="7">
        <f t="shared" si="6"/>
        <v>451975.24124367163</v>
      </c>
      <c r="F102" s="510">
        <v>0</v>
      </c>
      <c r="G102" s="508">
        <f t="shared" si="7"/>
        <v>451975.24124367163</v>
      </c>
      <c r="H102" s="508"/>
      <c r="I102" s="73"/>
      <c r="J102" s="7"/>
    </row>
    <row r="103" spans="1:10" ht="13">
      <c r="A103" s="505">
        <f t="shared" si="8"/>
        <v>48</v>
      </c>
      <c r="C103" s="492" t="s">
        <v>187</v>
      </c>
      <c r="D103" s="609">
        <v>2020</v>
      </c>
      <c r="E103" s="7">
        <f t="shared" si="6"/>
        <v>305564.89399595186</v>
      </c>
      <c r="F103" s="510">
        <v>0</v>
      </c>
      <c r="G103" s="508">
        <f t="shared" si="7"/>
        <v>305564.89399595186</v>
      </c>
      <c r="H103" s="508"/>
      <c r="I103" s="73"/>
      <c r="J103" s="7"/>
    </row>
    <row r="104" spans="1:10" ht="13">
      <c r="A104" s="505">
        <f t="shared" si="8"/>
        <v>49</v>
      </c>
      <c r="C104" s="492" t="s">
        <v>188</v>
      </c>
      <c r="D104" s="609">
        <v>2020</v>
      </c>
      <c r="E104" s="7">
        <f t="shared" si="6"/>
        <v>-1949677.4652179722</v>
      </c>
      <c r="F104" s="510">
        <v>0</v>
      </c>
      <c r="G104" s="508">
        <f t="shared" si="7"/>
        <v>-1949677.4652179722</v>
      </c>
      <c r="H104" s="508"/>
      <c r="I104" s="73"/>
      <c r="J104" s="7"/>
    </row>
    <row r="105" spans="1:10" ht="13">
      <c r="A105" s="505">
        <f t="shared" si="8"/>
        <v>50</v>
      </c>
      <c r="C105" s="494" t="s">
        <v>189</v>
      </c>
      <c r="D105" s="609">
        <v>2020</v>
      </c>
      <c r="E105" s="7">
        <f t="shared" si="6"/>
        <v>2008919.4651258122</v>
      </c>
      <c r="F105" s="510">
        <v>0</v>
      </c>
      <c r="G105" s="508">
        <f t="shared" si="7"/>
        <v>2008919.4651258122</v>
      </c>
      <c r="H105" s="508"/>
      <c r="I105" s="73"/>
      <c r="J105" s="7"/>
    </row>
    <row r="106" spans="1:10" ht="13">
      <c r="A106" s="505">
        <f t="shared" si="8"/>
        <v>51</v>
      </c>
      <c r="C106" s="494" t="s">
        <v>190</v>
      </c>
      <c r="D106" s="609">
        <v>2020</v>
      </c>
      <c r="E106" s="7">
        <f t="shared" si="6"/>
        <v>8442537.3980944138</v>
      </c>
      <c r="F106" s="510">
        <v>0</v>
      </c>
      <c r="G106" s="508">
        <f t="shared" si="7"/>
        <v>8442537.3980944138</v>
      </c>
      <c r="H106" s="508"/>
      <c r="I106" s="73"/>
      <c r="J106" s="7"/>
    </row>
    <row r="107" spans="1:10" ht="13">
      <c r="A107" s="505">
        <f t="shared" si="8"/>
        <v>52</v>
      </c>
      <c r="C107" s="494" t="s">
        <v>180</v>
      </c>
      <c r="D107" s="609">
        <v>2020</v>
      </c>
      <c r="E107" s="91">
        <f t="shared" si="6"/>
        <v>-5128367.2410283349</v>
      </c>
      <c r="F107" s="395">
        <v>0</v>
      </c>
      <c r="G107" s="357">
        <f t="shared" si="7"/>
        <v>-5128367.2410283349</v>
      </c>
      <c r="H107" s="508"/>
      <c r="I107" s="73"/>
      <c r="J107" s="7"/>
    </row>
    <row r="108" spans="1:10" ht="13">
      <c r="A108" s="505">
        <f t="shared" si="8"/>
        <v>53</v>
      </c>
      <c r="C108" s="494" t="s">
        <v>196</v>
      </c>
      <c r="D108" s="498"/>
      <c r="E108" s="63">
        <f>SUM(E95:E107)</f>
        <v>35771482.036808044</v>
      </c>
      <c r="F108" s="63">
        <f t="shared" ref="F108:G108" si="9">SUM(F95:F107)</f>
        <v>0</v>
      </c>
      <c r="G108" s="63">
        <f t="shared" si="9"/>
        <v>35771482.036808044</v>
      </c>
      <c r="H108" s="508"/>
      <c r="I108" s="73"/>
      <c r="J108" s="1"/>
    </row>
    <row r="109" spans="1:10" ht="13">
      <c r="A109" s="505"/>
      <c r="C109" s="494"/>
      <c r="D109" s="498"/>
      <c r="E109" s="63"/>
      <c r="F109" s="508"/>
      <c r="G109" s="508"/>
      <c r="H109" s="508"/>
      <c r="I109" s="73"/>
      <c r="J109" s="1"/>
    </row>
    <row r="111" spans="1:10" ht="13">
      <c r="C111" s="188" t="s">
        <v>1538</v>
      </c>
    </row>
    <row r="113" spans="1:9" ht="13">
      <c r="C113" s="1" t="s">
        <v>1539</v>
      </c>
      <c r="E113" s="84" t="s">
        <v>358</v>
      </c>
      <c r="F113" s="84" t="s">
        <v>342</v>
      </c>
      <c r="G113" s="84" t="s">
        <v>343</v>
      </c>
      <c r="H113" s="84" t="s">
        <v>344</v>
      </c>
    </row>
    <row r="114" spans="1:9">
      <c r="G114" s="525" t="s">
        <v>1643</v>
      </c>
      <c r="H114" s="525" t="s">
        <v>1644</v>
      </c>
    </row>
    <row r="115" spans="1:9" ht="13">
      <c r="C115" s="505" t="s">
        <v>528</v>
      </c>
      <c r="G115" s="14"/>
      <c r="H115" s="1142" t="s">
        <v>1645</v>
      </c>
    </row>
    <row r="116" spans="1:9" ht="13">
      <c r="C116" s="505" t="s">
        <v>193</v>
      </c>
      <c r="E116" s="505" t="s">
        <v>371</v>
      </c>
      <c r="F116" s="505" t="s">
        <v>1540</v>
      </c>
      <c r="G116" s="505" t="s">
        <v>992</v>
      </c>
      <c r="H116" s="505" t="s">
        <v>1116</v>
      </c>
    </row>
    <row r="117" spans="1:9" ht="13">
      <c r="C117" s="25" t="s">
        <v>192</v>
      </c>
      <c r="D117" s="25" t="s">
        <v>193</v>
      </c>
      <c r="E117" s="3" t="s">
        <v>1541</v>
      </c>
      <c r="F117" s="3" t="s">
        <v>1080</v>
      </c>
      <c r="G117" s="3" t="s">
        <v>3</v>
      </c>
      <c r="H117" s="3" t="s">
        <v>1536</v>
      </c>
    </row>
    <row r="118" spans="1:9" ht="13">
      <c r="A118" s="505">
        <f>A108+1</f>
        <v>54</v>
      </c>
      <c r="C118" s="494" t="s">
        <v>180</v>
      </c>
      <c r="D118" s="1047">
        <v>2019</v>
      </c>
      <c r="E118" s="977">
        <v>3061615451.5972152</v>
      </c>
      <c r="F118" s="977">
        <v>469179068</v>
      </c>
      <c r="G118" s="7">
        <f t="shared" ref="G118:G130" si="10">E118-F118</f>
        <v>2592436383.5972152</v>
      </c>
      <c r="H118" s="7">
        <f>E118-E118</f>
        <v>0</v>
      </c>
      <c r="I118" s="550"/>
    </row>
    <row r="119" spans="1:9" ht="13">
      <c r="A119" s="505">
        <f>A118+1</f>
        <v>55</v>
      </c>
      <c r="C119" s="494" t="s">
        <v>181</v>
      </c>
      <c r="D119" s="609">
        <v>2020</v>
      </c>
      <c r="E119" s="977">
        <v>3061686236.3372149</v>
      </c>
      <c r="F119" s="977">
        <v>474956453.1966967</v>
      </c>
      <c r="G119" s="7">
        <f t="shared" si="10"/>
        <v>2586729783.1405182</v>
      </c>
      <c r="H119" s="7">
        <f>E119-E118</f>
        <v>70784.739999771118</v>
      </c>
    </row>
    <row r="120" spans="1:9" ht="13">
      <c r="A120" s="505">
        <f t="shared" ref="A120:A130" si="11">A119+1</f>
        <v>56</v>
      </c>
      <c r="C120" s="492" t="s">
        <v>182</v>
      </c>
      <c r="D120" s="609">
        <v>2020</v>
      </c>
      <c r="E120" s="977">
        <v>3062091071.1572151</v>
      </c>
      <c r="F120" s="977">
        <v>481350876.35999149</v>
      </c>
      <c r="G120" s="7">
        <f t="shared" si="10"/>
        <v>2580740194.7972236</v>
      </c>
      <c r="H120" s="7">
        <f t="shared" ref="H120:H130" si="12">E120-E119</f>
        <v>404834.82000017166</v>
      </c>
    </row>
    <row r="121" spans="1:9" ht="13">
      <c r="A121" s="505">
        <f t="shared" si="11"/>
        <v>57</v>
      </c>
      <c r="C121" s="492" t="s">
        <v>195</v>
      </c>
      <c r="D121" s="609">
        <v>2020</v>
      </c>
      <c r="E121" s="977">
        <v>3062386759.7072148</v>
      </c>
      <c r="F121" s="977">
        <v>487746194.23770899</v>
      </c>
      <c r="G121" s="7">
        <f t="shared" si="10"/>
        <v>2574640565.4695058</v>
      </c>
      <c r="H121" s="7">
        <f t="shared" si="12"/>
        <v>295688.5499997139</v>
      </c>
    </row>
    <row r="122" spans="1:9" ht="13">
      <c r="A122" s="505">
        <f t="shared" si="11"/>
        <v>58</v>
      </c>
      <c r="C122" s="494" t="s">
        <v>183</v>
      </c>
      <c r="D122" s="609">
        <v>2020</v>
      </c>
      <c r="E122" s="977">
        <v>3062483029.2672148</v>
      </c>
      <c r="F122" s="977">
        <v>494142294.35640115</v>
      </c>
      <c r="G122" s="7">
        <f t="shared" si="10"/>
        <v>2568340734.9108138</v>
      </c>
      <c r="H122" s="7">
        <f t="shared" si="12"/>
        <v>96269.55999994278</v>
      </c>
    </row>
    <row r="123" spans="1:9" ht="13">
      <c r="A123" s="505">
        <f t="shared" si="11"/>
        <v>59</v>
      </c>
      <c r="C123" s="492" t="s">
        <v>184</v>
      </c>
      <c r="D123" s="609">
        <v>2020</v>
      </c>
      <c r="E123" s="977">
        <v>3062573855.987215</v>
      </c>
      <c r="F123" s="977">
        <v>500538559.23513907</v>
      </c>
      <c r="G123" s="7">
        <f t="shared" si="10"/>
        <v>2562035296.7520761</v>
      </c>
      <c r="H123" s="7">
        <f t="shared" si="12"/>
        <v>90826.720000267029</v>
      </c>
    </row>
    <row r="124" spans="1:9" ht="13">
      <c r="A124" s="505">
        <f t="shared" si="11"/>
        <v>60</v>
      </c>
      <c r="C124" s="492" t="s">
        <v>185</v>
      </c>
      <c r="D124" s="609">
        <v>2020</v>
      </c>
      <c r="E124" s="977">
        <v>3062627940.0572157</v>
      </c>
      <c r="F124" s="977">
        <v>506935004.71353573</v>
      </c>
      <c r="G124" s="7">
        <f t="shared" si="10"/>
        <v>2555692935.3436799</v>
      </c>
      <c r="H124" s="7">
        <f t="shared" si="12"/>
        <v>54084.070000648499</v>
      </c>
    </row>
    <row r="125" spans="1:9" ht="13">
      <c r="A125" s="505">
        <f t="shared" si="11"/>
        <v>61</v>
      </c>
      <c r="C125" s="494" t="s">
        <v>186</v>
      </c>
      <c r="D125" s="609">
        <v>2020</v>
      </c>
      <c r="E125" s="977">
        <v>3062863758.8972154</v>
      </c>
      <c r="F125" s="977">
        <v>513331552.94403797</v>
      </c>
      <c r="G125" s="7">
        <f t="shared" si="10"/>
        <v>2549532205.9531775</v>
      </c>
      <c r="H125" s="7">
        <f t="shared" si="12"/>
        <v>235818.83999967575</v>
      </c>
    </row>
    <row r="126" spans="1:9" ht="13">
      <c r="A126" s="505">
        <f t="shared" si="11"/>
        <v>62</v>
      </c>
      <c r="C126" s="492" t="s">
        <v>187</v>
      </c>
      <c r="D126" s="609">
        <v>2020</v>
      </c>
      <c r="E126" s="977">
        <v>3062924895.4372153</v>
      </c>
      <c r="F126" s="977">
        <v>519728597.05867571</v>
      </c>
      <c r="G126" s="7">
        <f t="shared" si="10"/>
        <v>2543196298.3785396</v>
      </c>
      <c r="H126" s="7">
        <f t="shared" si="12"/>
        <v>61136.539999961853</v>
      </c>
    </row>
    <row r="127" spans="1:9" ht="13">
      <c r="A127" s="505">
        <f t="shared" si="11"/>
        <v>63</v>
      </c>
      <c r="C127" s="492" t="s">
        <v>188</v>
      </c>
      <c r="D127" s="609">
        <v>2020</v>
      </c>
      <c r="E127" s="977">
        <v>3061445126.6272154</v>
      </c>
      <c r="F127" s="977">
        <v>526125843.72223485</v>
      </c>
      <c r="G127" s="7">
        <f t="shared" si="10"/>
        <v>2535319282.9049807</v>
      </c>
      <c r="H127" s="7">
        <f t="shared" si="12"/>
        <v>-1479768.8099999428</v>
      </c>
    </row>
    <row r="128" spans="1:9" ht="13">
      <c r="A128" s="505">
        <f t="shared" si="11"/>
        <v>64</v>
      </c>
      <c r="C128" s="494" t="s">
        <v>189</v>
      </c>
      <c r="D128" s="609">
        <v>2020</v>
      </c>
      <c r="E128" s="977">
        <v>3062337964.3272152</v>
      </c>
      <c r="F128" s="977">
        <v>532519629.4620682</v>
      </c>
      <c r="G128" s="7">
        <f t="shared" si="10"/>
        <v>2529818334.8651471</v>
      </c>
      <c r="H128" s="7">
        <f t="shared" si="12"/>
        <v>892837.69999980927</v>
      </c>
    </row>
    <row r="129" spans="1:8" ht="13">
      <c r="A129" s="505">
        <f t="shared" si="11"/>
        <v>65</v>
      </c>
      <c r="C129" s="494" t="s">
        <v>190</v>
      </c>
      <c r="D129" s="609">
        <v>2020</v>
      </c>
      <c r="E129" s="977">
        <v>3062360908.8872156</v>
      </c>
      <c r="F129" s="977">
        <v>538910884.38528049</v>
      </c>
      <c r="G129" s="7">
        <f t="shared" si="10"/>
        <v>2523450024.501935</v>
      </c>
      <c r="H129" s="7">
        <f t="shared" si="12"/>
        <v>22944.560000419617</v>
      </c>
    </row>
    <row r="130" spans="1:8" ht="13">
      <c r="A130" s="505">
        <f t="shared" si="11"/>
        <v>66</v>
      </c>
      <c r="C130" s="494" t="s">
        <v>180</v>
      </c>
      <c r="D130" s="609">
        <v>2020</v>
      </c>
      <c r="E130" s="977">
        <v>3062416114.7472153</v>
      </c>
      <c r="F130" s="977">
        <v>545302382.15504014</v>
      </c>
      <c r="G130" s="7">
        <f t="shared" si="10"/>
        <v>2517113732.592175</v>
      </c>
      <c r="H130" s="7">
        <f t="shared" si="12"/>
        <v>55205.859999656677</v>
      </c>
    </row>
    <row r="131" spans="1:8" ht="13">
      <c r="A131" s="505"/>
      <c r="C131" s="494"/>
      <c r="D131" s="498"/>
    </row>
    <row r="133" spans="1:8" ht="13">
      <c r="C133" s="188" t="s">
        <v>1542</v>
      </c>
      <c r="E133" s="84" t="s">
        <v>358</v>
      </c>
      <c r="F133" s="84" t="s">
        <v>342</v>
      </c>
      <c r="G133" s="84" t="s">
        <v>343</v>
      </c>
      <c r="H133" s="84" t="s">
        <v>344</v>
      </c>
    </row>
    <row r="134" spans="1:8">
      <c r="G134" s="525" t="s">
        <v>1643</v>
      </c>
      <c r="H134" s="525" t="s">
        <v>1644</v>
      </c>
    </row>
    <row r="135" spans="1:8" ht="13">
      <c r="C135" s="505" t="s">
        <v>528</v>
      </c>
      <c r="G135" s="14"/>
      <c r="H135" s="1142" t="s">
        <v>1645</v>
      </c>
    </row>
    <row r="136" spans="1:8" ht="13">
      <c r="C136" s="505" t="s">
        <v>193</v>
      </c>
      <c r="E136" s="505" t="s">
        <v>371</v>
      </c>
      <c r="F136" s="505" t="s">
        <v>1540</v>
      </c>
      <c r="G136" s="109" t="s">
        <v>992</v>
      </c>
      <c r="H136" s="109" t="s">
        <v>1116</v>
      </c>
    </row>
    <row r="137" spans="1:8" ht="13">
      <c r="C137" s="25" t="s">
        <v>192</v>
      </c>
      <c r="D137" s="25" t="s">
        <v>193</v>
      </c>
      <c r="E137" s="3" t="s">
        <v>1541</v>
      </c>
      <c r="F137" s="3" t="s">
        <v>1080</v>
      </c>
      <c r="G137" s="3" t="s">
        <v>3</v>
      </c>
      <c r="H137" s="3" t="s">
        <v>1536</v>
      </c>
    </row>
    <row r="138" spans="1:8" ht="13">
      <c r="A138" s="505">
        <f>A130+1</f>
        <v>67</v>
      </c>
      <c r="C138" s="494" t="s">
        <v>180</v>
      </c>
      <c r="D138" s="1047">
        <v>2019</v>
      </c>
      <c r="E138" s="977">
        <v>191500873.53999996</v>
      </c>
      <c r="F138" s="977">
        <v>50825642</v>
      </c>
      <c r="G138" s="7">
        <f>E138-F138</f>
        <v>140675231.53999996</v>
      </c>
      <c r="H138" s="7">
        <f>E138-E138</f>
        <v>0</v>
      </c>
    </row>
    <row r="139" spans="1:8" ht="13">
      <c r="A139" s="505">
        <f>A138+1</f>
        <v>68</v>
      </c>
      <c r="C139" s="494" t="s">
        <v>181</v>
      </c>
      <c r="D139" s="609">
        <v>2020</v>
      </c>
      <c r="E139" s="977">
        <v>191500873.53999996</v>
      </c>
      <c r="F139" s="977">
        <v>51141849.604589574</v>
      </c>
      <c r="G139" s="7">
        <f t="shared" ref="G139:G150" si="13">E139-F139</f>
        <v>140359023.93541038</v>
      </c>
      <c r="H139" s="7">
        <f>E139-E138</f>
        <v>0</v>
      </c>
    </row>
    <row r="140" spans="1:8" ht="13">
      <c r="A140" s="505">
        <f t="shared" ref="A140:A150" si="14">A139+1</f>
        <v>69</v>
      </c>
      <c r="C140" s="492" t="s">
        <v>182</v>
      </c>
      <c r="D140" s="609">
        <v>2020</v>
      </c>
      <c r="E140" s="977">
        <v>191500873.53999996</v>
      </c>
      <c r="F140" s="977">
        <v>51536770.358043827</v>
      </c>
      <c r="G140" s="7">
        <f t="shared" si="13"/>
        <v>139964103.18195614</v>
      </c>
      <c r="H140" s="7">
        <f t="shared" ref="H140:H150" si="15">E140-E139</f>
        <v>0</v>
      </c>
    </row>
    <row r="141" spans="1:8" ht="13">
      <c r="A141" s="505">
        <f t="shared" si="14"/>
        <v>70</v>
      </c>
      <c r="C141" s="492" t="s">
        <v>195</v>
      </c>
      <c r="D141" s="609">
        <v>2020</v>
      </c>
      <c r="E141" s="977">
        <v>191500873.53999996</v>
      </c>
      <c r="F141" s="977">
        <v>51931691.11149808</v>
      </c>
      <c r="G141" s="7">
        <f t="shared" si="13"/>
        <v>139569182.42850187</v>
      </c>
      <c r="H141" s="7">
        <f t="shared" si="15"/>
        <v>0</v>
      </c>
    </row>
    <row r="142" spans="1:8" ht="13">
      <c r="A142" s="505">
        <f t="shared" si="14"/>
        <v>71</v>
      </c>
      <c r="C142" s="494" t="s">
        <v>183</v>
      </c>
      <c r="D142" s="609">
        <v>2020</v>
      </c>
      <c r="E142" s="977">
        <v>191500873.53999996</v>
      </c>
      <c r="F142" s="977">
        <v>52326611.864952326</v>
      </c>
      <c r="G142" s="7">
        <f t="shared" si="13"/>
        <v>139174261.67504764</v>
      </c>
      <c r="H142" s="7">
        <f t="shared" si="15"/>
        <v>0</v>
      </c>
    </row>
    <row r="143" spans="1:8" ht="13">
      <c r="A143" s="505">
        <f t="shared" si="14"/>
        <v>72</v>
      </c>
      <c r="C143" s="492" t="s">
        <v>184</v>
      </c>
      <c r="D143" s="609">
        <v>2020</v>
      </c>
      <c r="E143" s="977">
        <v>191500873.53999996</v>
      </c>
      <c r="F143" s="977">
        <v>52721532.618406571</v>
      </c>
      <c r="G143" s="7">
        <f t="shared" si="13"/>
        <v>138779340.9215934</v>
      </c>
      <c r="H143" s="7">
        <f t="shared" si="15"/>
        <v>0</v>
      </c>
    </row>
    <row r="144" spans="1:8" ht="13">
      <c r="A144" s="505">
        <f t="shared" si="14"/>
        <v>73</v>
      </c>
      <c r="C144" s="492" t="s">
        <v>185</v>
      </c>
      <c r="D144" s="609">
        <v>2020</v>
      </c>
      <c r="E144" s="977">
        <v>191500873.53999996</v>
      </c>
      <c r="F144" s="977">
        <v>53116453.371860832</v>
      </c>
      <c r="G144" s="7">
        <f t="shared" si="13"/>
        <v>138384420.16813913</v>
      </c>
      <c r="H144" s="7">
        <f t="shared" si="15"/>
        <v>0</v>
      </c>
    </row>
    <row r="145" spans="1:8" ht="13">
      <c r="A145" s="505">
        <f t="shared" si="14"/>
        <v>74</v>
      </c>
      <c r="C145" s="494" t="s">
        <v>186</v>
      </c>
      <c r="D145" s="609">
        <v>2020</v>
      </c>
      <c r="E145" s="977">
        <v>191500873.53999996</v>
      </c>
      <c r="F145" s="977">
        <v>53511374.125315078</v>
      </c>
      <c r="G145" s="7">
        <f t="shared" si="13"/>
        <v>137989499.41468489</v>
      </c>
      <c r="H145" s="7">
        <f t="shared" si="15"/>
        <v>0</v>
      </c>
    </row>
    <row r="146" spans="1:8" ht="13">
      <c r="A146" s="505">
        <f t="shared" si="14"/>
        <v>75</v>
      </c>
      <c r="C146" s="492" t="s">
        <v>187</v>
      </c>
      <c r="D146" s="609">
        <v>2020</v>
      </c>
      <c r="E146" s="977">
        <v>191500873.53999996</v>
      </c>
      <c r="F146" s="977">
        <v>53906294.878769323</v>
      </c>
      <c r="G146" s="7">
        <f t="shared" si="13"/>
        <v>137594578.66123062</v>
      </c>
      <c r="H146" s="7">
        <f t="shared" si="15"/>
        <v>0</v>
      </c>
    </row>
    <row r="147" spans="1:8" ht="13">
      <c r="A147" s="505">
        <f t="shared" si="14"/>
        <v>76</v>
      </c>
      <c r="C147" s="492" t="s">
        <v>188</v>
      </c>
      <c r="D147" s="609">
        <v>2020</v>
      </c>
      <c r="E147" s="977">
        <v>191500873.53999996</v>
      </c>
      <c r="F147" s="977">
        <v>54301215.632223569</v>
      </c>
      <c r="G147" s="7">
        <f t="shared" si="13"/>
        <v>137199657.90777639</v>
      </c>
      <c r="H147" s="7">
        <f t="shared" si="15"/>
        <v>0</v>
      </c>
    </row>
    <row r="148" spans="1:8" ht="13">
      <c r="A148" s="505">
        <f t="shared" si="14"/>
        <v>77</v>
      </c>
      <c r="C148" s="494" t="s">
        <v>189</v>
      </c>
      <c r="D148" s="609">
        <v>2020</v>
      </c>
      <c r="E148" s="977">
        <v>191500873.53999996</v>
      </c>
      <c r="F148" s="977">
        <v>54696136.385677829</v>
      </c>
      <c r="G148" s="7">
        <f t="shared" si="13"/>
        <v>136804737.15432215</v>
      </c>
      <c r="H148" s="7">
        <f t="shared" si="15"/>
        <v>0</v>
      </c>
    </row>
    <row r="149" spans="1:8" ht="13">
      <c r="A149" s="505">
        <f t="shared" si="14"/>
        <v>78</v>
      </c>
      <c r="C149" s="494" t="s">
        <v>190</v>
      </c>
      <c r="D149" s="609">
        <v>2020</v>
      </c>
      <c r="E149" s="977">
        <v>191500873.53999996</v>
      </c>
      <c r="F149" s="977">
        <v>55091057.139132075</v>
      </c>
      <c r="G149" s="7">
        <f t="shared" si="13"/>
        <v>136409816.40086788</v>
      </c>
      <c r="H149" s="7">
        <f t="shared" si="15"/>
        <v>0</v>
      </c>
    </row>
    <row r="150" spans="1:8" ht="13">
      <c r="A150" s="505">
        <f t="shared" si="14"/>
        <v>79</v>
      </c>
      <c r="C150" s="494" t="s">
        <v>180</v>
      </c>
      <c r="D150" s="609">
        <v>2020</v>
      </c>
      <c r="E150" s="977">
        <v>191500873.53999996</v>
      </c>
      <c r="F150" s="977">
        <v>55485977.892586321</v>
      </c>
      <c r="G150" s="7">
        <f t="shared" si="13"/>
        <v>136014895.64741364</v>
      </c>
      <c r="H150" s="7">
        <f t="shared" si="15"/>
        <v>0</v>
      </c>
    </row>
    <row r="151" spans="1:8" ht="13">
      <c r="A151" s="505"/>
    </row>
    <row r="152" spans="1:8" ht="12.75" customHeight="1"/>
    <row r="153" spans="1:8" ht="13">
      <c r="C153" s="188" t="s">
        <v>1543</v>
      </c>
      <c r="E153" s="84" t="s">
        <v>358</v>
      </c>
      <c r="F153" s="84" t="s">
        <v>342</v>
      </c>
      <c r="G153" s="84" t="s">
        <v>343</v>
      </c>
      <c r="H153" s="84" t="s">
        <v>344</v>
      </c>
    </row>
    <row r="154" spans="1:8">
      <c r="G154" s="525" t="s">
        <v>1643</v>
      </c>
      <c r="H154" s="472" t="s">
        <v>1644</v>
      </c>
    </row>
    <row r="155" spans="1:8" ht="13">
      <c r="C155" s="505" t="s">
        <v>528</v>
      </c>
      <c r="H155" s="464" t="s">
        <v>1645</v>
      </c>
    </row>
    <row r="156" spans="1:8" ht="13">
      <c r="C156" s="505" t="s">
        <v>193</v>
      </c>
      <c r="E156" s="505" t="s">
        <v>371</v>
      </c>
      <c r="F156" s="505" t="s">
        <v>1540</v>
      </c>
      <c r="G156" s="505" t="s">
        <v>992</v>
      </c>
      <c r="H156" s="505" t="s">
        <v>1116</v>
      </c>
    </row>
    <row r="157" spans="1:8" ht="13">
      <c r="C157" s="25" t="s">
        <v>192</v>
      </c>
      <c r="D157" s="25" t="s">
        <v>193</v>
      </c>
      <c r="E157" s="3" t="s">
        <v>1541</v>
      </c>
      <c r="F157" s="3" t="s">
        <v>1080</v>
      </c>
      <c r="G157" s="3" t="s">
        <v>3</v>
      </c>
      <c r="H157" s="3" t="s">
        <v>1536</v>
      </c>
    </row>
    <row r="158" spans="1:8" ht="13">
      <c r="A158" s="505">
        <f>A150+1</f>
        <v>80</v>
      </c>
      <c r="C158" s="494" t="s">
        <v>180</v>
      </c>
      <c r="D158" s="1047">
        <v>2019</v>
      </c>
      <c r="E158" s="977">
        <v>774699350.07999992</v>
      </c>
      <c r="F158" s="977">
        <v>125531994</v>
      </c>
      <c r="G158" s="7">
        <f t="shared" ref="G158:G170" si="16">E158-F158</f>
        <v>649167356.07999992</v>
      </c>
      <c r="H158" s="7">
        <f>E158-E158</f>
        <v>0</v>
      </c>
    </row>
    <row r="159" spans="1:8" ht="13">
      <c r="A159" s="505">
        <f>A158+1</f>
        <v>81</v>
      </c>
      <c r="C159" s="494" t="s">
        <v>181</v>
      </c>
      <c r="D159" s="609">
        <v>2020</v>
      </c>
      <c r="E159" s="977">
        <v>774699350.07999992</v>
      </c>
      <c r="F159" s="977">
        <v>126900553.35814071</v>
      </c>
      <c r="G159" s="7">
        <f t="shared" si="16"/>
        <v>647798796.72185922</v>
      </c>
      <c r="H159" s="7">
        <f>E159-E158</f>
        <v>0</v>
      </c>
    </row>
    <row r="160" spans="1:8" ht="13">
      <c r="A160" s="505">
        <f t="shared" ref="A160:A170" si="17">A159+1</f>
        <v>82</v>
      </c>
      <c r="C160" s="492" t="s">
        <v>182</v>
      </c>
      <c r="D160" s="609">
        <v>2020</v>
      </c>
      <c r="E160" s="977">
        <v>774699350.07999992</v>
      </c>
      <c r="F160" s="977">
        <v>128544626.49742213</v>
      </c>
      <c r="G160" s="7">
        <f t="shared" si="16"/>
        <v>646154723.58257782</v>
      </c>
      <c r="H160" s="7">
        <f t="shared" ref="H160:H170" si="18">E160-E159</f>
        <v>0</v>
      </c>
    </row>
    <row r="161" spans="1:8" ht="13">
      <c r="A161" s="505">
        <f t="shared" si="17"/>
        <v>83</v>
      </c>
      <c r="C161" s="492" t="s">
        <v>195</v>
      </c>
      <c r="D161" s="609">
        <v>2020</v>
      </c>
      <c r="E161" s="977">
        <v>774699350.07999992</v>
      </c>
      <c r="F161" s="977">
        <v>130188699.63670354</v>
      </c>
      <c r="G161" s="7">
        <f t="shared" si="16"/>
        <v>644510650.44329643</v>
      </c>
      <c r="H161" s="7">
        <f t="shared" si="18"/>
        <v>0</v>
      </c>
    </row>
    <row r="162" spans="1:8" ht="13">
      <c r="A162" s="505">
        <f t="shared" si="17"/>
        <v>84</v>
      </c>
      <c r="C162" s="494" t="s">
        <v>183</v>
      </c>
      <c r="D162" s="609">
        <v>2020</v>
      </c>
      <c r="E162" s="977">
        <v>774699350.07999992</v>
      </c>
      <c r="F162" s="977">
        <v>131832772.77598496</v>
      </c>
      <c r="G162" s="7">
        <f t="shared" si="16"/>
        <v>642866577.30401492</v>
      </c>
      <c r="H162" s="7">
        <f t="shared" si="18"/>
        <v>0</v>
      </c>
    </row>
    <row r="163" spans="1:8" ht="13">
      <c r="A163" s="505">
        <f t="shared" si="17"/>
        <v>85</v>
      </c>
      <c r="C163" s="492" t="s">
        <v>184</v>
      </c>
      <c r="D163" s="609">
        <v>2020</v>
      </c>
      <c r="E163" s="977">
        <v>774699350.07999992</v>
      </c>
      <c r="F163" s="977">
        <v>133476845.91526635</v>
      </c>
      <c r="G163" s="7">
        <f t="shared" si="16"/>
        <v>641222504.16473353</v>
      </c>
      <c r="H163" s="7">
        <f t="shared" si="18"/>
        <v>0</v>
      </c>
    </row>
    <row r="164" spans="1:8" ht="13">
      <c r="A164" s="505">
        <f t="shared" si="17"/>
        <v>86</v>
      </c>
      <c r="C164" s="492" t="s">
        <v>185</v>
      </c>
      <c r="D164" s="609">
        <v>2020</v>
      </c>
      <c r="E164" s="977">
        <v>774699350.07999992</v>
      </c>
      <c r="F164" s="977">
        <v>135120919.05454779</v>
      </c>
      <c r="G164" s="7">
        <f t="shared" si="16"/>
        <v>639578431.02545214</v>
      </c>
      <c r="H164" s="7">
        <f t="shared" si="18"/>
        <v>0</v>
      </c>
    </row>
    <row r="165" spans="1:8" ht="13">
      <c r="A165" s="505">
        <f t="shared" si="17"/>
        <v>87</v>
      </c>
      <c r="C165" s="494" t="s">
        <v>186</v>
      </c>
      <c r="D165" s="609">
        <v>2020</v>
      </c>
      <c r="E165" s="977">
        <v>774699350.07999992</v>
      </c>
      <c r="F165" s="977">
        <v>136764992.19382921</v>
      </c>
      <c r="G165" s="7">
        <f t="shared" si="16"/>
        <v>637934357.88617074</v>
      </c>
      <c r="H165" s="7">
        <f t="shared" si="18"/>
        <v>0</v>
      </c>
    </row>
    <row r="166" spans="1:8" ht="13">
      <c r="A166" s="505">
        <f t="shared" si="17"/>
        <v>88</v>
      </c>
      <c r="C166" s="492" t="s">
        <v>187</v>
      </c>
      <c r="D166" s="609">
        <v>2020</v>
      </c>
      <c r="E166" s="977">
        <v>774699350.07999992</v>
      </c>
      <c r="F166" s="977">
        <v>138409065.33311063</v>
      </c>
      <c r="G166" s="7">
        <f t="shared" si="16"/>
        <v>636290284.74688935</v>
      </c>
      <c r="H166" s="7">
        <f t="shared" si="18"/>
        <v>0</v>
      </c>
    </row>
    <row r="167" spans="1:8" ht="13">
      <c r="A167" s="505">
        <f t="shared" si="17"/>
        <v>89</v>
      </c>
      <c r="C167" s="492" t="s">
        <v>188</v>
      </c>
      <c r="D167" s="609">
        <v>2020</v>
      </c>
      <c r="E167" s="977">
        <v>774699350.07999992</v>
      </c>
      <c r="F167" s="977">
        <v>140053138.47239205</v>
      </c>
      <c r="G167" s="7">
        <f t="shared" si="16"/>
        <v>634646211.60760784</v>
      </c>
      <c r="H167" s="7">
        <f t="shared" si="18"/>
        <v>0</v>
      </c>
    </row>
    <row r="168" spans="1:8" ht="13">
      <c r="A168" s="505">
        <f t="shared" si="17"/>
        <v>90</v>
      </c>
      <c r="C168" s="494" t="s">
        <v>189</v>
      </c>
      <c r="D168" s="609">
        <v>2020</v>
      </c>
      <c r="E168" s="977">
        <v>774699350.07999992</v>
      </c>
      <c r="F168" s="977">
        <v>141697211.61167344</v>
      </c>
      <c r="G168" s="7">
        <f t="shared" si="16"/>
        <v>633002138.46832645</v>
      </c>
      <c r="H168" s="7">
        <f t="shared" si="18"/>
        <v>0</v>
      </c>
    </row>
    <row r="169" spans="1:8" ht="13">
      <c r="A169" s="505">
        <f t="shared" si="17"/>
        <v>91</v>
      </c>
      <c r="C169" s="494" t="s">
        <v>190</v>
      </c>
      <c r="D169" s="609">
        <v>2020</v>
      </c>
      <c r="E169" s="977">
        <v>774699350.07999992</v>
      </c>
      <c r="F169" s="977">
        <v>143341284.75095487</v>
      </c>
      <c r="G169" s="7">
        <f t="shared" si="16"/>
        <v>631358065.32904506</v>
      </c>
      <c r="H169" s="7">
        <f t="shared" si="18"/>
        <v>0</v>
      </c>
    </row>
    <row r="170" spans="1:8" ht="13">
      <c r="A170" s="505">
        <f t="shared" si="17"/>
        <v>92</v>
      </c>
      <c r="C170" s="494" t="s">
        <v>180</v>
      </c>
      <c r="D170" s="609">
        <v>2020</v>
      </c>
      <c r="E170" s="977">
        <v>774699350.07999992</v>
      </c>
      <c r="F170" s="977">
        <v>144985357.89023629</v>
      </c>
      <c r="G170" s="7">
        <f t="shared" si="16"/>
        <v>629713992.18976367</v>
      </c>
      <c r="H170" s="7">
        <f t="shared" si="18"/>
        <v>0</v>
      </c>
    </row>
    <row r="172" spans="1:8" ht="13">
      <c r="C172" s="188" t="s">
        <v>2333</v>
      </c>
      <c r="E172" s="84" t="s">
        <v>358</v>
      </c>
      <c r="F172" s="84" t="s">
        <v>342</v>
      </c>
      <c r="G172" s="84" t="s">
        <v>343</v>
      </c>
      <c r="H172" s="84" t="s">
        <v>344</v>
      </c>
    </row>
    <row r="173" spans="1:8">
      <c r="G173" s="525" t="s">
        <v>1643</v>
      </c>
      <c r="H173" s="525" t="s">
        <v>1644</v>
      </c>
    </row>
    <row r="174" spans="1:8" ht="13">
      <c r="C174" s="505" t="s">
        <v>528</v>
      </c>
      <c r="G174" s="14"/>
      <c r="H174" s="1142" t="s">
        <v>1645</v>
      </c>
    </row>
    <row r="175" spans="1:8" ht="13">
      <c r="C175" s="505" t="s">
        <v>193</v>
      </c>
      <c r="E175" s="505" t="s">
        <v>371</v>
      </c>
      <c r="F175" s="505" t="s">
        <v>1540</v>
      </c>
      <c r="G175" s="505" t="s">
        <v>992</v>
      </c>
      <c r="H175" s="505" t="s">
        <v>1116</v>
      </c>
    </row>
    <row r="176" spans="1:8" ht="13">
      <c r="C176" s="25" t="s">
        <v>192</v>
      </c>
      <c r="D176" s="25" t="s">
        <v>193</v>
      </c>
      <c r="E176" s="3" t="s">
        <v>1541</v>
      </c>
      <c r="F176" s="3" t="s">
        <v>1080</v>
      </c>
      <c r="G176" s="3" t="s">
        <v>3</v>
      </c>
      <c r="H176" s="3" t="s">
        <v>1536</v>
      </c>
    </row>
    <row r="177" spans="1:8" ht="13">
      <c r="A177" s="505">
        <f>A170+1</f>
        <v>93</v>
      </c>
      <c r="C177" s="494" t="s">
        <v>180</v>
      </c>
      <c r="D177" s="1047">
        <v>2019</v>
      </c>
      <c r="E177" s="977">
        <v>0</v>
      </c>
      <c r="F177" s="977">
        <v>0</v>
      </c>
      <c r="G177" s="7">
        <f t="shared" ref="G177:G189" si="19">E177-F177</f>
        <v>0</v>
      </c>
      <c r="H177" s="7">
        <f>E177-E177</f>
        <v>0</v>
      </c>
    </row>
    <row r="178" spans="1:8" ht="13">
      <c r="A178" s="505">
        <f>A177+1</f>
        <v>94</v>
      </c>
      <c r="C178" s="494" t="s">
        <v>181</v>
      </c>
      <c r="D178" s="609">
        <v>2020</v>
      </c>
      <c r="E178" s="977">
        <v>0</v>
      </c>
      <c r="F178" s="977">
        <v>0</v>
      </c>
      <c r="G178" s="7">
        <f t="shared" si="19"/>
        <v>0</v>
      </c>
      <c r="H178" s="7">
        <f>E178-E177</f>
        <v>0</v>
      </c>
    </row>
    <row r="179" spans="1:8" ht="13">
      <c r="A179" s="505">
        <f t="shared" ref="A179:A189" si="20">A178+1</f>
        <v>95</v>
      </c>
      <c r="C179" s="492" t="s">
        <v>182</v>
      </c>
      <c r="D179" s="609">
        <v>2020</v>
      </c>
      <c r="E179" s="977">
        <v>0</v>
      </c>
      <c r="F179" s="977">
        <v>0</v>
      </c>
      <c r="G179" s="7">
        <f t="shared" si="19"/>
        <v>0</v>
      </c>
      <c r="H179" s="7">
        <f t="shared" ref="H179:H189" si="21">E179-E178</f>
        <v>0</v>
      </c>
    </row>
    <row r="180" spans="1:8" ht="13">
      <c r="A180" s="505">
        <f t="shared" si="20"/>
        <v>96</v>
      </c>
      <c r="C180" s="492" t="s">
        <v>195</v>
      </c>
      <c r="D180" s="609">
        <v>2020</v>
      </c>
      <c r="E180" s="977">
        <v>0</v>
      </c>
      <c r="F180" s="977">
        <v>0</v>
      </c>
      <c r="G180" s="7">
        <f t="shared" si="19"/>
        <v>0</v>
      </c>
      <c r="H180" s="7">
        <f t="shared" si="21"/>
        <v>0</v>
      </c>
    </row>
    <row r="181" spans="1:8" ht="13">
      <c r="A181" s="505">
        <f t="shared" si="20"/>
        <v>97</v>
      </c>
      <c r="C181" s="494" t="s">
        <v>183</v>
      </c>
      <c r="D181" s="609">
        <v>2020</v>
      </c>
      <c r="E181" s="977">
        <v>0</v>
      </c>
      <c r="F181" s="977">
        <v>0</v>
      </c>
      <c r="G181" s="7">
        <f t="shared" si="19"/>
        <v>0</v>
      </c>
      <c r="H181" s="7">
        <f t="shared" si="21"/>
        <v>0</v>
      </c>
    </row>
    <row r="182" spans="1:8" ht="13">
      <c r="A182" s="505">
        <f t="shared" si="20"/>
        <v>98</v>
      </c>
      <c r="C182" s="492" t="s">
        <v>184</v>
      </c>
      <c r="D182" s="609">
        <v>2020</v>
      </c>
      <c r="E182" s="977">
        <v>0</v>
      </c>
      <c r="F182" s="977">
        <v>0</v>
      </c>
      <c r="G182" s="7">
        <f t="shared" si="19"/>
        <v>0</v>
      </c>
      <c r="H182" s="7">
        <f t="shared" si="21"/>
        <v>0</v>
      </c>
    </row>
    <row r="183" spans="1:8" ht="13">
      <c r="A183" s="505">
        <f t="shared" si="20"/>
        <v>99</v>
      </c>
      <c r="C183" s="492" t="s">
        <v>185</v>
      </c>
      <c r="D183" s="609">
        <v>2020</v>
      </c>
      <c r="E183" s="977">
        <v>0</v>
      </c>
      <c r="F183" s="977">
        <v>0</v>
      </c>
      <c r="G183" s="7">
        <f t="shared" si="19"/>
        <v>0</v>
      </c>
      <c r="H183" s="7">
        <f t="shared" si="21"/>
        <v>0</v>
      </c>
    </row>
    <row r="184" spans="1:8" ht="13">
      <c r="A184" s="505">
        <f t="shared" si="20"/>
        <v>100</v>
      </c>
      <c r="C184" s="494" t="s">
        <v>186</v>
      </c>
      <c r="D184" s="609">
        <v>2020</v>
      </c>
      <c r="E184" s="977">
        <v>0</v>
      </c>
      <c r="F184" s="977">
        <v>0</v>
      </c>
      <c r="G184" s="7">
        <f t="shared" si="19"/>
        <v>0</v>
      </c>
      <c r="H184" s="7">
        <f t="shared" si="21"/>
        <v>0</v>
      </c>
    </row>
    <row r="185" spans="1:8" ht="13">
      <c r="A185" s="505">
        <f t="shared" si="20"/>
        <v>101</v>
      </c>
      <c r="C185" s="492" t="s">
        <v>187</v>
      </c>
      <c r="D185" s="609">
        <v>2020</v>
      </c>
      <c r="E185" s="977">
        <v>0</v>
      </c>
      <c r="F185" s="977">
        <v>0</v>
      </c>
      <c r="G185" s="7">
        <f t="shared" si="19"/>
        <v>0</v>
      </c>
      <c r="H185" s="7">
        <f t="shared" si="21"/>
        <v>0</v>
      </c>
    </row>
    <row r="186" spans="1:8" ht="13">
      <c r="A186" s="505">
        <f t="shared" si="20"/>
        <v>102</v>
      </c>
      <c r="C186" s="492" t="s">
        <v>188</v>
      </c>
      <c r="D186" s="609">
        <v>2020</v>
      </c>
      <c r="E186" s="977">
        <v>0</v>
      </c>
      <c r="F186" s="977">
        <v>0</v>
      </c>
      <c r="G186" s="7">
        <f t="shared" si="19"/>
        <v>0</v>
      </c>
      <c r="H186" s="7">
        <f t="shared" si="21"/>
        <v>0</v>
      </c>
    </row>
    <row r="187" spans="1:8" ht="13">
      <c r="A187" s="505">
        <f t="shared" si="20"/>
        <v>103</v>
      </c>
      <c r="C187" s="494" t="s">
        <v>189</v>
      </c>
      <c r="D187" s="609">
        <v>2020</v>
      </c>
      <c r="E187" s="977">
        <v>0</v>
      </c>
      <c r="F187" s="977">
        <v>0</v>
      </c>
      <c r="G187" s="7">
        <f t="shared" si="19"/>
        <v>0</v>
      </c>
      <c r="H187" s="7">
        <f t="shared" si="21"/>
        <v>0</v>
      </c>
    </row>
    <row r="188" spans="1:8" ht="13">
      <c r="A188" s="505">
        <f t="shared" si="20"/>
        <v>104</v>
      </c>
      <c r="C188" s="494" t="s">
        <v>190</v>
      </c>
      <c r="D188" s="609">
        <v>2020</v>
      </c>
      <c r="E188" s="977">
        <v>0</v>
      </c>
      <c r="F188" s="977">
        <v>0</v>
      </c>
      <c r="G188" s="7">
        <f t="shared" si="19"/>
        <v>0</v>
      </c>
      <c r="H188" s="7">
        <f t="shared" si="21"/>
        <v>0</v>
      </c>
    </row>
    <row r="189" spans="1:8" ht="13">
      <c r="A189" s="505">
        <f t="shared" si="20"/>
        <v>105</v>
      </c>
      <c r="C189" s="494" t="s">
        <v>180</v>
      </c>
      <c r="D189" s="609">
        <v>2020</v>
      </c>
      <c r="E189" s="977">
        <v>0</v>
      </c>
      <c r="F189" s="977">
        <v>0</v>
      </c>
      <c r="G189" s="7">
        <f t="shared" si="19"/>
        <v>0</v>
      </c>
      <c r="H189" s="7">
        <f t="shared" si="21"/>
        <v>0</v>
      </c>
    </row>
    <row r="191" spans="1:8" ht="13">
      <c r="C191" s="188" t="s">
        <v>2334</v>
      </c>
      <c r="E191" s="84" t="s">
        <v>358</v>
      </c>
      <c r="F191" s="84" t="s">
        <v>342</v>
      </c>
      <c r="G191" s="84" t="s">
        <v>343</v>
      </c>
      <c r="H191" s="84" t="s">
        <v>344</v>
      </c>
    </row>
    <row r="192" spans="1:8">
      <c r="G192" s="525" t="s">
        <v>1643</v>
      </c>
      <c r="H192" s="525" t="s">
        <v>1644</v>
      </c>
    </row>
    <row r="193" spans="1:8" ht="13">
      <c r="C193" s="505" t="s">
        <v>528</v>
      </c>
      <c r="G193" s="14"/>
      <c r="H193" s="1142" t="s">
        <v>1645</v>
      </c>
    </row>
    <row r="194" spans="1:8" ht="13">
      <c r="C194" s="505" t="s">
        <v>193</v>
      </c>
      <c r="E194" s="505" t="s">
        <v>371</v>
      </c>
      <c r="F194" s="505" t="s">
        <v>1540</v>
      </c>
      <c r="G194" s="505" t="s">
        <v>992</v>
      </c>
      <c r="H194" s="505" t="s">
        <v>1116</v>
      </c>
    </row>
    <row r="195" spans="1:8" ht="13">
      <c r="C195" s="25" t="s">
        <v>192</v>
      </c>
      <c r="D195" s="25" t="s">
        <v>193</v>
      </c>
      <c r="E195" s="3" t="s">
        <v>1541</v>
      </c>
      <c r="F195" s="3" t="s">
        <v>1080</v>
      </c>
      <c r="G195" s="3" t="s">
        <v>3</v>
      </c>
      <c r="H195" s="3" t="s">
        <v>1536</v>
      </c>
    </row>
    <row r="196" spans="1:8" ht="13">
      <c r="A196" s="505">
        <f>A189+1</f>
        <v>106</v>
      </c>
      <c r="C196" s="494" t="s">
        <v>180</v>
      </c>
      <c r="D196" s="1047">
        <v>2019</v>
      </c>
      <c r="E196" s="977">
        <v>3156346.3000000007</v>
      </c>
      <c r="F196" s="977">
        <v>103900</v>
      </c>
      <c r="G196" s="7">
        <f t="shared" ref="G196:G208" si="22">E196-F196</f>
        <v>3052446.3000000007</v>
      </c>
      <c r="H196" s="7">
        <f>E196-E196</f>
        <v>0</v>
      </c>
    </row>
    <row r="197" spans="1:8" ht="13">
      <c r="A197" s="505">
        <f>A196+1</f>
        <v>107</v>
      </c>
      <c r="C197" s="494" t="s">
        <v>181</v>
      </c>
      <c r="D197" s="609">
        <v>2020</v>
      </c>
      <c r="E197" s="977">
        <v>3156346.3000000007</v>
      </c>
      <c r="F197" s="977">
        <v>108806.77847216668</v>
      </c>
      <c r="G197" s="7">
        <f t="shared" si="22"/>
        <v>3047539.5215278342</v>
      </c>
      <c r="H197" s="7">
        <f>E197-E196</f>
        <v>0</v>
      </c>
    </row>
    <row r="198" spans="1:8" ht="13">
      <c r="A198" s="505">
        <f t="shared" ref="A198:A208" si="23">A197+1</f>
        <v>108</v>
      </c>
      <c r="C198" s="492" t="s">
        <v>182</v>
      </c>
      <c r="D198" s="609">
        <v>2020</v>
      </c>
      <c r="E198" s="977">
        <v>8597420.2400000021</v>
      </c>
      <c r="F198" s="977">
        <v>115303.59127300003</v>
      </c>
      <c r="G198" s="7">
        <f t="shared" si="22"/>
        <v>8482116.6487270016</v>
      </c>
      <c r="H198" s="7">
        <f t="shared" ref="H198:H208" si="24">E198-E197</f>
        <v>5441073.9400000013</v>
      </c>
    </row>
    <row r="199" spans="1:8" ht="13">
      <c r="A199" s="505">
        <f t="shared" si="23"/>
        <v>109</v>
      </c>
      <c r="C199" s="492" t="s">
        <v>195</v>
      </c>
      <c r="D199" s="609">
        <v>2020</v>
      </c>
      <c r="E199" s="977">
        <v>9035781.4900000021</v>
      </c>
      <c r="F199" s="977">
        <v>132999.9479336667</v>
      </c>
      <c r="G199" s="7">
        <f t="shared" si="22"/>
        <v>8902781.5420663357</v>
      </c>
      <c r="H199" s="7">
        <f t="shared" si="24"/>
        <v>438361.25</v>
      </c>
    </row>
    <row r="200" spans="1:8" ht="13">
      <c r="A200" s="505">
        <f t="shared" si="23"/>
        <v>110</v>
      </c>
      <c r="C200" s="494" t="s">
        <v>183</v>
      </c>
      <c r="D200" s="609">
        <v>2020</v>
      </c>
      <c r="E200" s="977">
        <v>9051812.9300000016</v>
      </c>
      <c r="F200" s="977">
        <v>151598.59816725002</v>
      </c>
      <c r="G200" s="7">
        <f t="shared" si="22"/>
        <v>8900214.3318327516</v>
      </c>
      <c r="H200" s="7">
        <f t="shared" si="24"/>
        <v>16031.439999999478</v>
      </c>
    </row>
    <row r="201" spans="1:8" ht="13">
      <c r="A201" s="505">
        <f t="shared" si="23"/>
        <v>111</v>
      </c>
      <c r="C201" s="492" t="s">
        <v>184</v>
      </c>
      <c r="D201" s="609">
        <v>2020</v>
      </c>
      <c r="E201" s="977">
        <v>9110638.2700000014</v>
      </c>
      <c r="F201" s="977">
        <v>170230.2464481667</v>
      </c>
      <c r="G201" s="7">
        <f t="shared" si="22"/>
        <v>8940408.0235518347</v>
      </c>
      <c r="H201" s="7">
        <f t="shared" si="24"/>
        <v>58825.339999999851</v>
      </c>
    </row>
    <row r="202" spans="1:8" ht="13">
      <c r="A202" s="505">
        <f t="shared" si="23"/>
        <v>112</v>
      </c>
      <c r="C202" s="492" t="s">
        <v>185</v>
      </c>
      <c r="D202" s="609">
        <v>2020</v>
      </c>
      <c r="E202" s="977">
        <v>9143952.7200000007</v>
      </c>
      <c r="F202" s="977">
        <v>188982.97688725003</v>
      </c>
      <c r="G202" s="7">
        <f t="shared" si="22"/>
        <v>8954969.7431127504</v>
      </c>
      <c r="H202" s="7">
        <f t="shared" si="24"/>
        <v>33314.449999999255</v>
      </c>
    </row>
    <row r="203" spans="1:8" ht="13">
      <c r="A203" s="505">
        <f t="shared" si="23"/>
        <v>113</v>
      </c>
      <c r="C203" s="494" t="s">
        <v>186</v>
      </c>
      <c r="D203" s="609">
        <v>2020</v>
      </c>
      <c r="E203" s="977">
        <v>9161733.7000000011</v>
      </c>
      <c r="F203" s="977">
        <v>207804.27956925001</v>
      </c>
      <c r="G203" s="7">
        <f t="shared" si="22"/>
        <v>8953929.4204307515</v>
      </c>
      <c r="H203" s="7">
        <f t="shared" si="24"/>
        <v>17780.980000000447</v>
      </c>
    </row>
    <row r="204" spans="1:8" ht="13">
      <c r="A204" s="505">
        <f t="shared" si="23"/>
        <v>114</v>
      </c>
      <c r="C204" s="492" t="s">
        <v>187</v>
      </c>
      <c r="D204" s="609">
        <v>2020</v>
      </c>
      <c r="E204" s="977">
        <v>9187384.1800000016</v>
      </c>
      <c r="F204" s="977">
        <v>226662.18143508336</v>
      </c>
      <c r="G204" s="7">
        <f t="shared" si="22"/>
        <v>8960721.9985649176</v>
      </c>
      <c r="H204" s="7">
        <f t="shared" si="24"/>
        <v>25650.480000000447</v>
      </c>
    </row>
    <row r="205" spans="1:8" ht="13">
      <c r="A205" s="505">
        <f t="shared" si="23"/>
        <v>115</v>
      </c>
      <c r="C205" s="492" t="s">
        <v>188</v>
      </c>
      <c r="D205" s="609">
        <v>2020</v>
      </c>
      <c r="E205" s="977">
        <v>9205696.0300000012</v>
      </c>
      <c r="F205" s="977">
        <v>245572.88053891671</v>
      </c>
      <c r="G205" s="7">
        <f t="shared" si="22"/>
        <v>8960123.149461085</v>
      </c>
      <c r="H205" s="7">
        <f t="shared" si="24"/>
        <v>18311.849999999627</v>
      </c>
    </row>
    <row r="206" spans="1:8" ht="13">
      <c r="A206" s="505">
        <f t="shared" si="23"/>
        <v>116</v>
      </c>
      <c r="C206" s="494" t="s">
        <v>189</v>
      </c>
      <c r="D206" s="609">
        <v>2020</v>
      </c>
      <c r="E206" s="977">
        <v>9250610.7000000011</v>
      </c>
      <c r="F206" s="977">
        <v>264521.27153400006</v>
      </c>
      <c r="G206" s="7">
        <f t="shared" si="22"/>
        <v>8986089.4284660015</v>
      </c>
      <c r="H206" s="7">
        <f t="shared" si="24"/>
        <v>44914.669999999925</v>
      </c>
    </row>
    <row r="207" spans="1:8" ht="13">
      <c r="A207" s="505">
        <f t="shared" si="23"/>
        <v>117</v>
      </c>
      <c r="C207" s="494" t="s">
        <v>190</v>
      </c>
      <c r="D207" s="609">
        <v>2020</v>
      </c>
      <c r="E207" s="977">
        <v>17404943.48</v>
      </c>
      <c r="F207" s="977">
        <v>283562.11189150007</v>
      </c>
      <c r="G207" s="7">
        <f t="shared" si="22"/>
        <v>17121381.3681085</v>
      </c>
      <c r="H207" s="7">
        <f t="shared" si="24"/>
        <v>8154332.7799999993</v>
      </c>
    </row>
    <row r="208" spans="1:8" ht="13">
      <c r="A208" s="505">
        <f t="shared" si="23"/>
        <v>118</v>
      </c>
      <c r="C208" s="494" t="s">
        <v>180</v>
      </c>
      <c r="D208" s="609">
        <v>2020</v>
      </c>
      <c r="E208" s="977">
        <v>9270643.8900000006</v>
      </c>
      <c r="F208" s="977">
        <v>319387.28722116677</v>
      </c>
      <c r="G208" s="7">
        <f t="shared" si="22"/>
        <v>8951256.6027788334</v>
      </c>
      <c r="H208" s="7">
        <f t="shared" si="24"/>
        <v>-8134299.5899999999</v>
      </c>
    </row>
    <row r="210" spans="1:8" ht="13">
      <c r="C210" s="188" t="s">
        <v>1544</v>
      </c>
      <c r="E210" s="84" t="s">
        <v>358</v>
      </c>
      <c r="F210" s="84" t="s">
        <v>342</v>
      </c>
      <c r="G210" s="84" t="s">
        <v>343</v>
      </c>
      <c r="H210" s="84" t="s">
        <v>344</v>
      </c>
    </row>
    <row r="211" spans="1:8">
      <c r="G211" s="525" t="s">
        <v>1643</v>
      </c>
      <c r="H211" s="525" t="s">
        <v>1644</v>
      </c>
    </row>
    <row r="212" spans="1:8" ht="13">
      <c r="C212" s="505" t="s">
        <v>528</v>
      </c>
      <c r="G212" s="14"/>
      <c r="H212" s="1142" t="s">
        <v>1645</v>
      </c>
    </row>
    <row r="213" spans="1:8" ht="13">
      <c r="C213" s="505" t="s">
        <v>193</v>
      </c>
      <c r="E213" s="505" t="s">
        <v>371</v>
      </c>
      <c r="F213" s="505" t="s">
        <v>1540</v>
      </c>
      <c r="G213" s="505" t="s">
        <v>992</v>
      </c>
      <c r="H213" s="505" t="s">
        <v>1116</v>
      </c>
    </row>
    <row r="214" spans="1:8" ht="13">
      <c r="C214" s="25" t="s">
        <v>192</v>
      </c>
      <c r="D214" s="25" t="s">
        <v>193</v>
      </c>
      <c r="E214" s="3" t="s">
        <v>1541</v>
      </c>
      <c r="F214" s="3" t="s">
        <v>1080</v>
      </c>
      <c r="G214" s="3" t="s">
        <v>3</v>
      </c>
      <c r="H214" s="3" t="s">
        <v>1536</v>
      </c>
    </row>
    <row r="215" spans="1:8" ht="13">
      <c r="A215" s="505">
        <f>A208+1</f>
        <v>119</v>
      </c>
      <c r="C215" s="494" t="s">
        <v>180</v>
      </c>
      <c r="D215" s="1047">
        <v>2019</v>
      </c>
      <c r="E215" s="977">
        <v>235653780.98999995</v>
      </c>
      <c r="F215" s="977">
        <v>37515266</v>
      </c>
      <c r="G215" s="7">
        <f t="shared" ref="G215:G227" si="25">E215-F215</f>
        <v>198138514.98999995</v>
      </c>
      <c r="H215" s="7">
        <f>E215-E215</f>
        <v>0</v>
      </c>
    </row>
    <row r="216" spans="1:8" ht="13">
      <c r="A216" s="505">
        <f>A215+1</f>
        <v>120</v>
      </c>
      <c r="C216" s="494" t="s">
        <v>181</v>
      </c>
      <c r="D216" s="609">
        <v>2020</v>
      </c>
      <c r="E216" s="977">
        <v>235653780.98999995</v>
      </c>
      <c r="F216" s="977">
        <v>37965620.7296395</v>
      </c>
      <c r="G216" s="7">
        <f t="shared" si="25"/>
        <v>197688160.26036045</v>
      </c>
      <c r="H216" s="7">
        <f>E216-E215</f>
        <v>0</v>
      </c>
    </row>
    <row r="217" spans="1:8" ht="13">
      <c r="A217" s="505">
        <f t="shared" ref="A217:A227" si="26">A216+1</f>
        <v>121</v>
      </c>
      <c r="C217" s="492" t="s">
        <v>182</v>
      </c>
      <c r="D217" s="609">
        <v>2020</v>
      </c>
      <c r="E217" s="977">
        <v>235653780.98999995</v>
      </c>
      <c r="F217" s="977">
        <v>38462371.430241823</v>
      </c>
      <c r="G217" s="7">
        <f t="shared" si="25"/>
        <v>197191409.55975813</v>
      </c>
      <c r="H217" s="7">
        <f t="shared" ref="H217:H227" si="27">E217-E216</f>
        <v>0</v>
      </c>
    </row>
    <row r="218" spans="1:8" ht="13">
      <c r="A218" s="505">
        <f t="shared" si="26"/>
        <v>122</v>
      </c>
      <c r="C218" s="492" t="s">
        <v>195</v>
      </c>
      <c r="D218" s="609">
        <v>2020</v>
      </c>
      <c r="E218" s="977">
        <v>235653780.98999995</v>
      </c>
      <c r="F218" s="977">
        <v>38959122.130844161</v>
      </c>
      <c r="G218" s="7">
        <f t="shared" si="25"/>
        <v>196694658.85915577</v>
      </c>
      <c r="H218" s="7">
        <f t="shared" si="27"/>
        <v>0</v>
      </c>
    </row>
    <row r="219" spans="1:8" ht="13">
      <c r="A219" s="505">
        <f t="shared" si="26"/>
        <v>123</v>
      </c>
      <c r="C219" s="494" t="s">
        <v>183</v>
      </c>
      <c r="D219" s="609">
        <v>2020</v>
      </c>
      <c r="E219" s="977">
        <v>235653780.98999995</v>
      </c>
      <c r="F219" s="977">
        <v>39455872.831446491</v>
      </c>
      <c r="G219" s="7">
        <f t="shared" si="25"/>
        <v>196197908.15855345</v>
      </c>
      <c r="H219" s="7">
        <f t="shared" si="27"/>
        <v>0</v>
      </c>
    </row>
    <row r="220" spans="1:8" ht="13">
      <c r="A220" s="505">
        <f t="shared" si="26"/>
        <v>124</v>
      </c>
      <c r="C220" s="492" t="s">
        <v>184</v>
      </c>
      <c r="D220" s="609">
        <v>2020</v>
      </c>
      <c r="E220" s="977">
        <v>235653780.98999995</v>
      </c>
      <c r="F220" s="977">
        <v>39952623.532048829</v>
      </c>
      <c r="G220" s="7">
        <f t="shared" si="25"/>
        <v>195701157.45795113</v>
      </c>
      <c r="H220" s="7">
        <f t="shared" si="27"/>
        <v>0</v>
      </c>
    </row>
    <row r="221" spans="1:8" ht="13">
      <c r="A221" s="505">
        <f t="shared" si="26"/>
        <v>125</v>
      </c>
      <c r="C221" s="492" t="s">
        <v>185</v>
      </c>
      <c r="D221" s="609">
        <v>2020</v>
      </c>
      <c r="E221" s="977">
        <v>235653780.98999995</v>
      </c>
      <c r="F221" s="977">
        <v>40449374.232651159</v>
      </c>
      <c r="G221" s="7">
        <f t="shared" si="25"/>
        <v>195204406.75734878</v>
      </c>
      <c r="H221" s="7">
        <f t="shared" si="27"/>
        <v>0</v>
      </c>
    </row>
    <row r="222" spans="1:8" ht="13">
      <c r="A222" s="505">
        <f t="shared" si="26"/>
        <v>126</v>
      </c>
      <c r="C222" s="494" t="s">
        <v>186</v>
      </c>
      <c r="D222" s="609">
        <v>2020</v>
      </c>
      <c r="E222" s="977">
        <v>235653780.98999995</v>
      </c>
      <c r="F222" s="977">
        <v>40946124.933253504</v>
      </c>
      <c r="G222" s="7">
        <f t="shared" si="25"/>
        <v>194707656.05674645</v>
      </c>
      <c r="H222" s="7">
        <f t="shared" si="27"/>
        <v>0</v>
      </c>
    </row>
    <row r="223" spans="1:8" ht="13">
      <c r="A223" s="505">
        <f t="shared" si="26"/>
        <v>127</v>
      </c>
      <c r="C223" s="492" t="s">
        <v>187</v>
      </c>
      <c r="D223" s="609">
        <v>2020</v>
      </c>
      <c r="E223" s="977">
        <v>235653780.98999995</v>
      </c>
      <c r="F223" s="977">
        <v>41442875.633855835</v>
      </c>
      <c r="G223" s="7">
        <f t="shared" si="25"/>
        <v>194210905.35614413</v>
      </c>
      <c r="H223" s="7">
        <f t="shared" si="27"/>
        <v>0</v>
      </c>
    </row>
    <row r="224" spans="1:8" ht="13">
      <c r="A224" s="505">
        <f t="shared" si="26"/>
        <v>128</v>
      </c>
      <c r="C224" s="492" t="s">
        <v>188</v>
      </c>
      <c r="D224" s="609">
        <v>2020</v>
      </c>
      <c r="E224" s="977">
        <v>235653780.98999995</v>
      </c>
      <c r="F224" s="977">
        <v>41939626.334458172</v>
      </c>
      <c r="G224" s="7">
        <f t="shared" si="25"/>
        <v>193714154.65554178</v>
      </c>
      <c r="H224" s="7">
        <f t="shared" si="27"/>
        <v>0</v>
      </c>
    </row>
    <row r="225" spans="1:8" ht="13">
      <c r="A225" s="505">
        <f t="shared" si="26"/>
        <v>129</v>
      </c>
      <c r="C225" s="494" t="s">
        <v>189</v>
      </c>
      <c r="D225" s="609">
        <v>2020</v>
      </c>
      <c r="E225" s="977">
        <v>235653780.98999995</v>
      </c>
      <c r="F225" s="977">
        <v>42436377.035060503</v>
      </c>
      <c r="G225" s="7">
        <f t="shared" si="25"/>
        <v>193217403.95493945</v>
      </c>
      <c r="H225" s="7">
        <f t="shared" si="27"/>
        <v>0</v>
      </c>
    </row>
    <row r="226" spans="1:8" ht="13">
      <c r="A226" s="505">
        <f t="shared" si="26"/>
        <v>130</v>
      </c>
      <c r="C226" s="494" t="s">
        <v>190</v>
      </c>
      <c r="D226" s="609">
        <v>2020</v>
      </c>
      <c r="E226" s="977">
        <v>235653780.98999995</v>
      </c>
      <c r="F226" s="977">
        <v>42933127.73566284</v>
      </c>
      <c r="G226" s="7">
        <f t="shared" si="25"/>
        <v>192720653.2543371</v>
      </c>
      <c r="H226" s="7">
        <f t="shared" si="27"/>
        <v>0</v>
      </c>
    </row>
    <row r="227" spans="1:8" ht="13">
      <c r="A227" s="505">
        <f t="shared" si="26"/>
        <v>131</v>
      </c>
      <c r="C227" s="494" t="s">
        <v>180</v>
      </c>
      <c r="D227" s="609">
        <v>2020</v>
      </c>
      <c r="E227" s="977">
        <v>235653780.98999995</v>
      </c>
      <c r="F227" s="977">
        <v>43429878.436265171</v>
      </c>
      <c r="G227" s="7">
        <f t="shared" si="25"/>
        <v>192223902.55373478</v>
      </c>
      <c r="H227" s="7">
        <f t="shared" si="27"/>
        <v>0</v>
      </c>
    </row>
    <row r="229" spans="1:8" ht="13">
      <c r="C229" s="614" t="s">
        <v>2464</v>
      </c>
      <c r="H229" s="84" t="s">
        <v>344</v>
      </c>
    </row>
    <row r="230" spans="1:8" ht="13">
      <c r="E230" s="84" t="s">
        <v>358</v>
      </c>
      <c r="F230" s="84" t="s">
        <v>342</v>
      </c>
      <c r="G230" s="351" t="s">
        <v>343</v>
      </c>
      <c r="H230" s="525" t="s">
        <v>1644</v>
      </c>
    </row>
    <row r="231" spans="1:8" ht="13">
      <c r="C231" s="505" t="s">
        <v>528</v>
      </c>
      <c r="G231" s="525" t="s">
        <v>1643</v>
      </c>
      <c r="H231" s="1142" t="s">
        <v>1645</v>
      </c>
    </row>
    <row r="232" spans="1:8" ht="13">
      <c r="C232" s="505" t="s">
        <v>193</v>
      </c>
      <c r="E232" s="505" t="s">
        <v>371</v>
      </c>
      <c r="F232" s="505" t="s">
        <v>1540</v>
      </c>
      <c r="G232" s="505" t="s">
        <v>992</v>
      </c>
      <c r="H232" s="505" t="s">
        <v>1116</v>
      </c>
    </row>
    <row r="233" spans="1:8" ht="13">
      <c r="C233" s="25" t="s">
        <v>192</v>
      </c>
      <c r="D233" s="25" t="s">
        <v>193</v>
      </c>
      <c r="E233" s="3" t="s">
        <v>1541</v>
      </c>
      <c r="F233" s="3" t="s">
        <v>1080</v>
      </c>
      <c r="G233" s="3" t="s">
        <v>3</v>
      </c>
      <c r="H233" s="3" t="s">
        <v>1536</v>
      </c>
    </row>
    <row r="234" spans="1:8" ht="13">
      <c r="A234" s="505">
        <f>A227+1</f>
        <v>132</v>
      </c>
      <c r="C234" s="494" t="s">
        <v>180</v>
      </c>
      <c r="D234" s="1047">
        <v>2019</v>
      </c>
      <c r="E234" s="977">
        <v>87605814.650000021</v>
      </c>
      <c r="F234" s="977">
        <v>9268940</v>
      </c>
      <c r="G234" s="7">
        <f t="shared" ref="G234:G246" si="28">E234-F234</f>
        <v>78336874.650000021</v>
      </c>
      <c r="H234" s="7">
        <f>E234-E234</f>
        <v>0</v>
      </c>
    </row>
    <row r="235" spans="1:8" ht="13">
      <c r="A235" s="505">
        <f>A234+1</f>
        <v>133</v>
      </c>
      <c r="C235" s="494" t="s">
        <v>181</v>
      </c>
      <c r="D235" s="609">
        <v>2020</v>
      </c>
      <c r="E235" s="977">
        <v>87603872.570000023</v>
      </c>
      <c r="F235" s="977">
        <v>9406117.0946957525</v>
      </c>
      <c r="G235" s="7">
        <f t="shared" si="28"/>
        <v>78197755.475304276</v>
      </c>
      <c r="H235" s="7">
        <f>E235-E234</f>
        <v>-1942.0799999982119</v>
      </c>
    </row>
    <row r="236" spans="1:8" ht="13">
      <c r="A236" s="505">
        <f t="shared" ref="A236:A246" si="29">A235+1</f>
        <v>134</v>
      </c>
      <c r="C236" s="492" t="s">
        <v>182</v>
      </c>
      <c r="D236" s="609">
        <v>2020</v>
      </c>
      <c r="E236" s="977">
        <v>87603872.570000023</v>
      </c>
      <c r="F236" s="977">
        <v>9586535.8468640018</v>
      </c>
      <c r="G236" s="7">
        <f t="shared" si="28"/>
        <v>78017336.723136023</v>
      </c>
      <c r="H236" s="7">
        <f t="shared" ref="H236:H246" si="30">E236-E235</f>
        <v>0</v>
      </c>
    </row>
    <row r="237" spans="1:8" ht="13">
      <c r="A237" s="505">
        <f t="shared" si="29"/>
        <v>135</v>
      </c>
      <c r="C237" s="492" t="s">
        <v>195</v>
      </c>
      <c r="D237" s="609">
        <v>2020</v>
      </c>
      <c r="E237" s="977">
        <v>87603872.570000023</v>
      </c>
      <c r="F237" s="977">
        <v>9767006.9916355833</v>
      </c>
      <c r="G237" s="7">
        <f t="shared" si="28"/>
        <v>77836865.578364432</v>
      </c>
      <c r="H237" s="7">
        <f t="shared" si="30"/>
        <v>0</v>
      </c>
    </row>
    <row r="238" spans="1:8" ht="13">
      <c r="A238" s="505">
        <f t="shared" si="29"/>
        <v>136</v>
      </c>
      <c r="C238" s="494" t="s">
        <v>183</v>
      </c>
      <c r="D238" s="609">
        <v>2020</v>
      </c>
      <c r="E238" s="977">
        <v>87603872.570000023</v>
      </c>
      <c r="F238" s="977">
        <v>9947478.1364071667</v>
      </c>
      <c r="G238" s="7">
        <f t="shared" si="28"/>
        <v>77656394.433592856</v>
      </c>
      <c r="H238" s="7">
        <f t="shared" si="30"/>
        <v>0</v>
      </c>
    </row>
    <row r="239" spans="1:8" ht="13">
      <c r="A239" s="505">
        <f t="shared" si="29"/>
        <v>137</v>
      </c>
      <c r="C239" s="492" t="s">
        <v>184</v>
      </c>
      <c r="D239" s="609">
        <v>2020</v>
      </c>
      <c r="E239" s="977">
        <v>87603872.570000023</v>
      </c>
      <c r="F239" s="977">
        <v>10127949.28117875</v>
      </c>
      <c r="G239" s="7">
        <f t="shared" si="28"/>
        <v>77475923.28882128</v>
      </c>
      <c r="H239" s="7">
        <f t="shared" si="30"/>
        <v>0</v>
      </c>
    </row>
    <row r="240" spans="1:8" ht="13">
      <c r="A240" s="505">
        <f t="shared" si="29"/>
        <v>138</v>
      </c>
      <c r="C240" s="492" t="s">
        <v>185</v>
      </c>
      <c r="D240" s="609">
        <v>2020</v>
      </c>
      <c r="E240" s="977">
        <v>87604169.900000021</v>
      </c>
      <c r="F240" s="977">
        <v>10308420.425950333</v>
      </c>
      <c r="G240" s="7">
        <f t="shared" si="28"/>
        <v>77295749.474049687</v>
      </c>
      <c r="H240" s="7">
        <f t="shared" si="30"/>
        <v>297.32999999821186</v>
      </c>
    </row>
    <row r="241" spans="1:8" ht="13">
      <c r="A241" s="505">
        <f t="shared" si="29"/>
        <v>139</v>
      </c>
      <c r="C241" s="494" t="s">
        <v>186</v>
      </c>
      <c r="D241" s="609">
        <v>2020</v>
      </c>
      <c r="E241" s="977">
        <v>87604169.900000021</v>
      </c>
      <c r="F241" s="977">
        <v>10488892.186552834</v>
      </c>
      <c r="G241" s="7">
        <f t="shared" si="28"/>
        <v>77115277.713447183</v>
      </c>
      <c r="H241" s="7">
        <f t="shared" si="30"/>
        <v>0</v>
      </c>
    </row>
    <row r="242" spans="1:8" ht="13">
      <c r="A242" s="505">
        <f t="shared" si="29"/>
        <v>140</v>
      </c>
      <c r="C242" s="492" t="s">
        <v>187</v>
      </c>
      <c r="D242" s="609">
        <v>2020</v>
      </c>
      <c r="E242" s="977">
        <v>87604169.900000021</v>
      </c>
      <c r="F242" s="977">
        <v>10669363.945331167</v>
      </c>
      <c r="G242" s="7">
        <f t="shared" si="28"/>
        <v>76934805.95466885</v>
      </c>
      <c r="H242" s="7">
        <f t="shared" si="30"/>
        <v>0</v>
      </c>
    </row>
    <row r="243" spans="1:8" ht="13">
      <c r="A243" s="505">
        <f t="shared" si="29"/>
        <v>141</v>
      </c>
      <c r="C243" s="492" t="s">
        <v>188</v>
      </c>
      <c r="D243" s="609">
        <v>2020</v>
      </c>
      <c r="E243" s="977">
        <v>87604169.900000021</v>
      </c>
      <c r="F243" s="977">
        <v>10849835.704109501</v>
      </c>
      <c r="G243" s="7">
        <f t="shared" si="28"/>
        <v>76754334.195890516</v>
      </c>
      <c r="H243" s="7">
        <f t="shared" si="30"/>
        <v>0</v>
      </c>
    </row>
    <row r="244" spans="1:8" ht="13">
      <c r="A244" s="505">
        <f t="shared" si="29"/>
        <v>142</v>
      </c>
      <c r="C244" s="494" t="s">
        <v>189</v>
      </c>
      <c r="D244" s="609">
        <v>2020</v>
      </c>
      <c r="E244" s="977">
        <v>87604169.900000021</v>
      </c>
      <c r="F244" s="977">
        <v>11030307.462887835</v>
      </c>
      <c r="G244" s="7">
        <f t="shared" si="28"/>
        <v>76573862.437112182</v>
      </c>
      <c r="H244" s="7">
        <f t="shared" si="30"/>
        <v>0</v>
      </c>
    </row>
    <row r="245" spans="1:8" ht="13">
      <c r="A245" s="505">
        <f t="shared" si="29"/>
        <v>143</v>
      </c>
      <c r="C245" s="494" t="s">
        <v>190</v>
      </c>
      <c r="D245" s="609">
        <v>2020</v>
      </c>
      <c r="E245" s="977">
        <v>87604169.900000021</v>
      </c>
      <c r="F245" s="977">
        <v>11210779.221666168</v>
      </c>
      <c r="G245" s="7">
        <f t="shared" si="28"/>
        <v>76393390.678333849</v>
      </c>
      <c r="H245" s="7">
        <f t="shared" si="30"/>
        <v>0</v>
      </c>
    </row>
    <row r="246" spans="1:8" ht="13">
      <c r="A246" s="505">
        <f t="shared" si="29"/>
        <v>144</v>
      </c>
      <c r="C246" s="494" t="s">
        <v>180</v>
      </c>
      <c r="D246" s="609">
        <v>2020</v>
      </c>
      <c r="E246" s="977">
        <v>87604169.900000021</v>
      </c>
      <c r="F246" s="977">
        <v>11391250.980444502</v>
      </c>
      <c r="G246" s="7">
        <f t="shared" si="28"/>
        <v>76212918.919555515</v>
      </c>
      <c r="H246" s="7">
        <f t="shared" si="30"/>
        <v>0</v>
      </c>
    </row>
    <row r="248" spans="1:8" ht="13">
      <c r="C248" s="188" t="s">
        <v>1578</v>
      </c>
      <c r="H248" s="84" t="s">
        <v>344</v>
      </c>
    </row>
    <row r="249" spans="1:8" ht="13">
      <c r="E249" s="84" t="s">
        <v>358</v>
      </c>
      <c r="F249" s="84" t="s">
        <v>342</v>
      </c>
      <c r="G249" s="351" t="s">
        <v>343</v>
      </c>
      <c r="H249" s="525" t="s">
        <v>1644</v>
      </c>
    </row>
    <row r="250" spans="1:8" ht="13">
      <c r="C250" s="505" t="s">
        <v>528</v>
      </c>
      <c r="G250" s="525" t="s">
        <v>1643</v>
      </c>
      <c r="H250" s="1142" t="s">
        <v>1645</v>
      </c>
    </row>
    <row r="251" spans="1:8" ht="13">
      <c r="C251" s="505" t="s">
        <v>193</v>
      </c>
      <c r="E251" s="505" t="s">
        <v>371</v>
      </c>
      <c r="F251" s="505" t="s">
        <v>1540</v>
      </c>
      <c r="G251" s="505" t="s">
        <v>992</v>
      </c>
      <c r="H251" s="505" t="s">
        <v>1116</v>
      </c>
    </row>
    <row r="252" spans="1:8" ht="13">
      <c r="C252" s="25" t="s">
        <v>192</v>
      </c>
      <c r="D252" s="25" t="s">
        <v>193</v>
      </c>
      <c r="E252" s="3" t="s">
        <v>1541</v>
      </c>
      <c r="F252" s="3" t="s">
        <v>1080</v>
      </c>
      <c r="G252" s="3" t="s">
        <v>3</v>
      </c>
      <c r="H252" s="3" t="s">
        <v>1536</v>
      </c>
    </row>
    <row r="253" spans="1:8" ht="13">
      <c r="A253" s="505">
        <f>A246+1</f>
        <v>145</v>
      </c>
      <c r="C253" s="494" t="s">
        <v>180</v>
      </c>
      <c r="D253" s="1047">
        <v>2019</v>
      </c>
      <c r="E253" s="977">
        <v>71454672.110000044</v>
      </c>
      <c r="F253" s="977">
        <v>11351117</v>
      </c>
      <c r="G253" s="7">
        <f t="shared" ref="G253:G265" si="31">E253-F253</f>
        <v>60103555.110000044</v>
      </c>
      <c r="H253" s="7">
        <f>E253-E253</f>
        <v>0</v>
      </c>
    </row>
    <row r="254" spans="1:8" ht="13">
      <c r="A254" s="505">
        <f>A253+1</f>
        <v>146</v>
      </c>
      <c r="C254" s="494" t="s">
        <v>181</v>
      </c>
      <c r="D254" s="609">
        <v>2020</v>
      </c>
      <c r="E254" s="977">
        <v>71454672.110000044</v>
      </c>
      <c r="F254" s="977">
        <v>11471775.747300586</v>
      </c>
      <c r="G254" s="7">
        <f t="shared" si="31"/>
        <v>59982896.362699457</v>
      </c>
      <c r="H254" s="7">
        <f>E254-E253</f>
        <v>0</v>
      </c>
    </row>
    <row r="255" spans="1:8" ht="13">
      <c r="A255" s="505">
        <f t="shared" ref="A255:A265" si="32">A254+1</f>
        <v>147</v>
      </c>
      <c r="C255" s="492" t="s">
        <v>182</v>
      </c>
      <c r="D255" s="609">
        <v>2020</v>
      </c>
      <c r="E255" s="977">
        <v>71454672.110000044</v>
      </c>
      <c r="F255" s="977">
        <v>11619843.920764502</v>
      </c>
      <c r="G255" s="7">
        <f t="shared" si="31"/>
        <v>59834828.189235538</v>
      </c>
      <c r="H255" s="7">
        <f t="shared" ref="H255:H265" si="33">E255-E254</f>
        <v>0</v>
      </c>
    </row>
    <row r="256" spans="1:8" ht="13">
      <c r="A256" s="505">
        <f t="shared" si="32"/>
        <v>148</v>
      </c>
      <c r="C256" s="492" t="s">
        <v>195</v>
      </c>
      <c r="D256" s="609">
        <v>2020</v>
      </c>
      <c r="E256" s="977">
        <v>71454672.110000044</v>
      </c>
      <c r="F256" s="977">
        <v>11767912.094228419</v>
      </c>
      <c r="G256" s="7">
        <f t="shared" si="31"/>
        <v>59686760.015771627</v>
      </c>
      <c r="H256" s="7">
        <f t="shared" si="33"/>
        <v>0</v>
      </c>
    </row>
    <row r="257" spans="1:8" ht="13">
      <c r="A257" s="505">
        <f t="shared" si="32"/>
        <v>149</v>
      </c>
      <c r="C257" s="494" t="s">
        <v>183</v>
      </c>
      <c r="D257" s="609">
        <v>2020</v>
      </c>
      <c r="E257" s="977">
        <v>71454672.110000044</v>
      </c>
      <c r="F257" s="977">
        <v>11915980.267692335</v>
      </c>
      <c r="G257" s="7">
        <f t="shared" si="31"/>
        <v>59538691.842307709</v>
      </c>
      <c r="H257" s="7">
        <f t="shared" si="33"/>
        <v>0</v>
      </c>
    </row>
    <row r="258" spans="1:8" ht="13">
      <c r="A258" s="505">
        <f t="shared" si="32"/>
        <v>150</v>
      </c>
      <c r="C258" s="492" t="s">
        <v>184</v>
      </c>
      <c r="D258" s="609">
        <v>2020</v>
      </c>
      <c r="E258" s="977">
        <v>71454672.110000044</v>
      </c>
      <c r="F258" s="977">
        <v>12064048.441156253</v>
      </c>
      <c r="G258" s="7">
        <f t="shared" si="31"/>
        <v>59390623.668843791</v>
      </c>
      <c r="H258" s="7">
        <f t="shared" si="33"/>
        <v>0</v>
      </c>
    </row>
    <row r="259" spans="1:8" ht="13">
      <c r="A259" s="505">
        <f t="shared" si="32"/>
        <v>151</v>
      </c>
      <c r="C259" s="492" t="s">
        <v>185</v>
      </c>
      <c r="D259" s="609">
        <v>2020</v>
      </c>
      <c r="E259" s="977">
        <v>71454672.110000044</v>
      </c>
      <c r="F259" s="977">
        <v>12212116.614620168</v>
      </c>
      <c r="G259" s="7">
        <f t="shared" si="31"/>
        <v>59242555.49537988</v>
      </c>
      <c r="H259" s="7">
        <f t="shared" si="33"/>
        <v>0</v>
      </c>
    </row>
    <row r="260" spans="1:8" ht="13">
      <c r="A260" s="505">
        <f t="shared" si="32"/>
        <v>152</v>
      </c>
      <c r="C260" s="494" t="s">
        <v>186</v>
      </c>
      <c r="D260" s="609">
        <v>2020</v>
      </c>
      <c r="E260" s="977">
        <v>71454672.110000044</v>
      </c>
      <c r="F260" s="977">
        <v>12360184.788084084</v>
      </c>
      <c r="G260" s="7">
        <f t="shared" si="31"/>
        <v>59094487.321915962</v>
      </c>
      <c r="H260" s="7">
        <f t="shared" si="33"/>
        <v>0</v>
      </c>
    </row>
    <row r="261" spans="1:8" ht="13">
      <c r="A261" s="505">
        <f t="shared" si="32"/>
        <v>153</v>
      </c>
      <c r="C261" s="492" t="s">
        <v>187</v>
      </c>
      <c r="D261" s="609">
        <v>2020</v>
      </c>
      <c r="E261" s="977">
        <v>71454672.110000044</v>
      </c>
      <c r="F261" s="977">
        <v>12508252.961548001</v>
      </c>
      <c r="G261" s="7">
        <f t="shared" si="31"/>
        <v>58946419.148452044</v>
      </c>
      <c r="H261" s="7">
        <f t="shared" si="33"/>
        <v>0</v>
      </c>
    </row>
    <row r="262" spans="1:8" ht="13">
      <c r="A262" s="505">
        <f t="shared" si="32"/>
        <v>154</v>
      </c>
      <c r="C262" s="492" t="s">
        <v>188</v>
      </c>
      <c r="D262" s="609">
        <v>2020</v>
      </c>
      <c r="E262" s="977">
        <v>71454672.110000044</v>
      </c>
      <c r="F262" s="977">
        <v>12656321.135011917</v>
      </c>
      <c r="G262" s="7">
        <f t="shared" si="31"/>
        <v>58798350.974988125</v>
      </c>
      <c r="H262" s="7">
        <f t="shared" si="33"/>
        <v>0</v>
      </c>
    </row>
    <row r="263" spans="1:8" ht="13">
      <c r="A263" s="505">
        <f t="shared" si="32"/>
        <v>155</v>
      </c>
      <c r="C263" s="494" t="s">
        <v>189</v>
      </c>
      <c r="D263" s="609">
        <v>2020</v>
      </c>
      <c r="E263" s="977">
        <v>71454672.110000044</v>
      </c>
      <c r="F263" s="977">
        <v>12804389.308475833</v>
      </c>
      <c r="G263" s="7">
        <f t="shared" si="31"/>
        <v>58650282.801524207</v>
      </c>
      <c r="H263" s="7">
        <f t="shared" si="33"/>
        <v>0</v>
      </c>
    </row>
    <row r="264" spans="1:8" ht="13">
      <c r="A264" s="505">
        <f t="shared" si="32"/>
        <v>156</v>
      </c>
      <c r="C264" s="494" t="s">
        <v>190</v>
      </c>
      <c r="D264" s="609">
        <v>2020</v>
      </c>
      <c r="E264" s="977">
        <v>71454672.110000044</v>
      </c>
      <c r="F264" s="977">
        <v>12952457.48193975</v>
      </c>
      <c r="G264" s="7">
        <f t="shared" si="31"/>
        <v>58502214.628060296</v>
      </c>
      <c r="H264" s="7">
        <f t="shared" si="33"/>
        <v>0</v>
      </c>
    </row>
    <row r="265" spans="1:8" ht="13">
      <c r="A265" s="505">
        <f t="shared" si="32"/>
        <v>157</v>
      </c>
      <c r="C265" s="494" t="s">
        <v>180</v>
      </c>
      <c r="D265" s="609">
        <v>2020</v>
      </c>
      <c r="E265" s="977">
        <v>71454672.110000044</v>
      </c>
      <c r="F265" s="977">
        <v>13100525.655403666</v>
      </c>
      <c r="G265" s="7">
        <f t="shared" si="31"/>
        <v>58354146.454596378</v>
      </c>
      <c r="H265" s="7">
        <f t="shared" si="33"/>
        <v>0</v>
      </c>
    </row>
    <row r="267" spans="1:8" ht="13">
      <c r="C267" s="1347" t="s">
        <v>2559</v>
      </c>
      <c r="E267" s="84" t="s">
        <v>358</v>
      </c>
      <c r="F267" s="84" t="s">
        <v>342</v>
      </c>
      <c r="G267" s="84" t="s">
        <v>343</v>
      </c>
      <c r="H267" s="84" t="s">
        <v>344</v>
      </c>
    </row>
    <row r="268" spans="1:8">
      <c r="G268" s="525" t="s">
        <v>1643</v>
      </c>
      <c r="H268" s="525" t="s">
        <v>1644</v>
      </c>
    </row>
    <row r="269" spans="1:8" ht="13">
      <c r="C269" s="505" t="s">
        <v>528</v>
      </c>
      <c r="G269" s="14"/>
      <c r="H269" s="1142" t="s">
        <v>1645</v>
      </c>
    </row>
    <row r="270" spans="1:8" ht="13">
      <c r="C270" s="505" t="s">
        <v>193</v>
      </c>
      <c r="E270" s="505" t="s">
        <v>371</v>
      </c>
      <c r="F270" s="505" t="s">
        <v>1540</v>
      </c>
      <c r="G270" s="505" t="s">
        <v>992</v>
      </c>
      <c r="H270" s="505" t="s">
        <v>1116</v>
      </c>
    </row>
    <row r="271" spans="1:8" ht="13">
      <c r="C271" s="25" t="s">
        <v>192</v>
      </c>
      <c r="D271" s="25" t="s">
        <v>193</v>
      </c>
      <c r="E271" s="3" t="s">
        <v>1541</v>
      </c>
      <c r="F271" s="3" t="s">
        <v>1080</v>
      </c>
      <c r="G271" s="3" t="s">
        <v>3</v>
      </c>
      <c r="H271" s="3" t="s">
        <v>1536</v>
      </c>
    </row>
    <row r="272" spans="1:8" ht="13">
      <c r="A272" s="505">
        <f>A265+1</f>
        <v>158</v>
      </c>
      <c r="C272" s="494" t="s">
        <v>180</v>
      </c>
      <c r="D272" s="1047">
        <v>2019</v>
      </c>
      <c r="E272" s="106">
        <v>153777247.10671204</v>
      </c>
      <c r="F272" s="106">
        <v>297984</v>
      </c>
      <c r="G272" s="7">
        <f t="shared" ref="G272:G284" si="34">E272-F272</f>
        <v>153479263.10671204</v>
      </c>
      <c r="H272" s="7">
        <f>E272-E272</f>
        <v>0</v>
      </c>
    </row>
    <row r="273" spans="1:8" ht="13">
      <c r="A273" s="505">
        <f>A272+1</f>
        <v>159</v>
      </c>
      <c r="C273" s="494" t="s">
        <v>181</v>
      </c>
      <c r="D273" s="609">
        <v>2020</v>
      </c>
      <c r="E273" s="106">
        <v>155579092.06766003</v>
      </c>
      <c r="F273" s="106">
        <v>613556.81032676005</v>
      </c>
      <c r="G273" s="7">
        <f t="shared" si="34"/>
        <v>154965535.25733328</v>
      </c>
      <c r="H273" s="7">
        <f>E273-E272</f>
        <v>1801844.9609479904</v>
      </c>
    </row>
    <row r="274" spans="1:8" ht="13">
      <c r="A274" s="505">
        <f t="shared" ref="A274:A284" si="35">A273+1</f>
        <v>160</v>
      </c>
      <c r="C274" s="492" t="s">
        <v>182</v>
      </c>
      <c r="D274" s="609">
        <v>2020</v>
      </c>
      <c r="E274" s="106">
        <v>157652133.23738801</v>
      </c>
      <c r="F274" s="106">
        <v>936414.4100831002</v>
      </c>
      <c r="G274" s="7">
        <f t="shared" si="34"/>
        <v>156715718.8273049</v>
      </c>
      <c r="H274" s="7">
        <f t="shared" ref="H274:H284" si="36">E274-E273</f>
        <v>2073041.1697279811</v>
      </c>
    </row>
    <row r="275" spans="1:8" ht="13">
      <c r="A275" s="505">
        <f t="shared" si="35"/>
        <v>161</v>
      </c>
      <c r="C275" s="492" t="s">
        <v>195</v>
      </c>
      <c r="D275" s="609">
        <v>2020</v>
      </c>
      <c r="E275" s="106">
        <v>158329864.38803402</v>
      </c>
      <c r="F275" s="106">
        <v>1263772.9832149288</v>
      </c>
      <c r="G275" s="7">
        <f t="shared" si="34"/>
        <v>157066091.4048191</v>
      </c>
      <c r="H275" s="7">
        <f t="shared" si="36"/>
        <v>677731.1506460011</v>
      </c>
    </row>
    <row r="276" spans="1:8" ht="13">
      <c r="A276" s="505">
        <f t="shared" si="35"/>
        <v>162</v>
      </c>
      <c r="C276" s="494" t="s">
        <v>183</v>
      </c>
      <c r="D276" s="609">
        <v>2020</v>
      </c>
      <c r="E276" s="106">
        <v>162423495.72228602</v>
      </c>
      <c r="F276" s="106">
        <v>1592555.3007610042</v>
      </c>
      <c r="G276" s="7">
        <f t="shared" si="34"/>
        <v>160830940.421525</v>
      </c>
      <c r="H276" s="7">
        <f t="shared" si="36"/>
        <v>4093631.3342519999</v>
      </c>
    </row>
    <row r="277" spans="1:8" ht="13">
      <c r="A277" s="505">
        <f t="shared" si="35"/>
        <v>163</v>
      </c>
      <c r="C277" s="492" t="s">
        <v>184</v>
      </c>
      <c r="D277" s="609">
        <v>2020</v>
      </c>
      <c r="E277" s="106">
        <v>163651326.86511803</v>
      </c>
      <c r="F277" s="106">
        <v>1929783.281918763</v>
      </c>
      <c r="G277" s="7">
        <f t="shared" si="34"/>
        <v>161721543.58319926</v>
      </c>
      <c r="H277" s="7">
        <f t="shared" si="36"/>
        <v>1227831.142832011</v>
      </c>
    </row>
    <row r="278" spans="1:8" ht="13">
      <c r="A278" s="505">
        <f t="shared" si="35"/>
        <v>164</v>
      </c>
      <c r="C278" s="492" t="s">
        <v>185</v>
      </c>
      <c r="D278" s="609">
        <v>2020</v>
      </c>
      <c r="E278" s="106">
        <v>178419326.72130603</v>
      </c>
      <c r="F278" s="106">
        <v>2269564.8079785677</v>
      </c>
      <c r="G278" s="7">
        <f t="shared" si="34"/>
        <v>176149761.91332746</v>
      </c>
      <c r="H278" s="7">
        <f t="shared" si="36"/>
        <v>14767999.856187999</v>
      </c>
    </row>
    <row r="279" spans="1:8" ht="13">
      <c r="A279" s="505">
        <f t="shared" si="35"/>
        <v>165</v>
      </c>
      <c r="C279" s="494" t="s">
        <v>186</v>
      </c>
      <c r="D279" s="609">
        <v>2020</v>
      </c>
      <c r="E279" s="106">
        <v>178617702.14255002</v>
      </c>
      <c r="F279" s="106">
        <v>2647170.0066466238</v>
      </c>
      <c r="G279" s="7">
        <f t="shared" si="34"/>
        <v>175970532.13590339</v>
      </c>
      <c r="H279" s="7">
        <f t="shared" si="36"/>
        <v>198375.42124399543</v>
      </c>
    </row>
    <row r="280" spans="1:8" ht="13">
      <c r="A280" s="505">
        <f t="shared" si="35"/>
        <v>166</v>
      </c>
      <c r="C280" s="492" t="s">
        <v>187</v>
      </c>
      <c r="D280" s="609">
        <v>2020</v>
      </c>
      <c r="E280" s="106">
        <v>178836480.01654601</v>
      </c>
      <c r="F280" s="106">
        <v>3025719.0919185113</v>
      </c>
      <c r="G280" s="7">
        <f t="shared" si="34"/>
        <v>175810760.92462751</v>
      </c>
      <c r="H280" s="7">
        <f t="shared" si="36"/>
        <v>218777.87399598956</v>
      </c>
    </row>
    <row r="281" spans="1:8" ht="13">
      <c r="A281" s="505">
        <f t="shared" si="35"/>
        <v>167</v>
      </c>
      <c r="C281" s="492" t="s">
        <v>188</v>
      </c>
      <c r="D281" s="609">
        <v>2020</v>
      </c>
      <c r="E281" s="106">
        <v>178348259.51132798</v>
      </c>
      <c r="F281" s="106">
        <v>3404786.6234229505</v>
      </c>
      <c r="G281" s="7">
        <f t="shared" si="34"/>
        <v>174943472.88790503</v>
      </c>
      <c r="H281" s="7">
        <f t="shared" si="36"/>
        <v>-488220.50521802902</v>
      </c>
    </row>
    <row r="282" spans="1:8" ht="13">
      <c r="A282" s="505">
        <f t="shared" si="35"/>
        <v>168</v>
      </c>
      <c r="C282" s="494" t="s">
        <v>189</v>
      </c>
      <c r="D282" s="609">
        <v>2020</v>
      </c>
      <c r="E282" s="106">
        <v>179419426.60645398</v>
      </c>
      <c r="F282" s="106">
        <v>3782824.1734064687</v>
      </c>
      <c r="G282" s="7">
        <f t="shared" si="34"/>
        <v>175636602.4330475</v>
      </c>
      <c r="H282" s="7">
        <f t="shared" si="36"/>
        <v>1071167.095126003</v>
      </c>
    </row>
    <row r="283" spans="1:8" ht="13">
      <c r="A283" s="505">
        <f t="shared" si="35"/>
        <v>169</v>
      </c>
      <c r="C283" s="494" t="s">
        <v>190</v>
      </c>
      <c r="D283" s="609">
        <v>2020</v>
      </c>
      <c r="E283" s="106">
        <v>179684686.66454798</v>
      </c>
      <c r="F283" s="106">
        <v>4163301.4153846223</v>
      </c>
      <c r="G283" s="7">
        <f t="shared" si="34"/>
        <v>175521385.24916336</v>
      </c>
      <c r="H283" s="7">
        <f t="shared" si="36"/>
        <v>265260.05809399486</v>
      </c>
    </row>
    <row r="284" spans="1:8" ht="13">
      <c r="A284" s="505">
        <f t="shared" si="35"/>
        <v>170</v>
      </c>
      <c r="C284" s="494" t="s">
        <v>180</v>
      </c>
      <c r="D284" s="609">
        <v>2020</v>
      </c>
      <c r="E284" s="106">
        <v>182635413.15351999</v>
      </c>
      <c r="F284" s="106">
        <v>4544457.7863915442</v>
      </c>
      <c r="G284" s="7">
        <f t="shared" si="34"/>
        <v>178090955.36712843</v>
      </c>
      <c r="H284" s="7">
        <f t="shared" si="36"/>
        <v>2950726.4889720082</v>
      </c>
    </row>
    <row r="286" spans="1:8" ht="13">
      <c r="C286" s="614" t="s">
        <v>2560</v>
      </c>
      <c r="E286" s="84" t="s">
        <v>358</v>
      </c>
      <c r="F286" s="84" t="s">
        <v>342</v>
      </c>
      <c r="G286" s="84" t="s">
        <v>343</v>
      </c>
      <c r="H286" s="84" t="s">
        <v>344</v>
      </c>
    </row>
    <row r="287" spans="1:8">
      <c r="G287" s="525" t="s">
        <v>1643</v>
      </c>
      <c r="H287" s="525" t="s">
        <v>1644</v>
      </c>
    </row>
    <row r="288" spans="1:8" ht="13">
      <c r="C288" s="505" t="s">
        <v>528</v>
      </c>
      <c r="G288" s="14"/>
      <c r="H288" s="1142" t="s">
        <v>1645</v>
      </c>
    </row>
    <row r="289" spans="1:8" ht="13">
      <c r="C289" s="505" t="s">
        <v>193</v>
      </c>
      <c r="E289" s="505" t="s">
        <v>371</v>
      </c>
      <c r="F289" s="505" t="s">
        <v>1540</v>
      </c>
      <c r="G289" s="109" t="s">
        <v>992</v>
      </c>
      <c r="H289" s="109" t="s">
        <v>1116</v>
      </c>
    </row>
    <row r="290" spans="1:8" ht="13">
      <c r="C290" s="25" t="s">
        <v>192</v>
      </c>
      <c r="D290" s="25" t="s">
        <v>193</v>
      </c>
      <c r="E290" s="3" t="s">
        <v>1541</v>
      </c>
      <c r="F290" s="3" t="s">
        <v>1080</v>
      </c>
      <c r="G290" s="3" t="s">
        <v>3</v>
      </c>
      <c r="H290" s="3" t="s">
        <v>1536</v>
      </c>
    </row>
    <row r="291" spans="1:8" ht="13">
      <c r="A291" s="505">
        <f>A284+1</f>
        <v>171</v>
      </c>
      <c r="C291" s="494" t="s">
        <v>180</v>
      </c>
      <c r="D291" s="1047">
        <v>2019</v>
      </c>
      <c r="E291" s="106">
        <v>0</v>
      </c>
      <c r="F291" s="106">
        <v>0</v>
      </c>
      <c r="G291" s="7">
        <f t="shared" ref="G291:G303" si="37">E291-F291</f>
        <v>0</v>
      </c>
      <c r="H291" s="7">
        <f>E291-E291</f>
        <v>0</v>
      </c>
    </row>
    <row r="292" spans="1:8" ht="13">
      <c r="A292" s="505">
        <f>A291+1</f>
        <v>172</v>
      </c>
      <c r="C292" s="494" t="s">
        <v>181</v>
      </c>
      <c r="D292" s="609">
        <v>2020</v>
      </c>
      <c r="E292" s="106">
        <v>0</v>
      </c>
      <c r="F292" s="106">
        <v>0</v>
      </c>
      <c r="G292" s="7">
        <f t="shared" si="37"/>
        <v>0</v>
      </c>
      <c r="H292" s="7">
        <f>E292-E291</f>
        <v>0</v>
      </c>
    </row>
    <row r="293" spans="1:8" ht="13">
      <c r="A293" s="505">
        <f t="shared" ref="A293:A303" si="38">A292+1</f>
        <v>173</v>
      </c>
      <c r="C293" s="492" t="s">
        <v>182</v>
      </c>
      <c r="D293" s="609">
        <v>2020</v>
      </c>
      <c r="E293" s="106">
        <v>0</v>
      </c>
      <c r="F293" s="106">
        <v>0</v>
      </c>
      <c r="G293" s="7">
        <f t="shared" si="37"/>
        <v>0</v>
      </c>
      <c r="H293" s="7">
        <f t="shared" ref="H293:H303" si="39">E293-E292</f>
        <v>0</v>
      </c>
    </row>
    <row r="294" spans="1:8" ht="13">
      <c r="A294" s="505">
        <f t="shared" si="38"/>
        <v>174</v>
      </c>
      <c r="C294" s="492" t="s">
        <v>195</v>
      </c>
      <c r="D294" s="609">
        <v>2020</v>
      </c>
      <c r="E294" s="106">
        <v>0</v>
      </c>
      <c r="F294" s="106">
        <v>0</v>
      </c>
      <c r="G294" s="7">
        <f t="shared" si="37"/>
        <v>0</v>
      </c>
      <c r="H294" s="7">
        <f t="shared" si="39"/>
        <v>0</v>
      </c>
    </row>
    <row r="295" spans="1:8" ht="13">
      <c r="A295" s="505">
        <f t="shared" si="38"/>
        <v>175</v>
      </c>
      <c r="C295" s="494" t="s">
        <v>183</v>
      </c>
      <c r="D295" s="609">
        <v>2020</v>
      </c>
      <c r="E295" s="106">
        <v>0</v>
      </c>
      <c r="F295" s="106">
        <v>0</v>
      </c>
      <c r="G295" s="7">
        <f t="shared" si="37"/>
        <v>0</v>
      </c>
      <c r="H295" s="7">
        <f t="shared" si="39"/>
        <v>0</v>
      </c>
    </row>
    <row r="296" spans="1:8" ht="13">
      <c r="A296" s="505">
        <f t="shared" si="38"/>
        <v>176</v>
      </c>
      <c r="C296" s="492" t="s">
        <v>184</v>
      </c>
      <c r="D296" s="609">
        <v>2020</v>
      </c>
      <c r="E296" s="106">
        <v>0</v>
      </c>
      <c r="F296" s="106">
        <v>0</v>
      </c>
      <c r="G296" s="7">
        <f t="shared" si="37"/>
        <v>0</v>
      </c>
      <c r="H296" s="7">
        <f t="shared" si="39"/>
        <v>0</v>
      </c>
    </row>
    <row r="297" spans="1:8" ht="13">
      <c r="A297" s="505">
        <f t="shared" si="38"/>
        <v>177</v>
      </c>
      <c r="C297" s="492" t="s">
        <v>185</v>
      </c>
      <c r="D297" s="609">
        <v>2020</v>
      </c>
      <c r="E297" s="106">
        <v>0</v>
      </c>
      <c r="F297" s="106">
        <v>0</v>
      </c>
      <c r="G297" s="7">
        <f t="shared" si="37"/>
        <v>0</v>
      </c>
      <c r="H297" s="7">
        <f t="shared" si="39"/>
        <v>0</v>
      </c>
    </row>
    <row r="298" spans="1:8" ht="13">
      <c r="A298" s="505">
        <f t="shared" si="38"/>
        <v>178</v>
      </c>
      <c r="C298" s="494" t="s">
        <v>186</v>
      </c>
      <c r="D298" s="609">
        <v>2020</v>
      </c>
      <c r="E298" s="106">
        <v>0</v>
      </c>
      <c r="F298" s="106">
        <v>0</v>
      </c>
      <c r="G298" s="7">
        <f t="shared" si="37"/>
        <v>0</v>
      </c>
      <c r="H298" s="7">
        <f t="shared" si="39"/>
        <v>0</v>
      </c>
    </row>
    <row r="299" spans="1:8" ht="13">
      <c r="A299" s="505">
        <f t="shared" si="38"/>
        <v>179</v>
      </c>
      <c r="C299" s="492" t="s">
        <v>187</v>
      </c>
      <c r="D299" s="609">
        <v>2020</v>
      </c>
      <c r="E299" s="106">
        <v>0</v>
      </c>
      <c r="F299" s="106">
        <v>0</v>
      </c>
      <c r="G299" s="7">
        <f t="shared" si="37"/>
        <v>0</v>
      </c>
      <c r="H299" s="7">
        <f t="shared" si="39"/>
        <v>0</v>
      </c>
    </row>
    <row r="300" spans="1:8" ht="13">
      <c r="A300" s="505">
        <f t="shared" si="38"/>
        <v>180</v>
      </c>
      <c r="C300" s="492" t="s">
        <v>188</v>
      </c>
      <c r="D300" s="609">
        <v>2020</v>
      </c>
      <c r="E300" s="106">
        <v>0</v>
      </c>
      <c r="F300" s="106">
        <v>0</v>
      </c>
      <c r="G300" s="7">
        <f t="shared" si="37"/>
        <v>0</v>
      </c>
      <c r="H300" s="7">
        <f t="shared" si="39"/>
        <v>0</v>
      </c>
    </row>
    <row r="301" spans="1:8" ht="13">
      <c r="A301" s="505">
        <f t="shared" si="38"/>
        <v>181</v>
      </c>
      <c r="C301" s="494" t="s">
        <v>189</v>
      </c>
      <c r="D301" s="609">
        <v>2020</v>
      </c>
      <c r="E301" s="106">
        <v>0</v>
      </c>
      <c r="F301" s="106">
        <v>0</v>
      </c>
      <c r="G301" s="7">
        <f t="shared" si="37"/>
        <v>0</v>
      </c>
      <c r="H301" s="7">
        <f t="shared" si="39"/>
        <v>0</v>
      </c>
    </row>
    <row r="302" spans="1:8" ht="13">
      <c r="A302" s="505">
        <f t="shared" si="38"/>
        <v>182</v>
      </c>
      <c r="C302" s="494" t="s">
        <v>190</v>
      </c>
      <c r="D302" s="609">
        <v>2020</v>
      </c>
      <c r="E302" s="106">
        <v>0</v>
      </c>
      <c r="F302" s="106">
        <v>0</v>
      </c>
      <c r="G302" s="7">
        <f t="shared" si="37"/>
        <v>0</v>
      </c>
      <c r="H302" s="7">
        <f t="shared" si="39"/>
        <v>0</v>
      </c>
    </row>
    <row r="303" spans="1:8" ht="13">
      <c r="A303" s="505">
        <f t="shared" si="38"/>
        <v>183</v>
      </c>
      <c r="C303" s="494" t="s">
        <v>180</v>
      </c>
      <c r="D303" s="609">
        <v>2020</v>
      </c>
      <c r="E303" s="106">
        <v>0</v>
      </c>
      <c r="F303" s="106">
        <v>0</v>
      </c>
      <c r="G303" s="7">
        <f t="shared" si="37"/>
        <v>0</v>
      </c>
      <c r="H303" s="7">
        <f t="shared" si="39"/>
        <v>0</v>
      </c>
    </row>
    <row r="305" spans="1:8" ht="13">
      <c r="A305" s="955"/>
      <c r="B305" s="955"/>
      <c r="C305" s="614" t="s">
        <v>2465</v>
      </c>
      <c r="D305" s="955"/>
      <c r="E305" s="84" t="s">
        <v>358</v>
      </c>
      <c r="F305" s="84" t="s">
        <v>342</v>
      </c>
      <c r="G305" s="84" t="s">
        <v>343</v>
      </c>
      <c r="H305" s="84" t="s">
        <v>344</v>
      </c>
    </row>
    <row r="306" spans="1:8">
      <c r="A306" s="955"/>
      <c r="B306" s="955"/>
      <c r="C306" s="955"/>
      <c r="D306" s="955"/>
      <c r="E306" s="955"/>
      <c r="F306" s="955"/>
      <c r="G306" s="525" t="s">
        <v>1643</v>
      </c>
      <c r="H306" s="525" t="s">
        <v>1644</v>
      </c>
    </row>
    <row r="307" spans="1:8" ht="13">
      <c r="A307" s="955"/>
      <c r="B307" s="955"/>
      <c r="C307" s="549" t="s">
        <v>528</v>
      </c>
      <c r="D307" s="955"/>
      <c r="E307" s="955"/>
      <c r="F307" s="955"/>
      <c r="G307" s="14"/>
      <c r="H307" s="1142" t="s">
        <v>1645</v>
      </c>
    </row>
    <row r="308" spans="1:8" ht="13">
      <c r="A308" s="955"/>
      <c r="B308" s="955"/>
      <c r="C308" s="549" t="s">
        <v>193</v>
      </c>
      <c r="D308" s="955"/>
      <c r="E308" s="549" t="s">
        <v>371</v>
      </c>
      <c r="F308" s="549" t="s">
        <v>1540</v>
      </c>
      <c r="G308" s="549" t="s">
        <v>992</v>
      </c>
      <c r="H308" s="549" t="s">
        <v>1116</v>
      </c>
    </row>
    <row r="309" spans="1:8" ht="13">
      <c r="A309" s="955"/>
      <c r="B309" s="955"/>
      <c r="C309" s="25" t="s">
        <v>192</v>
      </c>
      <c r="D309" s="25" t="s">
        <v>193</v>
      </c>
      <c r="E309" s="3" t="s">
        <v>1541</v>
      </c>
      <c r="F309" s="3" t="s">
        <v>1080</v>
      </c>
      <c r="G309" s="3" t="s">
        <v>3</v>
      </c>
      <c r="H309" s="3" t="s">
        <v>1536</v>
      </c>
    </row>
    <row r="310" spans="1:8" ht="13">
      <c r="A310" s="549">
        <f>A303+1</f>
        <v>184</v>
      </c>
      <c r="B310" s="955"/>
      <c r="C310" s="494" t="s">
        <v>180</v>
      </c>
      <c r="D310" s="1047">
        <v>2019</v>
      </c>
      <c r="E310" s="977">
        <v>0</v>
      </c>
      <c r="F310" s="977">
        <v>0</v>
      </c>
      <c r="G310" s="7">
        <f t="shared" ref="G310:G322" si="40">E310-F310</f>
        <v>0</v>
      </c>
      <c r="H310" s="7">
        <f>E310-E310</f>
        <v>0</v>
      </c>
    </row>
    <row r="311" spans="1:8" ht="13">
      <c r="A311" s="549">
        <f>A310+1</f>
        <v>185</v>
      </c>
      <c r="B311" s="955"/>
      <c r="C311" s="494" t="s">
        <v>181</v>
      </c>
      <c r="D311" s="609">
        <v>2020</v>
      </c>
      <c r="E311" s="977">
        <v>0</v>
      </c>
      <c r="F311" s="977">
        <v>0</v>
      </c>
      <c r="G311" s="7">
        <f t="shared" si="40"/>
        <v>0</v>
      </c>
      <c r="H311" s="7">
        <f>E311-E310</f>
        <v>0</v>
      </c>
    </row>
    <row r="312" spans="1:8" ht="13">
      <c r="A312" s="549">
        <f t="shared" ref="A312:A322" si="41">A311+1</f>
        <v>186</v>
      </c>
      <c r="B312" s="955"/>
      <c r="C312" s="492" t="s">
        <v>182</v>
      </c>
      <c r="D312" s="609">
        <v>2020</v>
      </c>
      <c r="E312" s="977">
        <v>0</v>
      </c>
      <c r="F312" s="977">
        <v>0</v>
      </c>
      <c r="G312" s="7">
        <f t="shared" si="40"/>
        <v>0</v>
      </c>
      <c r="H312" s="7">
        <f t="shared" ref="H312:H322" si="42">E312-E311</f>
        <v>0</v>
      </c>
    </row>
    <row r="313" spans="1:8" ht="13">
      <c r="A313" s="549">
        <f t="shared" si="41"/>
        <v>187</v>
      </c>
      <c r="B313" s="955"/>
      <c r="C313" s="492" t="s">
        <v>195</v>
      </c>
      <c r="D313" s="609">
        <v>2020</v>
      </c>
      <c r="E313" s="977">
        <v>0</v>
      </c>
      <c r="F313" s="977">
        <v>0</v>
      </c>
      <c r="G313" s="7">
        <f t="shared" si="40"/>
        <v>0</v>
      </c>
      <c r="H313" s="7">
        <f t="shared" si="42"/>
        <v>0</v>
      </c>
    </row>
    <row r="314" spans="1:8" ht="13">
      <c r="A314" s="549">
        <f t="shared" si="41"/>
        <v>188</v>
      </c>
      <c r="B314" s="955"/>
      <c r="C314" s="494" t="s">
        <v>183</v>
      </c>
      <c r="D314" s="609">
        <v>2020</v>
      </c>
      <c r="E314" s="977">
        <v>0</v>
      </c>
      <c r="F314" s="977">
        <v>0</v>
      </c>
      <c r="G314" s="7">
        <f t="shared" si="40"/>
        <v>0</v>
      </c>
      <c r="H314" s="7">
        <f t="shared" si="42"/>
        <v>0</v>
      </c>
    </row>
    <row r="315" spans="1:8" ht="13">
      <c r="A315" s="549">
        <f t="shared" si="41"/>
        <v>189</v>
      </c>
      <c r="B315" s="955"/>
      <c r="C315" s="492" t="s">
        <v>184</v>
      </c>
      <c r="D315" s="609">
        <v>2020</v>
      </c>
      <c r="E315" s="977">
        <v>0</v>
      </c>
      <c r="F315" s="977">
        <v>0</v>
      </c>
      <c r="G315" s="7">
        <f t="shared" si="40"/>
        <v>0</v>
      </c>
      <c r="H315" s="7">
        <f t="shared" si="42"/>
        <v>0</v>
      </c>
    </row>
    <row r="316" spans="1:8" ht="13">
      <c r="A316" s="549">
        <f t="shared" si="41"/>
        <v>190</v>
      </c>
      <c r="B316" s="955"/>
      <c r="C316" s="492" t="s">
        <v>185</v>
      </c>
      <c r="D316" s="609">
        <v>2020</v>
      </c>
      <c r="E316" s="977">
        <v>0</v>
      </c>
      <c r="F316" s="977">
        <v>0</v>
      </c>
      <c r="G316" s="7">
        <f t="shared" si="40"/>
        <v>0</v>
      </c>
      <c r="H316" s="7">
        <f t="shared" si="42"/>
        <v>0</v>
      </c>
    </row>
    <row r="317" spans="1:8" ht="13">
      <c r="A317" s="549">
        <f t="shared" si="41"/>
        <v>191</v>
      </c>
      <c r="B317" s="955"/>
      <c r="C317" s="494" t="s">
        <v>186</v>
      </c>
      <c r="D317" s="609">
        <v>2020</v>
      </c>
      <c r="E317" s="977">
        <v>0</v>
      </c>
      <c r="F317" s="977">
        <v>0</v>
      </c>
      <c r="G317" s="7">
        <f t="shared" si="40"/>
        <v>0</v>
      </c>
      <c r="H317" s="7">
        <f t="shared" si="42"/>
        <v>0</v>
      </c>
    </row>
    <row r="318" spans="1:8" ht="13">
      <c r="A318" s="549">
        <f t="shared" si="41"/>
        <v>192</v>
      </c>
      <c r="B318" s="955"/>
      <c r="C318" s="492" t="s">
        <v>187</v>
      </c>
      <c r="D318" s="609">
        <v>2020</v>
      </c>
      <c r="E318" s="977">
        <v>0</v>
      </c>
      <c r="F318" s="977">
        <v>0</v>
      </c>
      <c r="G318" s="7">
        <f t="shared" si="40"/>
        <v>0</v>
      </c>
      <c r="H318" s="7">
        <f t="shared" si="42"/>
        <v>0</v>
      </c>
    </row>
    <row r="319" spans="1:8" ht="13">
      <c r="A319" s="549">
        <f t="shared" si="41"/>
        <v>193</v>
      </c>
      <c r="B319" s="955"/>
      <c r="C319" s="492" t="s">
        <v>188</v>
      </c>
      <c r="D319" s="609">
        <v>2020</v>
      </c>
      <c r="E319" s="977">
        <v>0</v>
      </c>
      <c r="F319" s="977">
        <v>0</v>
      </c>
      <c r="G319" s="7">
        <f t="shared" si="40"/>
        <v>0</v>
      </c>
      <c r="H319" s="7">
        <f t="shared" si="42"/>
        <v>0</v>
      </c>
    </row>
    <row r="320" spans="1:8" ht="13">
      <c r="A320" s="549">
        <f t="shared" si="41"/>
        <v>194</v>
      </c>
      <c r="B320" s="955"/>
      <c r="C320" s="494" t="s">
        <v>189</v>
      </c>
      <c r="D320" s="609">
        <v>2020</v>
      </c>
      <c r="E320" s="977">
        <v>0</v>
      </c>
      <c r="F320" s="977">
        <v>0</v>
      </c>
      <c r="G320" s="7">
        <f t="shared" si="40"/>
        <v>0</v>
      </c>
      <c r="H320" s="7">
        <f t="shared" si="42"/>
        <v>0</v>
      </c>
    </row>
    <row r="321" spans="1:8" ht="13">
      <c r="A321" s="549">
        <f t="shared" si="41"/>
        <v>195</v>
      </c>
      <c r="B321" s="955"/>
      <c r="C321" s="494" t="s">
        <v>190</v>
      </c>
      <c r="D321" s="609">
        <v>2020</v>
      </c>
      <c r="E321" s="977">
        <v>0</v>
      </c>
      <c r="F321" s="977">
        <v>0</v>
      </c>
      <c r="G321" s="7">
        <f t="shared" si="40"/>
        <v>0</v>
      </c>
      <c r="H321" s="7">
        <f t="shared" si="42"/>
        <v>0</v>
      </c>
    </row>
    <row r="322" spans="1:8" ht="13">
      <c r="A322" s="549">
        <f t="shared" si="41"/>
        <v>196</v>
      </c>
      <c r="B322" s="955"/>
      <c r="C322" s="494" t="s">
        <v>180</v>
      </c>
      <c r="D322" s="609">
        <v>2020</v>
      </c>
      <c r="E322" s="977">
        <v>0</v>
      </c>
      <c r="F322" s="977">
        <v>0</v>
      </c>
      <c r="G322" s="7">
        <f t="shared" si="40"/>
        <v>0</v>
      </c>
      <c r="H322" s="7">
        <f t="shared" si="42"/>
        <v>0</v>
      </c>
    </row>
    <row r="323" spans="1:8" s="14" customFormat="1" ht="13">
      <c r="A323" s="109"/>
      <c r="C323" s="1096"/>
      <c r="D323" s="1060"/>
      <c r="E323" s="63"/>
      <c r="F323" s="63"/>
      <c r="G323" s="63"/>
      <c r="H323" s="63"/>
    </row>
    <row r="324" spans="1:8" s="955" customFormat="1" ht="13">
      <c r="A324" s="549"/>
      <c r="C324" s="1448" t="s">
        <v>2737</v>
      </c>
      <c r="D324" s="494"/>
      <c r="E324" s="494"/>
      <c r="F324" s="494"/>
      <c r="G324" s="7"/>
      <c r="H324" s="7"/>
    </row>
    <row r="325" spans="1:8" s="955" customFormat="1" ht="13">
      <c r="C325" s="614"/>
      <c r="E325" s="84" t="s">
        <v>358</v>
      </c>
      <c r="F325" s="84" t="s">
        <v>342</v>
      </c>
      <c r="G325" s="84" t="s">
        <v>343</v>
      </c>
      <c r="H325" s="84" t="s">
        <v>344</v>
      </c>
    </row>
    <row r="326" spans="1:8" s="955" customFormat="1">
      <c r="G326" s="525" t="s">
        <v>1643</v>
      </c>
      <c r="H326" s="525" t="s">
        <v>1644</v>
      </c>
    </row>
    <row r="327" spans="1:8" s="955" customFormat="1" ht="13">
      <c r="C327" s="549" t="s">
        <v>528</v>
      </c>
      <c r="G327" s="14"/>
      <c r="H327" s="1142" t="s">
        <v>1645</v>
      </c>
    </row>
    <row r="328" spans="1:8" s="955" customFormat="1" ht="13">
      <c r="C328" s="549" t="s">
        <v>193</v>
      </c>
      <c r="E328" s="549" t="s">
        <v>371</v>
      </c>
      <c r="F328" s="549" t="s">
        <v>1540</v>
      </c>
      <c r="G328" s="549" t="s">
        <v>992</v>
      </c>
      <c r="H328" s="549" t="s">
        <v>1116</v>
      </c>
    </row>
    <row r="329" spans="1:8" s="955" customFormat="1" ht="13">
      <c r="C329" s="25" t="s">
        <v>192</v>
      </c>
      <c r="D329" s="25" t="s">
        <v>193</v>
      </c>
      <c r="E329" s="3" t="s">
        <v>1541</v>
      </c>
      <c r="F329" s="3" t="s">
        <v>1080</v>
      </c>
      <c r="G329" s="3" t="s">
        <v>3</v>
      </c>
      <c r="H329" s="3" t="s">
        <v>1536</v>
      </c>
    </row>
    <row r="330" spans="1:8" s="955" customFormat="1" ht="13">
      <c r="A330" s="549">
        <f>A322+1</f>
        <v>197</v>
      </c>
      <c r="C330" s="494" t="s">
        <v>180</v>
      </c>
      <c r="D330" s="1047">
        <v>2019</v>
      </c>
      <c r="E330" s="977">
        <v>0</v>
      </c>
      <c r="F330" s="977">
        <v>0</v>
      </c>
      <c r="G330" s="7">
        <f t="shared" ref="G330:G342" si="43">E330-F330</f>
        <v>0</v>
      </c>
      <c r="H330" s="7">
        <f>E330-E330</f>
        <v>0</v>
      </c>
    </row>
    <row r="331" spans="1:8" s="955" customFormat="1" ht="13">
      <c r="A331" s="549">
        <f>A330+1</f>
        <v>198</v>
      </c>
      <c r="C331" s="494" t="s">
        <v>181</v>
      </c>
      <c r="D331" s="609">
        <v>2020</v>
      </c>
      <c r="E331" s="977">
        <v>0</v>
      </c>
      <c r="F331" s="977">
        <v>0</v>
      </c>
      <c r="G331" s="7">
        <f t="shared" si="43"/>
        <v>0</v>
      </c>
      <c r="H331" s="7">
        <f>E331-E330</f>
        <v>0</v>
      </c>
    </row>
    <row r="332" spans="1:8" s="955" customFormat="1" ht="13">
      <c r="A332" s="549">
        <f t="shared" ref="A332:A342" si="44">A331+1</f>
        <v>199</v>
      </c>
      <c r="C332" s="492" t="s">
        <v>182</v>
      </c>
      <c r="D332" s="609">
        <v>2020</v>
      </c>
      <c r="E332" s="977">
        <v>0</v>
      </c>
      <c r="F332" s="977">
        <v>0</v>
      </c>
      <c r="G332" s="7">
        <f t="shared" si="43"/>
        <v>0</v>
      </c>
      <c r="H332" s="7">
        <f t="shared" ref="H332:H342" si="45">E332-E331</f>
        <v>0</v>
      </c>
    </row>
    <row r="333" spans="1:8" s="955" customFormat="1" ht="13">
      <c r="A333" s="549">
        <f t="shared" si="44"/>
        <v>200</v>
      </c>
      <c r="C333" s="492" t="s">
        <v>195</v>
      </c>
      <c r="D333" s="609">
        <v>2020</v>
      </c>
      <c r="E333" s="977">
        <v>0</v>
      </c>
      <c r="F333" s="977">
        <v>0</v>
      </c>
      <c r="G333" s="7">
        <f t="shared" si="43"/>
        <v>0</v>
      </c>
      <c r="H333" s="7">
        <f t="shared" si="45"/>
        <v>0</v>
      </c>
    </row>
    <row r="334" spans="1:8" s="955" customFormat="1" ht="13">
      <c r="A334" s="549">
        <f t="shared" si="44"/>
        <v>201</v>
      </c>
      <c r="C334" s="494" t="s">
        <v>183</v>
      </c>
      <c r="D334" s="609">
        <v>2020</v>
      </c>
      <c r="E334" s="977">
        <v>0</v>
      </c>
      <c r="F334" s="977">
        <v>0</v>
      </c>
      <c r="G334" s="7">
        <f t="shared" si="43"/>
        <v>0</v>
      </c>
      <c r="H334" s="7">
        <f t="shared" si="45"/>
        <v>0</v>
      </c>
    </row>
    <row r="335" spans="1:8" s="955" customFormat="1" ht="13">
      <c r="A335" s="549">
        <f t="shared" si="44"/>
        <v>202</v>
      </c>
      <c r="C335" s="492" t="s">
        <v>184</v>
      </c>
      <c r="D335" s="609">
        <v>2020</v>
      </c>
      <c r="E335" s="977">
        <v>0</v>
      </c>
      <c r="F335" s="977">
        <v>0</v>
      </c>
      <c r="G335" s="7">
        <f t="shared" si="43"/>
        <v>0</v>
      </c>
      <c r="H335" s="7">
        <f t="shared" si="45"/>
        <v>0</v>
      </c>
    </row>
    <row r="336" spans="1:8" s="955" customFormat="1" ht="13">
      <c r="A336" s="549">
        <f t="shared" si="44"/>
        <v>203</v>
      </c>
      <c r="C336" s="492" t="s">
        <v>185</v>
      </c>
      <c r="D336" s="609">
        <v>2020</v>
      </c>
      <c r="E336" s="977">
        <v>0</v>
      </c>
      <c r="F336" s="977">
        <v>0</v>
      </c>
      <c r="G336" s="7">
        <f t="shared" si="43"/>
        <v>0</v>
      </c>
      <c r="H336" s="7">
        <f t="shared" si="45"/>
        <v>0</v>
      </c>
    </row>
    <row r="337" spans="1:8" s="955" customFormat="1" ht="13">
      <c r="A337" s="549">
        <f t="shared" si="44"/>
        <v>204</v>
      </c>
      <c r="C337" s="494" t="s">
        <v>186</v>
      </c>
      <c r="D337" s="609">
        <v>2020</v>
      </c>
      <c r="E337" s="977">
        <v>0</v>
      </c>
      <c r="F337" s="977">
        <v>0</v>
      </c>
      <c r="G337" s="7">
        <f t="shared" si="43"/>
        <v>0</v>
      </c>
      <c r="H337" s="7">
        <f t="shared" si="45"/>
        <v>0</v>
      </c>
    </row>
    <row r="338" spans="1:8" s="955" customFormat="1" ht="13">
      <c r="A338" s="549">
        <f t="shared" si="44"/>
        <v>205</v>
      </c>
      <c r="C338" s="492" t="s">
        <v>187</v>
      </c>
      <c r="D338" s="609">
        <v>2020</v>
      </c>
      <c r="E338" s="977">
        <v>0</v>
      </c>
      <c r="F338" s="977">
        <v>0</v>
      </c>
      <c r="G338" s="7">
        <f t="shared" si="43"/>
        <v>0</v>
      </c>
      <c r="H338" s="7">
        <f t="shared" si="45"/>
        <v>0</v>
      </c>
    </row>
    <row r="339" spans="1:8" s="955" customFormat="1" ht="13">
      <c r="A339" s="549">
        <f t="shared" si="44"/>
        <v>206</v>
      </c>
      <c r="C339" s="492" t="s">
        <v>188</v>
      </c>
      <c r="D339" s="609">
        <v>2020</v>
      </c>
      <c r="E339" s="977">
        <v>0</v>
      </c>
      <c r="F339" s="977">
        <v>0</v>
      </c>
      <c r="G339" s="7">
        <f t="shared" si="43"/>
        <v>0</v>
      </c>
      <c r="H339" s="7">
        <f t="shared" si="45"/>
        <v>0</v>
      </c>
    </row>
    <row r="340" spans="1:8" s="955" customFormat="1" ht="13">
      <c r="A340" s="549">
        <f t="shared" si="44"/>
        <v>207</v>
      </c>
      <c r="C340" s="494" t="s">
        <v>189</v>
      </c>
      <c r="D340" s="609">
        <v>2020</v>
      </c>
      <c r="E340" s="977">
        <v>0</v>
      </c>
      <c r="F340" s="977">
        <v>0</v>
      </c>
      <c r="G340" s="7">
        <f t="shared" si="43"/>
        <v>0</v>
      </c>
      <c r="H340" s="7">
        <f t="shared" si="45"/>
        <v>0</v>
      </c>
    </row>
    <row r="341" spans="1:8" s="955" customFormat="1" ht="13">
      <c r="A341" s="549">
        <f t="shared" si="44"/>
        <v>208</v>
      </c>
      <c r="C341" s="494" t="s">
        <v>190</v>
      </c>
      <c r="D341" s="609">
        <v>2020</v>
      </c>
      <c r="E341" s="977">
        <v>0</v>
      </c>
      <c r="F341" s="977">
        <v>0</v>
      </c>
      <c r="G341" s="7">
        <f t="shared" si="43"/>
        <v>0</v>
      </c>
      <c r="H341" s="7">
        <f t="shared" si="45"/>
        <v>0</v>
      </c>
    </row>
    <row r="342" spans="1:8" s="955" customFormat="1" ht="13">
      <c r="A342" s="549">
        <f t="shared" si="44"/>
        <v>209</v>
      </c>
      <c r="C342" s="494" t="s">
        <v>180</v>
      </c>
      <c r="D342" s="609">
        <v>2020</v>
      </c>
      <c r="E342" s="977">
        <v>0</v>
      </c>
      <c r="F342" s="977">
        <v>0</v>
      </c>
      <c r="G342" s="7">
        <f t="shared" si="43"/>
        <v>0</v>
      </c>
      <c r="H342" s="7">
        <f t="shared" si="45"/>
        <v>0</v>
      </c>
    </row>
    <row r="343" spans="1:8" s="14" customFormat="1" ht="13">
      <c r="A343" s="109"/>
      <c r="C343" s="1096"/>
      <c r="D343" s="1060"/>
      <c r="E343" s="63"/>
      <c r="F343" s="63"/>
      <c r="G343" s="63"/>
      <c r="H343" s="63"/>
    </row>
    <row r="344" spans="1:8" s="955" customFormat="1" ht="13">
      <c r="C344" s="1435" t="s">
        <v>2738</v>
      </c>
      <c r="E344" s="84" t="s">
        <v>358</v>
      </c>
      <c r="F344" s="84" t="s">
        <v>342</v>
      </c>
      <c r="G344" s="84" t="s">
        <v>343</v>
      </c>
      <c r="H344" s="84" t="s">
        <v>344</v>
      </c>
    </row>
    <row r="345" spans="1:8" s="955" customFormat="1">
      <c r="G345" s="525" t="s">
        <v>1643</v>
      </c>
      <c r="H345" s="525" t="s">
        <v>1644</v>
      </c>
    </row>
    <row r="346" spans="1:8" s="955" customFormat="1" ht="13">
      <c r="C346" s="549" t="s">
        <v>528</v>
      </c>
      <c r="G346" s="14"/>
      <c r="H346" s="1142" t="s">
        <v>1645</v>
      </c>
    </row>
    <row r="347" spans="1:8" s="955" customFormat="1" ht="13">
      <c r="C347" s="549" t="s">
        <v>193</v>
      </c>
      <c r="E347" s="549" t="s">
        <v>371</v>
      </c>
      <c r="F347" s="549" t="s">
        <v>1540</v>
      </c>
      <c r="G347" s="549" t="s">
        <v>992</v>
      </c>
      <c r="H347" s="549" t="s">
        <v>1116</v>
      </c>
    </row>
    <row r="348" spans="1:8" s="955" customFormat="1" ht="13">
      <c r="C348" s="25" t="s">
        <v>192</v>
      </c>
      <c r="D348" s="25" t="s">
        <v>193</v>
      </c>
      <c r="E348" s="3" t="s">
        <v>1541</v>
      </c>
      <c r="F348" s="3" t="s">
        <v>1080</v>
      </c>
      <c r="G348" s="3" t="s">
        <v>3</v>
      </c>
      <c r="H348" s="3" t="s">
        <v>1536</v>
      </c>
    </row>
    <row r="349" spans="1:8" s="955" customFormat="1" ht="13">
      <c r="A349" s="549">
        <f>A342+1</f>
        <v>210</v>
      </c>
      <c r="C349" s="494" t="s">
        <v>180</v>
      </c>
      <c r="D349" s="1047">
        <v>2019</v>
      </c>
      <c r="E349" s="977"/>
      <c r="F349" s="977"/>
      <c r="G349" s="7">
        <f t="shared" ref="G349:G361" si="46">E349-F349</f>
        <v>0</v>
      </c>
      <c r="H349" s="7">
        <f>E349-E349</f>
        <v>0</v>
      </c>
    </row>
    <row r="350" spans="1:8" s="955" customFormat="1" ht="13">
      <c r="A350" s="549">
        <f>A349+1</f>
        <v>211</v>
      </c>
      <c r="C350" s="494" t="s">
        <v>181</v>
      </c>
      <c r="D350" s="609">
        <v>2020</v>
      </c>
      <c r="E350" s="977"/>
      <c r="F350" s="977"/>
      <c r="G350" s="7">
        <f t="shared" si="46"/>
        <v>0</v>
      </c>
      <c r="H350" s="7">
        <f>E350-E349</f>
        <v>0</v>
      </c>
    </row>
    <row r="351" spans="1:8" s="955" customFormat="1" ht="13">
      <c r="A351" s="549">
        <f t="shared" ref="A351:A361" si="47">A350+1</f>
        <v>212</v>
      </c>
      <c r="C351" s="492" t="s">
        <v>182</v>
      </c>
      <c r="D351" s="609">
        <v>2020</v>
      </c>
      <c r="E351" s="977"/>
      <c r="F351" s="977"/>
      <c r="G351" s="7">
        <f t="shared" si="46"/>
        <v>0</v>
      </c>
      <c r="H351" s="7">
        <f t="shared" ref="H351:H361" si="48">E351-E350</f>
        <v>0</v>
      </c>
    </row>
    <row r="352" spans="1:8" s="955" customFormat="1" ht="13">
      <c r="A352" s="549">
        <f t="shared" si="47"/>
        <v>213</v>
      </c>
      <c r="C352" s="492" t="s">
        <v>195</v>
      </c>
      <c r="D352" s="609">
        <v>2020</v>
      </c>
      <c r="E352" s="977"/>
      <c r="F352" s="977"/>
      <c r="G352" s="7">
        <f t="shared" si="46"/>
        <v>0</v>
      </c>
      <c r="H352" s="7">
        <f t="shared" si="48"/>
        <v>0</v>
      </c>
    </row>
    <row r="353" spans="1:10" s="955" customFormat="1" ht="13">
      <c r="A353" s="549">
        <f t="shared" si="47"/>
        <v>214</v>
      </c>
      <c r="C353" s="494" t="s">
        <v>183</v>
      </c>
      <c r="D353" s="609">
        <v>2020</v>
      </c>
      <c r="E353" s="977"/>
      <c r="F353" s="977"/>
      <c r="G353" s="7">
        <f t="shared" si="46"/>
        <v>0</v>
      </c>
      <c r="H353" s="7">
        <f t="shared" si="48"/>
        <v>0</v>
      </c>
    </row>
    <row r="354" spans="1:10" s="955" customFormat="1" ht="13">
      <c r="A354" s="549">
        <f t="shared" si="47"/>
        <v>215</v>
      </c>
      <c r="C354" s="492" t="s">
        <v>184</v>
      </c>
      <c r="D354" s="609">
        <v>2020</v>
      </c>
      <c r="E354" s="977"/>
      <c r="F354" s="977"/>
      <c r="G354" s="7">
        <f t="shared" si="46"/>
        <v>0</v>
      </c>
      <c r="H354" s="7">
        <f t="shared" si="48"/>
        <v>0</v>
      </c>
    </row>
    <row r="355" spans="1:10" s="955" customFormat="1" ht="13">
      <c r="A355" s="549">
        <f t="shared" si="47"/>
        <v>216</v>
      </c>
      <c r="C355" s="492" t="s">
        <v>185</v>
      </c>
      <c r="D355" s="609">
        <v>2020</v>
      </c>
      <c r="E355" s="977"/>
      <c r="F355" s="977"/>
      <c r="G355" s="7">
        <f t="shared" si="46"/>
        <v>0</v>
      </c>
      <c r="H355" s="7">
        <f t="shared" si="48"/>
        <v>0</v>
      </c>
    </row>
    <row r="356" spans="1:10" s="955" customFormat="1" ht="13">
      <c r="A356" s="549">
        <f t="shared" si="47"/>
        <v>217</v>
      </c>
      <c r="C356" s="494" t="s">
        <v>186</v>
      </c>
      <c r="D356" s="609">
        <v>2020</v>
      </c>
      <c r="E356" s="977"/>
      <c r="F356" s="977"/>
      <c r="G356" s="7">
        <f t="shared" si="46"/>
        <v>0</v>
      </c>
      <c r="H356" s="7">
        <f t="shared" si="48"/>
        <v>0</v>
      </c>
    </row>
    <row r="357" spans="1:10" s="955" customFormat="1" ht="13">
      <c r="A357" s="549">
        <f t="shared" si="47"/>
        <v>218</v>
      </c>
      <c r="C357" s="492" t="s">
        <v>187</v>
      </c>
      <c r="D357" s="609">
        <v>2020</v>
      </c>
      <c r="E357" s="977"/>
      <c r="F357" s="977"/>
      <c r="G357" s="7">
        <f t="shared" si="46"/>
        <v>0</v>
      </c>
      <c r="H357" s="7">
        <f t="shared" si="48"/>
        <v>0</v>
      </c>
    </row>
    <row r="358" spans="1:10" s="955" customFormat="1" ht="13">
      <c r="A358" s="549">
        <f t="shared" si="47"/>
        <v>219</v>
      </c>
      <c r="C358" s="492" t="s">
        <v>188</v>
      </c>
      <c r="D358" s="609">
        <v>2020</v>
      </c>
      <c r="E358" s="977"/>
      <c r="F358" s="977"/>
      <c r="G358" s="7">
        <f t="shared" si="46"/>
        <v>0</v>
      </c>
      <c r="H358" s="7">
        <f t="shared" si="48"/>
        <v>0</v>
      </c>
    </row>
    <row r="359" spans="1:10" s="955" customFormat="1" ht="13">
      <c r="A359" s="549">
        <f t="shared" si="47"/>
        <v>220</v>
      </c>
      <c r="C359" s="494" t="s">
        <v>189</v>
      </c>
      <c r="D359" s="609">
        <v>2020</v>
      </c>
      <c r="E359" s="977"/>
      <c r="F359" s="977"/>
      <c r="G359" s="7">
        <f t="shared" si="46"/>
        <v>0</v>
      </c>
      <c r="H359" s="7">
        <f t="shared" si="48"/>
        <v>0</v>
      </c>
    </row>
    <row r="360" spans="1:10" s="955" customFormat="1" ht="13">
      <c r="A360" s="549">
        <f t="shared" si="47"/>
        <v>221</v>
      </c>
      <c r="C360" s="494" t="s">
        <v>190</v>
      </c>
      <c r="D360" s="609">
        <v>2020</v>
      </c>
      <c r="E360" s="977"/>
      <c r="F360" s="977"/>
      <c r="G360" s="7">
        <f t="shared" si="46"/>
        <v>0</v>
      </c>
      <c r="H360" s="7">
        <f t="shared" si="48"/>
        <v>0</v>
      </c>
    </row>
    <row r="361" spans="1:10" s="955" customFormat="1" ht="13">
      <c r="A361" s="549">
        <f t="shared" si="47"/>
        <v>222</v>
      </c>
      <c r="C361" s="494" t="s">
        <v>180</v>
      </c>
      <c r="D361" s="609">
        <v>2020</v>
      </c>
      <c r="E361" s="977"/>
      <c r="F361" s="977"/>
      <c r="G361" s="7">
        <f t="shared" si="46"/>
        <v>0</v>
      </c>
      <c r="H361" s="7">
        <f t="shared" si="48"/>
        <v>0</v>
      </c>
    </row>
    <row r="362" spans="1:10" s="14" customFormat="1" ht="13">
      <c r="A362" s="109"/>
      <c r="C362" s="1096"/>
      <c r="D362" s="24"/>
      <c r="E362" s="63"/>
      <c r="F362" s="63"/>
      <c r="G362" s="63"/>
      <c r="H362" s="63"/>
    </row>
    <row r="363" spans="1:10" ht="13">
      <c r="B363" s="1"/>
      <c r="C363" s="1" t="s">
        <v>1545</v>
      </c>
      <c r="D363" s="461"/>
      <c r="E363" s="7"/>
    </row>
    <row r="364" spans="1:10" ht="13">
      <c r="B364" s="1"/>
    </row>
    <row r="365" spans="1:10" ht="13">
      <c r="C365" s="377" t="s">
        <v>2739</v>
      </c>
      <c r="D365" s="96"/>
      <c r="E365" s="96"/>
      <c r="F365" s="96"/>
      <c r="G365" s="187" t="s">
        <v>2740</v>
      </c>
      <c r="H365" s="96"/>
      <c r="I365" s="96"/>
      <c r="J365" s="96"/>
    </row>
    <row r="366" spans="1:10" ht="13">
      <c r="A366" s="505">
        <f>A342+1</f>
        <v>210</v>
      </c>
      <c r="C366" s="511" t="s">
        <v>2741</v>
      </c>
      <c r="D366" s="96"/>
      <c r="E366" s="378"/>
      <c r="F366" s="933" t="s">
        <v>221</v>
      </c>
      <c r="G366" s="961" t="s">
        <v>2742</v>
      </c>
      <c r="H366" s="96"/>
      <c r="I366" s="96"/>
      <c r="J366" s="96"/>
    </row>
    <row r="367" spans="1:10" ht="13">
      <c r="A367" s="505">
        <f>A366+1</f>
        <v>211</v>
      </c>
      <c r="C367" s="374" t="s">
        <v>2743</v>
      </c>
      <c r="D367" s="96"/>
      <c r="E367" s="379"/>
      <c r="F367" s="934">
        <v>7.4999999999999997E-3</v>
      </c>
      <c r="G367" s="961" t="s">
        <v>2744</v>
      </c>
      <c r="H367" s="96"/>
      <c r="I367" s="96"/>
      <c r="J367" s="96"/>
    </row>
    <row r="368" spans="1:10" ht="13">
      <c r="A368" s="505">
        <f>A367+1</f>
        <v>212</v>
      </c>
      <c r="C368" s="374" t="s">
        <v>2745</v>
      </c>
      <c r="D368" s="96"/>
      <c r="E368" s="378"/>
      <c r="F368" s="933" t="s">
        <v>222</v>
      </c>
      <c r="G368" s="147" t="s">
        <v>2746</v>
      </c>
      <c r="H368" s="96"/>
      <c r="I368" s="96"/>
      <c r="J368" s="96"/>
    </row>
    <row r="369" spans="1:10">
      <c r="C369" s="96"/>
      <c r="D369" s="96"/>
      <c r="E369" s="378"/>
      <c r="F369" s="96"/>
      <c r="G369" s="96"/>
      <c r="H369" s="96"/>
      <c r="I369" s="96"/>
      <c r="J369" s="96"/>
    </row>
    <row r="370" spans="1:10" ht="13">
      <c r="C370" s="377" t="s">
        <v>2747</v>
      </c>
      <c r="D370" s="96"/>
      <c r="E370" s="96"/>
      <c r="F370" s="96"/>
      <c r="G370" s="187" t="s">
        <v>2740</v>
      </c>
      <c r="H370" s="96"/>
      <c r="I370" s="96"/>
      <c r="J370" s="96"/>
    </row>
    <row r="371" spans="1:10" ht="13">
      <c r="A371" s="505">
        <f>A368+1</f>
        <v>213</v>
      </c>
      <c r="C371" s="511" t="s">
        <v>2741</v>
      </c>
      <c r="D371" s="96"/>
      <c r="E371" s="378"/>
      <c r="F371" s="933" t="s">
        <v>221</v>
      </c>
      <c r="G371" s="961" t="s">
        <v>2742</v>
      </c>
      <c r="H371" s="96"/>
      <c r="I371" s="96"/>
      <c r="J371" s="96"/>
    </row>
    <row r="372" spans="1:10" ht="13">
      <c r="A372" s="505">
        <f>A371+1</f>
        <v>214</v>
      </c>
      <c r="C372" s="374" t="s">
        <v>2743</v>
      </c>
      <c r="D372" s="96"/>
      <c r="E372" s="379"/>
      <c r="F372" s="934">
        <v>1.2500000000000001E-2</v>
      </c>
      <c r="G372" s="961" t="s">
        <v>2744</v>
      </c>
      <c r="H372" s="96"/>
      <c r="I372" s="96"/>
      <c r="J372" s="96"/>
    </row>
    <row r="373" spans="1:10" ht="13">
      <c r="A373" s="505">
        <f>A372+1</f>
        <v>215</v>
      </c>
      <c r="C373" s="374" t="s">
        <v>2745</v>
      </c>
      <c r="D373" s="96"/>
      <c r="E373" s="378"/>
      <c r="F373" s="933" t="s">
        <v>221</v>
      </c>
      <c r="G373" s="961" t="s">
        <v>2748</v>
      </c>
      <c r="H373" s="96"/>
      <c r="I373" s="96"/>
      <c r="J373" s="96"/>
    </row>
    <row r="374" spans="1:10">
      <c r="C374" s="374"/>
      <c r="D374" s="96"/>
      <c r="E374" s="378"/>
      <c r="F374" s="933"/>
      <c r="G374" s="96"/>
      <c r="H374" s="96"/>
      <c r="I374" s="96"/>
      <c r="J374" s="96"/>
    </row>
    <row r="375" spans="1:10" ht="13">
      <c r="C375" s="377" t="s">
        <v>2749</v>
      </c>
      <c r="D375" s="96"/>
      <c r="E375" s="961"/>
      <c r="F375" s="512"/>
      <c r="G375" s="187" t="s">
        <v>2740</v>
      </c>
      <c r="H375" s="96"/>
      <c r="I375" s="96"/>
      <c r="J375" s="96"/>
    </row>
    <row r="376" spans="1:10" ht="13">
      <c r="A376" s="505">
        <f>A373+1</f>
        <v>216</v>
      </c>
      <c r="C376" s="511" t="s">
        <v>2741</v>
      </c>
      <c r="D376" s="96"/>
      <c r="E376" s="378"/>
      <c r="F376" s="933" t="s">
        <v>221</v>
      </c>
      <c r="G376" s="961" t="s">
        <v>2742</v>
      </c>
      <c r="H376" s="96"/>
      <c r="I376" s="96"/>
      <c r="J376" s="96"/>
    </row>
    <row r="377" spans="1:10" ht="13">
      <c r="A377" s="505">
        <f>A376+1</f>
        <v>217</v>
      </c>
      <c r="C377" s="374" t="s">
        <v>2743</v>
      </c>
      <c r="D377" s="96"/>
      <c r="E377" s="379"/>
      <c r="F377" s="934">
        <v>0.01</v>
      </c>
      <c r="G377" s="961" t="s">
        <v>2750</v>
      </c>
      <c r="H377" s="96"/>
      <c r="I377" s="96"/>
      <c r="J377" s="96"/>
    </row>
    <row r="378" spans="1:10" ht="13">
      <c r="A378" s="505">
        <f>A377+1</f>
        <v>218</v>
      </c>
      <c r="C378" s="374"/>
      <c r="D378" s="96"/>
      <c r="E378" s="379"/>
      <c r="F378" s="934"/>
      <c r="G378" s="961" t="s">
        <v>2751</v>
      </c>
      <c r="H378" s="96"/>
      <c r="I378" s="96"/>
      <c r="J378" s="96"/>
    </row>
    <row r="379" spans="1:10" ht="13">
      <c r="A379" s="505">
        <f>A378+1</f>
        <v>219</v>
      </c>
      <c r="C379" s="374" t="s">
        <v>2745</v>
      </c>
      <c r="D379" s="96"/>
      <c r="E379" s="378"/>
      <c r="F379" s="933" t="s">
        <v>221</v>
      </c>
      <c r="G379" s="961" t="s">
        <v>2748</v>
      </c>
      <c r="H379" s="96"/>
      <c r="I379" s="96"/>
      <c r="J379" s="96"/>
    </row>
    <row r="380" spans="1:10">
      <c r="C380" s="374"/>
      <c r="D380" s="96"/>
      <c r="E380" s="378"/>
      <c r="F380" s="933"/>
      <c r="G380" s="96"/>
      <c r="H380" s="96"/>
      <c r="I380" s="96"/>
      <c r="J380" s="96"/>
    </row>
    <row r="381" spans="1:10" ht="13">
      <c r="C381" s="377" t="s">
        <v>2752</v>
      </c>
      <c r="D381" s="96"/>
      <c r="E381" s="961"/>
      <c r="F381" s="512"/>
      <c r="G381" s="187" t="s">
        <v>2740</v>
      </c>
      <c r="H381" s="96"/>
      <c r="I381" s="96"/>
      <c r="J381" s="96"/>
    </row>
    <row r="382" spans="1:10" ht="13">
      <c r="A382" s="505">
        <f>A379+1</f>
        <v>220</v>
      </c>
      <c r="C382" s="511" t="s">
        <v>2741</v>
      </c>
      <c r="D382" s="96"/>
      <c r="E382" s="378"/>
      <c r="F382" s="933" t="s">
        <v>222</v>
      </c>
      <c r="G382" s="961" t="s">
        <v>2753</v>
      </c>
      <c r="H382" s="96"/>
      <c r="I382" s="96"/>
      <c r="J382" s="96"/>
    </row>
    <row r="383" spans="1:10" ht="13">
      <c r="A383" s="505">
        <f>A382+1</f>
        <v>221</v>
      </c>
      <c r="C383" s="511"/>
      <c r="D383" s="96"/>
      <c r="E383" s="378"/>
      <c r="F383" s="933"/>
      <c r="G383" s="96" t="s">
        <v>2754</v>
      </c>
      <c r="H383" s="96"/>
      <c r="I383" s="96"/>
      <c r="J383" s="96"/>
    </row>
    <row r="384" spans="1:10" ht="13">
      <c r="A384" s="505">
        <f>A383+1</f>
        <v>222</v>
      </c>
      <c r="C384" s="374" t="s">
        <v>2743</v>
      </c>
      <c r="D384" s="96"/>
      <c r="E384" s="379"/>
      <c r="F384" s="934">
        <v>0</v>
      </c>
      <c r="G384" s="961" t="s">
        <v>2755</v>
      </c>
      <c r="H384" s="96"/>
      <c r="I384" s="96"/>
      <c r="J384" s="96"/>
    </row>
    <row r="385" spans="1:10" ht="13">
      <c r="A385" s="505">
        <f>A384+1</f>
        <v>223</v>
      </c>
      <c r="C385" s="374"/>
      <c r="D385" s="96"/>
      <c r="E385" s="379"/>
      <c r="F385" s="934"/>
      <c r="G385" s="961" t="s">
        <v>2756</v>
      </c>
      <c r="H385" s="96"/>
      <c r="I385" s="96"/>
      <c r="J385" s="96"/>
    </row>
    <row r="386" spans="1:10" ht="13">
      <c r="A386" s="505">
        <f>A385+1</f>
        <v>224</v>
      </c>
      <c r="C386" s="374" t="s">
        <v>2745</v>
      </c>
      <c r="D386" s="96"/>
      <c r="E386" s="378"/>
      <c r="F386" s="933" t="s">
        <v>221</v>
      </c>
      <c r="G386" s="961" t="s">
        <v>2748</v>
      </c>
      <c r="H386" s="96"/>
      <c r="I386" s="96"/>
      <c r="J386" s="96"/>
    </row>
    <row r="387" spans="1:10">
      <c r="C387" s="374"/>
      <c r="D387" s="96"/>
      <c r="E387" s="378"/>
      <c r="F387" s="933"/>
      <c r="G387" s="96"/>
      <c r="H387" s="96"/>
      <c r="I387" s="96"/>
      <c r="J387" s="96"/>
    </row>
    <row r="388" spans="1:10" ht="13">
      <c r="C388" s="377" t="s">
        <v>2757</v>
      </c>
      <c r="D388" s="96"/>
      <c r="E388" s="961"/>
      <c r="F388" s="512"/>
      <c r="G388" s="187" t="s">
        <v>2740</v>
      </c>
      <c r="H388" s="96"/>
      <c r="I388" s="96"/>
      <c r="J388" s="96"/>
    </row>
    <row r="389" spans="1:10" ht="13">
      <c r="A389" s="505">
        <f>A386+1</f>
        <v>225</v>
      </c>
      <c r="C389" s="511" t="s">
        <v>2741</v>
      </c>
      <c r="D389" s="96"/>
      <c r="E389" s="378"/>
      <c r="F389" s="933" t="s">
        <v>221</v>
      </c>
      <c r="G389" s="513" t="s">
        <v>2758</v>
      </c>
      <c r="H389" s="96"/>
      <c r="I389" s="96"/>
      <c r="J389" s="96"/>
    </row>
    <row r="390" spans="1:10" ht="13">
      <c r="A390" s="505">
        <f>A389+1</f>
        <v>226</v>
      </c>
      <c r="C390" s="374" t="s">
        <v>2743</v>
      </c>
      <c r="D390" s="96"/>
      <c r="E390" s="379"/>
      <c r="F390" s="934">
        <v>0</v>
      </c>
      <c r="G390" s="932" t="s">
        <v>76</v>
      </c>
      <c r="H390" s="96"/>
      <c r="I390" s="96"/>
      <c r="J390" s="96"/>
    </row>
    <row r="391" spans="1:10" ht="13">
      <c r="A391" s="505">
        <f>A390+1</f>
        <v>227</v>
      </c>
      <c r="C391" s="374" t="s">
        <v>2745</v>
      </c>
      <c r="D391" s="96"/>
      <c r="E391" s="378"/>
      <c r="F391" s="933" t="s">
        <v>221</v>
      </c>
      <c r="G391" s="513" t="s">
        <v>2758</v>
      </c>
      <c r="H391" s="96"/>
      <c r="I391" s="96"/>
      <c r="J391" s="96"/>
    </row>
    <row r="392" spans="1:10">
      <c r="C392" s="96"/>
      <c r="D392" s="96"/>
      <c r="E392" s="96"/>
      <c r="F392" s="933"/>
      <c r="G392" s="96"/>
      <c r="H392" s="96"/>
      <c r="I392" s="96"/>
      <c r="J392" s="96"/>
    </row>
    <row r="393" spans="1:10" ht="13">
      <c r="C393" s="377" t="s">
        <v>2759</v>
      </c>
      <c r="D393" s="96"/>
      <c r="E393" s="961"/>
      <c r="F393" s="512"/>
      <c r="G393" s="187" t="s">
        <v>2740</v>
      </c>
      <c r="H393" s="96"/>
      <c r="I393" s="96"/>
      <c r="J393" s="96"/>
    </row>
    <row r="394" spans="1:10" ht="13">
      <c r="A394" s="505">
        <f>A391+1</f>
        <v>228</v>
      </c>
      <c r="C394" s="511" t="s">
        <v>2741</v>
      </c>
      <c r="D394" s="96"/>
      <c r="E394" s="378"/>
      <c r="F394" s="933" t="s">
        <v>221</v>
      </c>
      <c r="G394" s="513" t="s">
        <v>2758</v>
      </c>
      <c r="H394" s="96"/>
      <c r="I394" s="961"/>
      <c r="J394" s="961"/>
    </row>
    <row r="395" spans="1:10" ht="13">
      <c r="A395" s="505">
        <f>A394+1</f>
        <v>229</v>
      </c>
      <c r="C395" s="374" t="s">
        <v>2743</v>
      </c>
      <c r="D395" s="96"/>
      <c r="E395" s="379"/>
      <c r="F395" s="934">
        <v>0</v>
      </c>
      <c r="G395" s="932" t="s">
        <v>76</v>
      </c>
      <c r="H395" s="96"/>
      <c r="I395" s="961"/>
      <c r="J395" s="961"/>
    </row>
    <row r="396" spans="1:10" ht="13">
      <c r="A396" s="505">
        <f>A395+1</f>
        <v>230</v>
      </c>
      <c r="C396" s="374" t="s">
        <v>2745</v>
      </c>
      <c r="D396" s="96"/>
      <c r="E396" s="378"/>
      <c r="F396" s="933" t="s">
        <v>221</v>
      </c>
      <c r="G396" s="513" t="s">
        <v>2758</v>
      </c>
      <c r="H396" s="96"/>
      <c r="I396" s="961"/>
      <c r="J396" s="961"/>
    </row>
    <row r="397" spans="1:10">
      <c r="C397" s="374"/>
      <c r="D397" s="96"/>
      <c r="E397" s="379"/>
      <c r="F397" s="934"/>
      <c r="G397" s="961"/>
      <c r="H397" s="96"/>
      <c r="I397" s="961"/>
      <c r="J397" s="961"/>
    </row>
    <row r="398" spans="1:10" ht="13">
      <c r="C398" s="377" t="s">
        <v>2760</v>
      </c>
      <c r="D398" s="96"/>
      <c r="E398" s="961"/>
      <c r="F398" s="512"/>
      <c r="G398" s="187" t="s">
        <v>2740</v>
      </c>
      <c r="H398" s="96"/>
      <c r="I398" s="961"/>
      <c r="J398" s="961"/>
    </row>
    <row r="399" spans="1:10" ht="13">
      <c r="A399" s="505">
        <f>A396+1</f>
        <v>231</v>
      </c>
      <c r="C399" s="511" t="s">
        <v>2741</v>
      </c>
      <c r="D399" s="96"/>
      <c r="E399" s="378"/>
      <c r="F399" s="933" t="s">
        <v>221</v>
      </c>
      <c r="G399" s="961" t="s">
        <v>2761</v>
      </c>
      <c r="H399" s="96"/>
      <c r="I399" s="961"/>
      <c r="J399" s="961"/>
    </row>
    <row r="400" spans="1:10" ht="13">
      <c r="A400" s="505">
        <f>A399+1</f>
        <v>232</v>
      </c>
      <c r="C400" s="374" t="s">
        <v>2743</v>
      </c>
      <c r="D400" s="96"/>
      <c r="E400" s="379"/>
      <c r="F400" s="934">
        <v>0</v>
      </c>
      <c r="G400" s="961" t="s">
        <v>2762</v>
      </c>
      <c r="H400" s="96"/>
      <c r="I400" s="961"/>
      <c r="J400" s="961"/>
    </row>
    <row r="401" spans="1:10" ht="13">
      <c r="A401" s="505">
        <f>A400+1</f>
        <v>233</v>
      </c>
      <c r="C401" s="374" t="s">
        <v>2745</v>
      </c>
      <c r="D401" s="96"/>
      <c r="E401" s="378"/>
      <c r="F401" s="933" t="s">
        <v>221</v>
      </c>
      <c r="G401" s="961" t="s">
        <v>2763</v>
      </c>
      <c r="H401" s="96"/>
      <c r="I401" s="961"/>
      <c r="J401" s="961"/>
    </row>
    <row r="402" spans="1:10">
      <c r="C402" s="96"/>
      <c r="D402" s="96"/>
      <c r="E402" s="96"/>
      <c r="F402" s="933"/>
      <c r="G402" s="96"/>
      <c r="H402" s="96"/>
      <c r="I402" s="96"/>
      <c r="J402" s="96"/>
    </row>
    <row r="403" spans="1:10" ht="13">
      <c r="C403" s="377" t="s">
        <v>2764</v>
      </c>
      <c r="D403" s="96"/>
      <c r="E403" s="961"/>
      <c r="F403" s="512"/>
      <c r="G403" s="187" t="s">
        <v>2740</v>
      </c>
      <c r="H403" s="96"/>
      <c r="I403" s="96"/>
      <c r="J403" s="96"/>
    </row>
    <row r="404" spans="1:10" ht="13">
      <c r="A404" s="505">
        <f>A401+1</f>
        <v>234</v>
      </c>
      <c r="C404" s="511" t="s">
        <v>2741</v>
      </c>
      <c r="D404" s="96"/>
      <c r="E404" s="378"/>
      <c r="F404" s="933" t="s">
        <v>221</v>
      </c>
      <c r="G404" s="513" t="s">
        <v>2758</v>
      </c>
      <c r="H404" s="96"/>
      <c r="I404" s="96"/>
      <c r="J404" s="96"/>
    </row>
    <row r="405" spans="1:10" ht="13">
      <c r="A405" s="505">
        <f>A404+1</f>
        <v>235</v>
      </c>
      <c r="C405" s="374" t="s">
        <v>2743</v>
      </c>
      <c r="D405" s="96"/>
      <c r="E405" s="379"/>
      <c r="F405" s="934">
        <v>0</v>
      </c>
      <c r="G405" s="932" t="s">
        <v>76</v>
      </c>
      <c r="H405" s="96"/>
      <c r="I405" s="96"/>
      <c r="J405" s="96"/>
    </row>
    <row r="406" spans="1:10" ht="13">
      <c r="A406" s="505">
        <f>A405+1</f>
        <v>236</v>
      </c>
      <c r="C406" s="374" t="s">
        <v>2745</v>
      </c>
      <c r="D406" s="96"/>
      <c r="E406" s="378"/>
      <c r="F406" s="933" t="s">
        <v>221</v>
      </c>
      <c r="G406" s="513" t="s">
        <v>2758</v>
      </c>
      <c r="H406" s="96"/>
      <c r="I406" s="96"/>
      <c r="J406" s="96"/>
    </row>
    <row r="407" spans="1:10">
      <c r="C407" s="96"/>
      <c r="D407" s="96"/>
      <c r="E407" s="96"/>
      <c r="F407" s="933"/>
      <c r="G407" s="96"/>
      <c r="H407" s="96"/>
      <c r="I407" s="96"/>
      <c r="J407" s="96"/>
    </row>
    <row r="408" spans="1:10" ht="13">
      <c r="C408" s="377" t="s">
        <v>2765</v>
      </c>
      <c r="D408" s="96"/>
      <c r="E408" s="961"/>
      <c r="F408" s="512"/>
      <c r="G408" s="187" t="s">
        <v>2740</v>
      </c>
      <c r="H408" s="96"/>
      <c r="I408" s="96"/>
      <c r="J408" s="96"/>
    </row>
    <row r="409" spans="1:10" ht="13">
      <c r="A409" s="505">
        <f>A406+1</f>
        <v>237</v>
      </c>
      <c r="C409" s="511" t="s">
        <v>2741</v>
      </c>
      <c r="D409" s="96"/>
      <c r="E409" s="378"/>
      <c r="F409" s="933" t="s">
        <v>221</v>
      </c>
      <c r="G409" s="513" t="s">
        <v>2758</v>
      </c>
      <c r="H409" s="96"/>
      <c r="I409" s="96"/>
      <c r="J409" s="96"/>
    </row>
    <row r="410" spans="1:10" ht="13">
      <c r="A410" s="505">
        <f>A409+1</f>
        <v>238</v>
      </c>
      <c r="C410" s="374" t="s">
        <v>2743</v>
      </c>
      <c r="D410" s="96"/>
      <c r="E410" s="379"/>
      <c r="F410" s="934">
        <v>0</v>
      </c>
      <c r="G410" s="932" t="s">
        <v>76</v>
      </c>
      <c r="H410" s="96"/>
      <c r="I410" s="96"/>
      <c r="J410" s="96"/>
    </row>
    <row r="411" spans="1:10" ht="13">
      <c r="A411" s="505">
        <f>A410+1</f>
        <v>239</v>
      </c>
      <c r="C411" s="374" t="s">
        <v>2745</v>
      </c>
      <c r="D411" s="96"/>
      <c r="E411" s="378"/>
      <c r="F411" s="933" t="s">
        <v>221</v>
      </c>
      <c r="G411" s="513" t="s">
        <v>2758</v>
      </c>
      <c r="H411" s="96"/>
      <c r="I411" s="96"/>
      <c r="J411" s="96"/>
    </row>
    <row r="412" spans="1:10">
      <c r="C412" s="96"/>
      <c r="D412" s="96"/>
      <c r="E412" s="96"/>
      <c r="F412" s="933"/>
      <c r="G412" s="96"/>
      <c r="H412" s="96"/>
      <c r="I412" s="96"/>
      <c r="J412" s="96"/>
    </row>
    <row r="413" spans="1:10" ht="13">
      <c r="C413" s="1092" t="s">
        <v>2766</v>
      </c>
      <c r="D413" s="96"/>
      <c r="E413" s="96"/>
      <c r="F413" s="96"/>
      <c r="G413" s="187" t="s">
        <v>2740</v>
      </c>
      <c r="H413" s="96"/>
      <c r="I413" s="96"/>
      <c r="J413" s="96"/>
    </row>
    <row r="414" spans="1:10" ht="13">
      <c r="A414" s="505">
        <f>A411+1</f>
        <v>240</v>
      </c>
      <c r="C414" s="511" t="s">
        <v>2741</v>
      </c>
      <c r="D414" s="96"/>
      <c r="E414" s="96"/>
      <c r="F414" s="961" t="s">
        <v>221</v>
      </c>
      <c r="G414" s="961" t="s">
        <v>2767</v>
      </c>
      <c r="H414" s="96"/>
      <c r="I414" s="96"/>
      <c r="J414" s="96"/>
    </row>
    <row r="415" spans="1:10" ht="13">
      <c r="A415" s="505">
        <f>A414+1</f>
        <v>241</v>
      </c>
      <c r="C415" s="374" t="s">
        <v>2743</v>
      </c>
      <c r="D415" s="96"/>
      <c r="E415" s="96"/>
      <c r="F415" s="934">
        <v>0</v>
      </c>
      <c r="G415" s="932" t="s">
        <v>76</v>
      </c>
      <c r="H415" s="96"/>
      <c r="I415" s="96"/>
      <c r="J415" s="96"/>
    </row>
    <row r="416" spans="1:10" ht="13">
      <c r="A416" s="505">
        <f>A415+1</f>
        <v>242</v>
      </c>
      <c r="C416" s="374" t="s">
        <v>2745</v>
      </c>
      <c r="D416" s="96"/>
      <c r="E416" s="96"/>
      <c r="F416" s="961" t="s">
        <v>222</v>
      </c>
      <c r="G416" s="932" t="s">
        <v>76</v>
      </c>
      <c r="H416" s="96"/>
      <c r="I416" s="96"/>
      <c r="J416" s="96"/>
    </row>
    <row r="417" spans="1:10">
      <c r="C417" s="96"/>
      <c r="D417" s="96"/>
      <c r="E417" s="96"/>
      <c r="F417" s="96"/>
      <c r="G417" s="96"/>
      <c r="H417" s="96"/>
      <c r="I417" s="96"/>
      <c r="J417" s="96"/>
    </row>
    <row r="418" spans="1:10" ht="13">
      <c r="C418" s="1092" t="s">
        <v>2768</v>
      </c>
      <c r="D418" s="96"/>
      <c r="E418" s="96"/>
      <c r="F418" s="96"/>
      <c r="G418" s="187" t="s">
        <v>2740</v>
      </c>
      <c r="H418" s="96"/>
      <c r="I418" s="96"/>
      <c r="J418" s="96"/>
    </row>
    <row r="419" spans="1:10" ht="13">
      <c r="A419" s="505">
        <f>A416+1</f>
        <v>243</v>
      </c>
      <c r="C419" s="511" t="s">
        <v>2741</v>
      </c>
      <c r="D419" s="96"/>
      <c r="E419" s="96"/>
      <c r="F419" s="961" t="s">
        <v>221</v>
      </c>
      <c r="G419" s="961" t="s">
        <v>2767</v>
      </c>
      <c r="H419" s="96"/>
      <c r="I419" s="96"/>
      <c r="J419" s="96"/>
    </row>
    <row r="420" spans="1:10" ht="13">
      <c r="A420" s="505">
        <f>A419+1</f>
        <v>244</v>
      </c>
      <c r="C420" s="374" t="s">
        <v>2743</v>
      </c>
      <c r="D420" s="96"/>
      <c r="E420" s="96"/>
      <c r="F420" s="934">
        <v>0</v>
      </c>
      <c r="G420" s="932" t="s">
        <v>76</v>
      </c>
      <c r="H420" s="96"/>
      <c r="I420" s="96"/>
      <c r="J420" s="96"/>
    </row>
    <row r="421" spans="1:10" ht="13">
      <c r="A421" s="505">
        <f>A420+1</f>
        <v>245</v>
      </c>
      <c r="C421" s="374" t="s">
        <v>2745</v>
      </c>
      <c r="D421" s="96"/>
      <c r="E421" s="96"/>
      <c r="F421" s="961" t="s">
        <v>221</v>
      </c>
      <c r="G421" s="961" t="s">
        <v>2769</v>
      </c>
      <c r="H421" s="96"/>
      <c r="I421" s="96"/>
      <c r="J421" s="96"/>
    </row>
    <row r="422" spans="1:10">
      <c r="C422" s="96"/>
      <c r="D422" s="96"/>
      <c r="E422" s="96"/>
      <c r="F422" s="96"/>
      <c r="G422" s="96"/>
      <c r="H422" s="96"/>
      <c r="I422" s="96"/>
      <c r="J422" s="96"/>
    </row>
    <row r="423" spans="1:10" ht="13">
      <c r="C423" s="1092" t="s">
        <v>2770</v>
      </c>
      <c r="D423" s="96"/>
      <c r="E423" s="96"/>
      <c r="F423" s="96"/>
      <c r="G423" s="187" t="s">
        <v>2740</v>
      </c>
      <c r="H423" s="96"/>
      <c r="I423" s="96"/>
      <c r="J423" s="96"/>
    </row>
    <row r="424" spans="1:10" ht="13">
      <c r="A424" s="505">
        <f>A421+1</f>
        <v>246</v>
      </c>
      <c r="C424" s="511" t="s">
        <v>2741</v>
      </c>
      <c r="D424" s="96"/>
      <c r="E424" s="96"/>
      <c r="F424" s="961" t="s">
        <v>221</v>
      </c>
      <c r="G424" s="961" t="s">
        <v>2767</v>
      </c>
      <c r="H424" s="96"/>
      <c r="I424" s="96"/>
      <c r="J424" s="96"/>
    </row>
    <row r="425" spans="1:10" ht="13">
      <c r="A425" s="505">
        <f>A424+1</f>
        <v>247</v>
      </c>
      <c r="C425" s="374" t="s">
        <v>2743</v>
      </c>
      <c r="D425" s="96"/>
      <c r="E425" s="96"/>
      <c r="F425" s="934">
        <v>0</v>
      </c>
      <c r="G425" s="932" t="s">
        <v>76</v>
      </c>
      <c r="H425" s="96"/>
      <c r="I425" s="96"/>
      <c r="J425" s="96"/>
    </row>
    <row r="426" spans="1:10" ht="13">
      <c r="A426" s="505">
        <f>A425+1</f>
        <v>248</v>
      </c>
      <c r="C426" s="374" t="s">
        <v>2745</v>
      </c>
      <c r="D426" s="96"/>
      <c r="E426" s="96"/>
      <c r="F426" s="961" t="s">
        <v>221</v>
      </c>
      <c r="G426" s="961" t="s">
        <v>2769</v>
      </c>
      <c r="H426" s="96"/>
      <c r="I426" s="96"/>
      <c r="J426" s="96"/>
    </row>
    <row r="427" spans="1:10" s="955" customFormat="1" ht="13">
      <c r="A427" s="549"/>
      <c r="C427" s="374"/>
      <c r="D427" s="96"/>
      <c r="E427" s="96"/>
      <c r="F427" s="961"/>
      <c r="G427" s="961"/>
      <c r="H427" s="96"/>
      <c r="I427" s="96"/>
      <c r="J427" s="96"/>
    </row>
    <row r="428" spans="1:10" s="955" customFormat="1" ht="13">
      <c r="A428" s="549"/>
      <c r="C428" s="377" t="s">
        <v>2771</v>
      </c>
      <c r="D428" s="96"/>
      <c r="E428" s="96"/>
      <c r="F428" s="961"/>
      <c r="G428" s="187" t="s">
        <v>2740</v>
      </c>
      <c r="H428" s="96"/>
      <c r="I428" s="96"/>
      <c r="J428" s="96"/>
    </row>
    <row r="429" spans="1:10" s="955" customFormat="1" ht="13">
      <c r="A429" s="549">
        <f>A426+1</f>
        <v>249</v>
      </c>
      <c r="C429" s="511" t="s">
        <v>2741</v>
      </c>
      <c r="D429" s="96"/>
      <c r="E429" s="96"/>
      <c r="F429" s="961" t="s">
        <v>221</v>
      </c>
      <c r="G429" s="961" t="s">
        <v>2772</v>
      </c>
      <c r="H429" s="96"/>
      <c r="I429" s="96"/>
      <c r="J429" s="96"/>
    </row>
    <row r="430" spans="1:10" s="955" customFormat="1" ht="13">
      <c r="A430" s="549">
        <f t="shared" ref="A430:A431" si="49">A429+1</f>
        <v>250</v>
      </c>
      <c r="C430" s="511" t="s">
        <v>2743</v>
      </c>
      <c r="D430" s="96"/>
      <c r="E430" s="96"/>
      <c r="F430" s="934">
        <v>0</v>
      </c>
      <c r="G430" s="961"/>
      <c r="H430" s="96"/>
      <c r="I430" s="96"/>
      <c r="J430" s="96"/>
    </row>
    <row r="431" spans="1:10" s="955" customFormat="1" ht="13">
      <c r="A431" s="549">
        <f t="shared" si="49"/>
        <v>251</v>
      </c>
      <c r="C431" s="511" t="s">
        <v>2745</v>
      </c>
      <c r="D431" s="96"/>
      <c r="E431" s="96"/>
      <c r="F431" s="961" t="s">
        <v>221</v>
      </c>
      <c r="G431" s="961" t="s">
        <v>2773</v>
      </c>
      <c r="H431" s="96"/>
      <c r="I431" s="96"/>
      <c r="J431" s="96"/>
    </row>
    <row r="432" spans="1:10" s="955" customFormat="1" ht="13">
      <c r="A432" s="549"/>
      <c r="C432" s="511"/>
      <c r="D432" s="96"/>
      <c r="E432" s="96"/>
      <c r="F432" s="961"/>
      <c r="G432" s="961"/>
      <c r="H432" s="96"/>
      <c r="I432" s="96"/>
      <c r="J432" s="96"/>
    </row>
    <row r="433" spans="1:10" s="955" customFormat="1" ht="13">
      <c r="A433" s="549"/>
      <c r="C433" s="377" t="s">
        <v>2774</v>
      </c>
      <c r="D433" s="96"/>
      <c r="E433" s="96"/>
      <c r="F433" s="961"/>
      <c r="G433" s="187" t="s">
        <v>2740</v>
      </c>
      <c r="H433" s="96"/>
      <c r="I433" s="96"/>
      <c r="J433" s="96"/>
    </row>
    <row r="434" spans="1:10" s="955" customFormat="1" ht="13">
      <c r="A434" s="549">
        <f>A431+1</f>
        <v>252</v>
      </c>
      <c r="C434" s="511" t="s">
        <v>2741</v>
      </c>
      <c r="D434" s="96"/>
      <c r="E434" s="96"/>
      <c r="F434" s="961"/>
      <c r="G434" s="961"/>
      <c r="H434" s="96"/>
      <c r="I434" s="96"/>
      <c r="J434" s="96"/>
    </row>
    <row r="435" spans="1:10" s="955" customFormat="1" ht="13">
      <c r="A435" s="549">
        <f t="shared" ref="A435:A436" si="50">A434+1</f>
        <v>253</v>
      </c>
      <c r="C435" s="511" t="s">
        <v>2743</v>
      </c>
      <c r="D435" s="96"/>
      <c r="E435" s="96"/>
      <c r="F435" s="961"/>
      <c r="G435" s="961"/>
      <c r="H435" s="96"/>
      <c r="I435" s="96"/>
      <c r="J435" s="96"/>
    </row>
    <row r="436" spans="1:10" s="955" customFormat="1" ht="13">
      <c r="A436" s="549">
        <f t="shared" si="50"/>
        <v>254</v>
      </c>
      <c r="C436" s="511" t="s">
        <v>2745</v>
      </c>
      <c r="D436" s="96"/>
      <c r="E436" s="96"/>
      <c r="F436" s="961"/>
      <c r="G436" s="961"/>
      <c r="H436" s="96"/>
      <c r="I436" s="96"/>
      <c r="J436" s="96"/>
    </row>
    <row r="437" spans="1:10" s="955" customFormat="1">
      <c r="C437" s="1348" t="s">
        <v>504</v>
      </c>
      <c r="D437" s="14"/>
      <c r="E437" s="14"/>
      <c r="F437" s="14"/>
      <c r="G437" s="14"/>
      <c r="H437" s="14"/>
      <c r="I437" s="14"/>
      <c r="J437" s="14"/>
    </row>
    <row r="438" spans="1:10" ht="13">
      <c r="B438" s="375" t="s">
        <v>377</v>
      </c>
    </row>
    <row r="439" spans="1:10">
      <c r="C439" s="463" t="s">
        <v>1188</v>
      </c>
    </row>
    <row r="440" spans="1:10">
      <c r="C440" t="s">
        <v>1101</v>
      </c>
    </row>
  </sheetData>
  <phoneticPr fontId="23" type="noConversion"/>
  <pageMargins left="0.75" right="0.75" top="1" bottom="1" header="0.5" footer="0.5"/>
  <pageSetup scale="64" orientation="portrait" cellComments="asDisplayed" r:id="rId1"/>
  <headerFooter alignWithMargins="0">
    <oddHeader>&amp;CSchedule 14
Incentive Plant
&amp;RTO2022 Annual Update 
Attachment 1</oddHeader>
    <oddFooter>&amp;R&amp;A</oddFooter>
  </headerFooter>
  <rowBreaks count="6" manualBreakCount="6">
    <brk id="67" max="16383" man="1"/>
    <brk id="132" max="16383" man="1"/>
    <brk id="190" max="16383" man="1"/>
    <brk id="247" max="16383" man="1"/>
    <brk id="304" max="16383" man="1"/>
    <brk id="362"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zoomScaleNormal="100" workbookViewId="0"/>
  </sheetViews>
  <sheetFormatPr defaultRowHeight="12.5"/>
  <cols>
    <col min="1" max="2" width="4.54296875" customWidth="1"/>
    <col min="3" max="4" width="10.54296875" customWidth="1"/>
    <col min="5" max="9" width="15.54296875" customWidth="1"/>
  </cols>
  <sheetData>
    <row r="1" spans="1:9" ht="13">
      <c r="A1" s="1" t="s">
        <v>150</v>
      </c>
      <c r="B1" s="1"/>
    </row>
    <row r="2" spans="1:9" ht="13">
      <c r="A2" s="1"/>
      <c r="B2" s="1"/>
      <c r="G2" s="94" t="s">
        <v>246</v>
      </c>
      <c r="H2" s="94"/>
    </row>
    <row r="3" spans="1:9" ht="13">
      <c r="A3" s="1"/>
      <c r="B3" s="12" t="s">
        <v>977</v>
      </c>
    </row>
    <row r="4" spans="1:9" ht="13">
      <c r="A4" s="1"/>
      <c r="B4" s="13" t="s">
        <v>978</v>
      </c>
    </row>
    <row r="5" spans="1:9" ht="13">
      <c r="A5" s="1"/>
      <c r="B5" s="467" t="s">
        <v>1491</v>
      </c>
    </row>
    <row r="7" spans="1:9" ht="13.5" customHeight="1">
      <c r="B7" s="1" t="s">
        <v>272</v>
      </c>
    </row>
    <row r="8" spans="1:9" ht="13">
      <c r="A8" s="1"/>
      <c r="B8" s="1"/>
    </row>
    <row r="9" spans="1:9" ht="13">
      <c r="A9" s="1"/>
      <c r="B9" s="1"/>
      <c r="C9" s="12" t="s">
        <v>295</v>
      </c>
    </row>
    <row r="10" spans="1:9" ht="13">
      <c r="A10" s="1"/>
      <c r="B10" s="1"/>
      <c r="C10" s="12" t="s">
        <v>1113</v>
      </c>
    </row>
    <row r="11" spans="1:9" ht="13">
      <c r="A11" s="1"/>
      <c r="B11" s="1"/>
      <c r="C11" s="12"/>
    </row>
    <row r="12" spans="1:9" ht="13">
      <c r="A12" s="1"/>
      <c r="B12" s="1"/>
      <c r="C12" s="463" t="s">
        <v>1462</v>
      </c>
    </row>
    <row r="13" spans="1:9" ht="13">
      <c r="A13" s="1"/>
      <c r="B13" s="1"/>
    </row>
    <row r="14" spans="1:9" ht="13">
      <c r="A14" s="51" t="s">
        <v>329</v>
      </c>
      <c r="B14" s="1"/>
      <c r="C14" s="12" t="s">
        <v>363</v>
      </c>
      <c r="G14" s="117" t="s">
        <v>171</v>
      </c>
      <c r="I14" s="3" t="s">
        <v>179</v>
      </c>
    </row>
    <row r="15" spans="1:9" ht="13">
      <c r="A15" s="109">
        <v>1</v>
      </c>
      <c r="B15" s="44"/>
      <c r="C15" s="46" t="s">
        <v>364</v>
      </c>
      <c r="D15" s="14"/>
      <c r="E15" s="14"/>
      <c r="F15" s="14"/>
      <c r="G15" s="67">
        <f>'1-BaseTRR'!K82</f>
        <v>0.47499999999999998</v>
      </c>
      <c r="H15" s="14"/>
      <c r="I15" s="15" t="str">
        <f>"1-BaseTRR, L "&amp;'1-BaseTRR'!A82&amp;""</f>
        <v>1-BaseTRR, L 47</v>
      </c>
    </row>
    <row r="16" spans="1:9" ht="13">
      <c r="A16" s="109">
        <v>2</v>
      </c>
      <c r="B16" s="44"/>
      <c r="C16" s="46" t="s">
        <v>218</v>
      </c>
      <c r="D16" s="14"/>
      <c r="E16" s="14"/>
      <c r="F16" s="14"/>
      <c r="G16" s="67">
        <f>'1-BaseTRR'!K104</f>
        <v>0.27983599999999997</v>
      </c>
      <c r="H16" s="14"/>
      <c r="I16" s="15" t="str">
        <f>"1-BaseTRR, L "&amp;'1-BaseTRR'!A104&amp;""</f>
        <v>1-BaseTRR, L 59</v>
      </c>
    </row>
    <row r="17" spans="1:9" ht="13">
      <c r="A17" s="109">
        <v>3</v>
      </c>
      <c r="B17" s="44"/>
      <c r="C17" s="14"/>
      <c r="D17" s="14"/>
      <c r="E17" s="14"/>
      <c r="F17" s="356" t="s">
        <v>489</v>
      </c>
      <c r="G17" s="63">
        <f>G15*(1/(1-G16))* 10000</f>
        <v>6595.7198638087975</v>
      </c>
      <c r="H17" s="14"/>
      <c r="I17" s="15" t="s">
        <v>365</v>
      </c>
    </row>
    <row r="18" spans="1:9">
      <c r="A18" s="14"/>
      <c r="B18" s="14"/>
      <c r="C18" s="14"/>
      <c r="D18" s="14"/>
      <c r="E18" s="14"/>
      <c r="F18" s="14"/>
      <c r="G18" s="14"/>
      <c r="H18" s="14"/>
      <c r="I18" s="14"/>
    </row>
    <row r="19" spans="1:9" ht="13">
      <c r="A19" s="14"/>
      <c r="B19" s="44" t="s">
        <v>273</v>
      </c>
      <c r="C19" s="14"/>
      <c r="D19" s="14"/>
      <c r="E19" s="14"/>
      <c r="F19" s="14"/>
      <c r="G19" s="14"/>
      <c r="H19" s="14"/>
      <c r="I19" s="14"/>
    </row>
    <row r="20" spans="1:9" ht="13">
      <c r="A20" s="44"/>
      <c r="B20" s="44"/>
      <c r="C20" s="15" t="s">
        <v>300</v>
      </c>
      <c r="D20" s="14"/>
      <c r="E20" s="14"/>
      <c r="F20" s="14"/>
      <c r="G20" s="14"/>
      <c r="H20" s="14"/>
      <c r="I20" s="14"/>
    </row>
    <row r="21" spans="1:9" ht="13">
      <c r="A21" s="44"/>
      <c r="B21" s="44"/>
      <c r="C21" s="15" t="s">
        <v>490</v>
      </c>
      <c r="D21" s="14"/>
      <c r="E21" s="14"/>
      <c r="F21" s="14"/>
      <c r="G21" s="14"/>
      <c r="H21" s="14"/>
      <c r="I21" s="14"/>
    </row>
    <row r="22" spans="1:9" ht="13">
      <c r="A22" s="44"/>
      <c r="B22" s="44"/>
      <c r="C22" s="14"/>
      <c r="D22" s="14"/>
      <c r="E22" s="14"/>
      <c r="F22" s="14"/>
      <c r="G22" s="14"/>
      <c r="H22" s="14"/>
      <c r="I22" s="14"/>
    </row>
    <row r="23" spans="1:9" ht="13">
      <c r="A23" s="44"/>
      <c r="B23" s="44"/>
      <c r="C23" s="14"/>
      <c r="D23" s="14"/>
      <c r="E23" s="14"/>
      <c r="F23" s="109" t="s">
        <v>275</v>
      </c>
      <c r="G23" s="14"/>
      <c r="H23" s="14"/>
      <c r="I23" s="14"/>
    </row>
    <row r="24" spans="1:9" ht="13">
      <c r="A24" s="833" t="s">
        <v>329</v>
      </c>
      <c r="B24" s="833"/>
      <c r="C24" s="14"/>
      <c r="D24" s="14"/>
      <c r="E24" s="122" t="s">
        <v>9</v>
      </c>
      <c r="F24" s="122" t="s">
        <v>35</v>
      </c>
      <c r="G24" s="122" t="s">
        <v>179</v>
      </c>
      <c r="H24" s="14"/>
      <c r="I24" s="14"/>
    </row>
    <row r="25" spans="1:9" ht="13">
      <c r="A25" s="109">
        <f>A17+1</f>
        <v>4</v>
      </c>
      <c r="B25" s="109"/>
      <c r="C25" s="14" t="s">
        <v>225</v>
      </c>
      <c r="D25" s="14"/>
      <c r="E25" s="78">
        <f>'14-IncentivePlant'!F367</f>
        <v>7.4999999999999997E-3</v>
      </c>
      <c r="F25" s="872">
        <f>E25/0.01</f>
        <v>0.75</v>
      </c>
      <c r="G25" s="46" t="str">
        <f>"14-IncentivePlant, L "&amp;'14-IncentivePlant'!A367&amp;""</f>
        <v>14-IncentivePlant, L 211</v>
      </c>
      <c r="H25" s="14"/>
      <c r="I25" s="14"/>
    </row>
    <row r="26" spans="1:9" ht="13">
      <c r="A26" s="109">
        <f>A25+1</f>
        <v>5</v>
      </c>
      <c r="B26" s="109"/>
      <c r="C26" s="14" t="s">
        <v>226</v>
      </c>
      <c r="D26" s="14"/>
      <c r="E26" s="78">
        <f>'14-IncentivePlant'!F372</f>
        <v>1.2500000000000001E-2</v>
      </c>
      <c r="F26" s="872">
        <f>E26/0.01</f>
        <v>1.25</v>
      </c>
      <c r="G26" s="46" t="str">
        <f>"14-IncentivePlant, L "&amp;'14-IncentivePlant'!A372&amp;""</f>
        <v>14-IncentivePlant, L 214</v>
      </c>
      <c r="H26" s="14"/>
      <c r="I26" s="14"/>
    </row>
    <row r="27" spans="1:9" ht="13">
      <c r="A27" s="109">
        <f>A26+1</f>
        <v>6</v>
      </c>
      <c r="B27" s="109"/>
      <c r="C27" s="465" t="s">
        <v>2153</v>
      </c>
      <c r="D27" s="14"/>
      <c r="E27" s="78">
        <f>'14-IncentivePlant'!F377</f>
        <v>0.01</v>
      </c>
      <c r="F27" s="872">
        <f>E27/0.01</f>
        <v>1</v>
      </c>
      <c r="G27" s="46" t="str">
        <f>"14-IncentivePlant, L "&amp;'14-IncentivePlant'!A377&amp;""</f>
        <v>14-IncentivePlant, L 217</v>
      </c>
      <c r="H27" s="14"/>
      <c r="I27" s="14"/>
    </row>
    <row r="28" spans="1:9" ht="13">
      <c r="A28" s="2">
        <f>A27+1</f>
        <v>7</v>
      </c>
      <c r="B28" s="2"/>
      <c r="C28" s="114"/>
      <c r="D28" s="96"/>
      <c r="E28" s="42"/>
      <c r="F28" s="97"/>
    </row>
    <row r="29" spans="1:9" ht="13">
      <c r="A29" s="2">
        <f>A28+1</f>
        <v>8</v>
      </c>
      <c r="B29" s="2"/>
      <c r="C29" s="185" t="s">
        <v>504</v>
      </c>
      <c r="E29" s="42"/>
      <c r="F29" s="97"/>
    </row>
    <row r="31" spans="1:9" ht="13">
      <c r="B31" s="1" t="s">
        <v>274</v>
      </c>
    </row>
    <row r="32" spans="1:9" ht="13">
      <c r="A32" s="1"/>
      <c r="B32" s="1"/>
      <c r="C32" s="12" t="s">
        <v>1420</v>
      </c>
    </row>
    <row r="33" spans="1:9" ht="13">
      <c r="A33" s="1"/>
      <c r="B33" s="1"/>
      <c r="C33" s="12" t="s">
        <v>491</v>
      </c>
    </row>
    <row r="34" spans="1:9" ht="13">
      <c r="A34" s="1"/>
      <c r="B34" s="1"/>
      <c r="C34" s="12" t="s">
        <v>492</v>
      </c>
    </row>
    <row r="35" spans="1:9" ht="13">
      <c r="E35" s="2"/>
      <c r="G35" s="2"/>
    </row>
    <row r="36" spans="1:9" ht="13">
      <c r="E36" s="2" t="s">
        <v>63</v>
      </c>
      <c r="G36" s="2" t="s">
        <v>63</v>
      </c>
    </row>
    <row r="37" spans="1:9" ht="13">
      <c r="E37" s="2" t="s">
        <v>8</v>
      </c>
      <c r="F37" s="2" t="s">
        <v>275</v>
      </c>
      <c r="G37" s="2" t="s">
        <v>8</v>
      </c>
    </row>
    <row r="38" spans="1:9" ht="13">
      <c r="A38" s="51" t="s">
        <v>329</v>
      </c>
      <c r="B38" s="51"/>
      <c r="E38" s="3" t="s">
        <v>173</v>
      </c>
      <c r="F38" s="3" t="s">
        <v>35</v>
      </c>
      <c r="G38" s="3" t="s">
        <v>276</v>
      </c>
      <c r="H38" s="3" t="s">
        <v>179</v>
      </c>
    </row>
    <row r="39" spans="1:9" ht="13">
      <c r="A39" s="2">
        <f>A29+1</f>
        <v>9</v>
      </c>
      <c r="B39" s="2"/>
      <c r="C39" t="s">
        <v>225</v>
      </c>
      <c r="E39" s="7">
        <f>'14-IncentivePlant'!E47</f>
        <v>136014895.64741364</v>
      </c>
      <c r="F39" s="97">
        <f>F25</f>
        <v>0.75</v>
      </c>
      <c r="G39" s="7">
        <f>(E39/1000000)*(F39*$G$17)</f>
        <v>672837.11174664518</v>
      </c>
      <c r="H39" s="46" t="str">
        <f>"14-IncentivePlant, L "&amp;'14-IncentivePlant'!A47&amp;", Col. 1"</f>
        <v>14-IncentivePlant, L 14, Col. 1</v>
      </c>
      <c r="I39" s="14"/>
    </row>
    <row r="40" spans="1:9" ht="13">
      <c r="A40" s="2">
        <f>A39+1</f>
        <v>10</v>
      </c>
      <c r="B40" s="2"/>
      <c r="C40" t="s">
        <v>226</v>
      </c>
      <c r="E40" s="7">
        <f>'14-IncentivePlant'!E48</f>
        <v>2517273959.592175</v>
      </c>
      <c r="F40" s="97">
        <f>F26</f>
        <v>1.25</v>
      </c>
      <c r="G40" s="7">
        <f>(E40/1000000)*(F40*$G$17)</f>
        <v>20754042.322413418</v>
      </c>
      <c r="H40" s="46" t="str">
        <f>"14-IncentivePlant, L "&amp;'14-IncentivePlant'!A48&amp;", Col. 1"</f>
        <v>14-IncentivePlant, L 15, Col. 1</v>
      </c>
      <c r="I40" s="14"/>
    </row>
    <row r="41" spans="1:9" ht="13">
      <c r="A41" s="2">
        <f>A40+1</f>
        <v>11</v>
      </c>
      <c r="B41" s="2"/>
      <c r="C41" s="463" t="s">
        <v>2153</v>
      </c>
      <c r="E41" s="7">
        <f>'14-IncentivePlant'!E49</f>
        <v>629713992.18976367</v>
      </c>
      <c r="F41" s="97">
        <f>F27</f>
        <v>1</v>
      </c>
      <c r="G41" s="7">
        <f>(E41/1000000)*(F41*$G$17)</f>
        <v>4153417.086804362</v>
      </c>
      <c r="H41" s="46" t="str">
        <f>"14-IncentivePlant, L "&amp;'14-IncentivePlant'!A49&amp;", Col. 1"</f>
        <v>14-IncentivePlant, L 16, Col. 1</v>
      </c>
      <c r="I41" s="14"/>
    </row>
    <row r="42" spans="1:9" ht="13">
      <c r="A42" s="2">
        <f>A41+1</f>
        <v>12</v>
      </c>
      <c r="B42" s="2"/>
      <c r="C42" s="114"/>
      <c r="D42" s="96"/>
      <c r="H42" s="14"/>
    </row>
    <row r="43" spans="1:9" ht="13">
      <c r="A43" s="2">
        <f>A42+1</f>
        <v>13</v>
      </c>
      <c r="B43" s="2"/>
      <c r="C43" s="185" t="s">
        <v>504</v>
      </c>
      <c r="H43" s="14"/>
    </row>
    <row r="44" spans="1:9" ht="13">
      <c r="A44" s="2">
        <f>A43+1</f>
        <v>14</v>
      </c>
      <c r="F44" s="37" t="s">
        <v>78</v>
      </c>
      <c r="G44" s="7">
        <f>SUM(G39:G42)</f>
        <v>25580296.520964429</v>
      </c>
      <c r="H44" s="462" t="s">
        <v>1650</v>
      </c>
      <c r="I44" s="14"/>
    </row>
    <row r="45" spans="1:9">
      <c r="H45" s="462" t="s">
        <v>1651</v>
      </c>
      <c r="I45" s="63"/>
    </row>
    <row r="46" spans="1:9" ht="13">
      <c r="B46" s="1" t="s">
        <v>1448</v>
      </c>
      <c r="H46" s="14"/>
    </row>
    <row r="47" spans="1:9" ht="13">
      <c r="A47" s="1"/>
      <c r="B47" s="1"/>
      <c r="C47" s="463" t="s">
        <v>1449</v>
      </c>
      <c r="H47" s="14"/>
    </row>
    <row r="48" spans="1:9" ht="13">
      <c r="A48" s="1"/>
      <c r="B48" s="1"/>
      <c r="C48" s="463" t="s">
        <v>1492</v>
      </c>
      <c r="H48" s="14"/>
    </row>
    <row r="49" spans="1:9" ht="13">
      <c r="A49" s="1"/>
      <c r="B49" s="1"/>
      <c r="C49" s="463" t="s">
        <v>1649</v>
      </c>
      <c r="H49" s="14"/>
    </row>
    <row r="50" spans="1:9">
      <c r="H50" s="14"/>
    </row>
    <row r="51" spans="1:9" ht="13">
      <c r="E51" s="2" t="s">
        <v>0</v>
      </c>
      <c r="G51" s="2" t="s">
        <v>0</v>
      </c>
      <c r="H51" s="14"/>
    </row>
    <row r="52" spans="1:9" ht="13">
      <c r="E52" s="2" t="s">
        <v>8</v>
      </c>
      <c r="F52" s="2" t="s">
        <v>275</v>
      </c>
      <c r="G52" s="2" t="s">
        <v>8</v>
      </c>
      <c r="H52" s="14"/>
    </row>
    <row r="53" spans="1:9" ht="13">
      <c r="A53" s="51" t="s">
        <v>329</v>
      </c>
      <c r="B53" s="51"/>
      <c r="E53" s="3" t="s">
        <v>992</v>
      </c>
      <c r="F53" s="3" t="s">
        <v>35</v>
      </c>
      <c r="G53" s="3" t="s">
        <v>276</v>
      </c>
      <c r="H53" s="122" t="s">
        <v>179</v>
      </c>
    </row>
    <row r="54" spans="1:9" ht="13">
      <c r="A54" s="2">
        <f>A44+1</f>
        <v>15</v>
      </c>
      <c r="B54" s="2"/>
      <c r="C54" t="s">
        <v>225</v>
      </c>
      <c r="E54" s="7">
        <f>'14-IncentivePlant'!E61</f>
        <v>138378365.31053418</v>
      </c>
      <c r="F54" s="97">
        <f>F25</f>
        <v>0.75</v>
      </c>
      <c r="G54" s="7">
        <f>(E54/1000000)*(F54*$G$17)</f>
        <v>684528.69960006035</v>
      </c>
      <c r="H54" s="46" t="str">
        <f>"14-IncentivePlant, L "&amp;'14-IncentivePlant'!A61&amp;", Col. 1"</f>
        <v>14-IncentivePlant, L 20, Col. 1</v>
      </c>
      <c r="I54" s="14"/>
    </row>
    <row r="55" spans="1:9" ht="13">
      <c r="A55" s="2">
        <f>A54+1</f>
        <v>16</v>
      </c>
      <c r="B55" s="2"/>
      <c r="C55" t="s">
        <v>226</v>
      </c>
      <c r="E55" s="7">
        <f>'14-IncentivePlant'!E62</f>
        <v>2555469461.3082299</v>
      </c>
      <c r="F55" s="97">
        <f>F26</f>
        <v>1.25</v>
      </c>
      <c r="G55" s="7">
        <f>(E55/1000000)*(F55*$G$17)</f>
        <v>21068950.859134324</v>
      </c>
      <c r="H55" s="46" t="str">
        <f>"14-IncentivePlant, L "&amp;'14-IncentivePlant'!A62&amp;", Col. 1"</f>
        <v>14-IncentivePlant, L 21, Col. 1</v>
      </c>
      <c r="I55" s="14"/>
    </row>
    <row r="56" spans="1:9" ht="13">
      <c r="A56" s="2">
        <f>A55+1</f>
        <v>17</v>
      </c>
      <c r="B56" s="2"/>
      <c r="C56" s="463" t="s">
        <v>2153</v>
      </c>
      <c r="E56" s="7">
        <f>'14-IncentivePlant'!E63</f>
        <v>639557237.65767205</v>
      </c>
      <c r="F56" s="97">
        <f>F27</f>
        <v>1</v>
      </c>
      <c r="G56" s="7">
        <f>(E56/1000000)*(F56*$G$17)</f>
        <v>4218340.3764613913</v>
      </c>
      <c r="H56" s="46" t="str">
        <f>"14-IncentivePlant, L "&amp;'14-IncentivePlant'!A63&amp;", Col. 1"</f>
        <v>14-IncentivePlant, L 22, Col. 1</v>
      </c>
      <c r="I56" s="14"/>
    </row>
    <row r="57" spans="1:9" ht="13">
      <c r="A57" s="2">
        <f>A56+1</f>
        <v>18</v>
      </c>
      <c r="B57" s="2"/>
      <c r="C57" s="114"/>
      <c r="D57" s="96"/>
      <c r="H57" s="14"/>
      <c r="I57" s="14"/>
    </row>
    <row r="58" spans="1:9" ht="13">
      <c r="A58" s="2">
        <f>A57+1</f>
        <v>19</v>
      </c>
      <c r="B58" s="2"/>
      <c r="C58" s="185" t="s">
        <v>504</v>
      </c>
      <c r="H58" s="14"/>
      <c r="I58" s="14"/>
    </row>
    <row r="59" spans="1:9" ht="13">
      <c r="A59" s="2">
        <f>A58+1</f>
        <v>20</v>
      </c>
      <c r="F59" s="461" t="s">
        <v>1450</v>
      </c>
      <c r="G59" s="7">
        <f>SUM(G54:G57)</f>
        <v>25971819.935195774</v>
      </c>
      <c r="H59" s="462" t="s">
        <v>1650</v>
      </c>
      <c r="I59" s="14"/>
    </row>
    <row r="60" spans="1:9">
      <c r="H60" s="462" t="s">
        <v>1651</v>
      </c>
      <c r="I60" s="63"/>
    </row>
    <row r="61" spans="1:9" ht="13">
      <c r="B61" s="1" t="s">
        <v>1507</v>
      </c>
    </row>
    <row r="63" spans="1:9" ht="13">
      <c r="C63" s="1" t="s">
        <v>1508</v>
      </c>
    </row>
    <row r="65" spans="1:7" ht="13">
      <c r="E65" s="486" t="s">
        <v>10</v>
      </c>
    </row>
    <row r="66" spans="1:7" ht="13">
      <c r="C66" s="486" t="s">
        <v>8</v>
      </c>
      <c r="E66" s="486" t="s">
        <v>298</v>
      </c>
    </row>
    <row r="67" spans="1:7" ht="13">
      <c r="A67" s="51" t="s">
        <v>329</v>
      </c>
      <c r="C67" s="3" t="s">
        <v>224</v>
      </c>
      <c r="E67" s="3" t="s">
        <v>3</v>
      </c>
      <c r="F67" s="3" t="s">
        <v>179</v>
      </c>
    </row>
    <row r="68" spans="1:7" ht="13">
      <c r="A68" s="486">
        <f>A59+1</f>
        <v>21</v>
      </c>
      <c r="C68" t="s">
        <v>225</v>
      </c>
      <c r="E68" s="7">
        <f>'14-IncentivePlant'!G61</f>
        <v>138378365.31053418</v>
      </c>
      <c r="F68" s="462" t="str">
        <f>"14-IncentivePlant, L "&amp;'14-IncentivePlant'!A61&amp;", Col. 3"</f>
        <v>14-IncentivePlant, L 20, Col. 3</v>
      </c>
      <c r="G68" s="14"/>
    </row>
    <row r="69" spans="1:7" ht="13">
      <c r="A69" s="486">
        <f t="shared" ref="A69:A71" si="0">A68+1</f>
        <v>22</v>
      </c>
      <c r="C69" t="s">
        <v>226</v>
      </c>
      <c r="E69" s="7">
        <f>'14-IncentivePlant'!G62</f>
        <v>2555311213.3236146</v>
      </c>
      <c r="F69" s="462" t="str">
        <f>"14-IncentivePlant, L "&amp;'14-IncentivePlant'!A62&amp;", Col. 3"</f>
        <v>14-IncentivePlant, L 21, Col. 3</v>
      </c>
      <c r="G69" s="14"/>
    </row>
    <row r="70" spans="1:7" ht="13">
      <c r="A70" s="486">
        <f t="shared" si="0"/>
        <v>23</v>
      </c>
      <c r="C70" s="463" t="s">
        <v>2153</v>
      </c>
      <c r="E70" s="7">
        <f>'14-IncentivePlant'!G63</f>
        <v>639557237.65767205</v>
      </c>
      <c r="F70" s="462" t="str">
        <f>"14-IncentivePlant, L "&amp;'14-IncentivePlant'!A63&amp;", Col. 3"</f>
        <v>14-IncentivePlant, L 22, Col. 3</v>
      </c>
      <c r="G70" s="14"/>
    </row>
    <row r="71" spans="1:7" ht="13">
      <c r="A71" s="486">
        <f t="shared" si="0"/>
        <v>24</v>
      </c>
      <c r="C71" s="114"/>
      <c r="F71" s="462"/>
      <c r="G71" s="14"/>
    </row>
    <row r="72" spans="1:7">
      <c r="C72" s="487" t="s">
        <v>504</v>
      </c>
      <c r="F72" s="14"/>
      <c r="G72" s="14"/>
    </row>
    <row r="73" spans="1:7">
      <c r="C73" s="487"/>
      <c r="F73" s="14"/>
      <c r="G73" s="14"/>
    </row>
    <row r="74" spans="1:7" ht="13">
      <c r="C74" s="1" t="s">
        <v>1509</v>
      </c>
      <c r="F74" s="14"/>
      <c r="G74" s="14"/>
    </row>
    <row r="75" spans="1:7" ht="13">
      <c r="C75" s="1"/>
      <c r="F75" s="14"/>
      <c r="G75" s="14"/>
    </row>
    <row r="76" spans="1:7" ht="13">
      <c r="E76" s="3" t="s">
        <v>358</v>
      </c>
      <c r="F76" s="122" t="s">
        <v>342</v>
      </c>
      <c r="G76" s="14"/>
    </row>
    <row r="77" spans="1:7" ht="13">
      <c r="E77" s="3"/>
      <c r="F77" s="109" t="s">
        <v>1510</v>
      </c>
      <c r="G77" s="14"/>
    </row>
    <row r="78" spans="1:7" ht="13">
      <c r="E78" s="486" t="s">
        <v>279</v>
      </c>
      <c r="F78" s="109" t="s">
        <v>279</v>
      </c>
      <c r="G78" s="14"/>
    </row>
    <row r="79" spans="1:7" ht="13">
      <c r="C79" s="486" t="s">
        <v>8</v>
      </c>
      <c r="E79" s="486" t="s">
        <v>8</v>
      </c>
      <c r="F79" s="109" t="s">
        <v>8</v>
      </c>
      <c r="G79" s="14"/>
    </row>
    <row r="80" spans="1:7" ht="13">
      <c r="A80" s="51" t="s">
        <v>329</v>
      </c>
      <c r="C80" s="3" t="s">
        <v>224</v>
      </c>
      <c r="E80" s="3" t="s">
        <v>276</v>
      </c>
      <c r="F80" s="122" t="s">
        <v>276</v>
      </c>
      <c r="G80" s="122" t="s">
        <v>179</v>
      </c>
    </row>
    <row r="81" spans="1:8" ht="13">
      <c r="A81" s="486">
        <f>A71+1</f>
        <v>25</v>
      </c>
      <c r="C81" t="s">
        <v>225</v>
      </c>
      <c r="E81" s="7">
        <f>(E68/1000000)*(F54*$G$17)</f>
        <v>684528.69960006035</v>
      </c>
      <c r="F81" s="63">
        <f>E81*(1-$G$16)</f>
        <v>492972.9264187779</v>
      </c>
      <c r="G81" s="462" t="s">
        <v>212</v>
      </c>
    </row>
    <row r="82" spans="1:8" ht="13">
      <c r="A82" s="486">
        <f t="shared" ref="A82:A86" si="1">A81+1</f>
        <v>26</v>
      </c>
      <c r="C82" t="s">
        <v>226</v>
      </c>
      <c r="E82" s="7">
        <f>(E69/1000000)*(F55*$G$17)</f>
        <v>21067646.159914907</v>
      </c>
      <c r="F82" s="63">
        <f>E82*(1-$G$16)</f>
        <v>15172160.329108959</v>
      </c>
      <c r="G82" s="462" t="s">
        <v>212</v>
      </c>
    </row>
    <row r="83" spans="1:8" ht="13">
      <c r="A83" s="486">
        <f t="shared" si="1"/>
        <v>27</v>
      </c>
      <c r="C83" s="463" t="s">
        <v>2153</v>
      </c>
      <c r="E83" s="7">
        <f>(E70/1000000)*(F56*$G$17)</f>
        <v>4218340.3764613913</v>
      </c>
      <c r="F83" s="63">
        <f>E83*(1-$G$16)</f>
        <v>3037896.8788739415</v>
      </c>
      <c r="G83" s="462" t="s">
        <v>212</v>
      </c>
    </row>
    <row r="84" spans="1:8" ht="13">
      <c r="A84" s="486">
        <f t="shared" si="1"/>
        <v>28</v>
      </c>
      <c r="C84" s="114"/>
      <c r="E84" s="7"/>
      <c r="F84" s="63"/>
      <c r="G84" s="462" t="s">
        <v>212</v>
      </c>
    </row>
    <row r="85" spans="1:8" ht="13">
      <c r="A85" s="486">
        <f t="shared" si="1"/>
        <v>29</v>
      </c>
      <c r="C85" s="487" t="s">
        <v>504</v>
      </c>
      <c r="E85" s="7"/>
      <c r="F85" s="63"/>
      <c r="G85" s="14"/>
    </row>
    <row r="86" spans="1:8" ht="13">
      <c r="A86" s="486">
        <f t="shared" si="1"/>
        <v>30</v>
      </c>
      <c r="E86" s="461" t="s">
        <v>4</v>
      </c>
      <c r="F86" s="63">
        <f>SUM(F81:F85)</f>
        <v>18703030.134401679</v>
      </c>
      <c r="G86" s="14"/>
    </row>
    <row r="87" spans="1:8">
      <c r="F87" s="14"/>
      <c r="G87" s="14"/>
    </row>
    <row r="88" spans="1:8" ht="13">
      <c r="C88" s="1" t="s">
        <v>1511</v>
      </c>
      <c r="F88" s="14"/>
      <c r="G88" s="14"/>
    </row>
    <row r="89" spans="1:8" ht="13">
      <c r="A89" s="51" t="s">
        <v>329</v>
      </c>
      <c r="F89" s="122" t="s">
        <v>175</v>
      </c>
      <c r="G89" s="122" t="s">
        <v>179</v>
      </c>
    </row>
    <row r="90" spans="1:8" ht="13">
      <c r="A90" s="486">
        <f>A86+1</f>
        <v>31</v>
      </c>
      <c r="E90" s="461" t="s">
        <v>1512</v>
      </c>
      <c r="F90" s="63">
        <f>'4-TUTRR'!J29</f>
        <v>6728008854.1300516</v>
      </c>
      <c r="G90" s="462" t="str">
        <f>"4-TUTRR, Line "&amp;'4-TUTRR'!A29&amp;""</f>
        <v>4-TUTRR, Line 18</v>
      </c>
      <c r="H90" s="14"/>
    </row>
    <row r="91" spans="1:8" ht="13">
      <c r="A91" s="486">
        <f t="shared" ref="A91:A94" si="2">A90+1</f>
        <v>32</v>
      </c>
      <c r="E91" s="461" t="s">
        <v>1513</v>
      </c>
      <c r="F91" s="110">
        <f>'4-TUTRR'!J24</f>
        <v>792332585.2238462</v>
      </c>
      <c r="G91" s="462" t="str">
        <f>"4-TUTRR, Line "&amp;'4-TUTRR'!A24&amp;""</f>
        <v>4-TUTRR, Line 14</v>
      </c>
      <c r="H91" s="14"/>
    </row>
    <row r="92" spans="1:8" ht="13">
      <c r="A92" s="486">
        <f t="shared" si="2"/>
        <v>33</v>
      </c>
      <c r="E92" s="461" t="s">
        <v>1514</v>
      </c>
      <c r="F92" s="63">
        <f>F90-F91</f>
        <v>5935676268.9062052</v>
      </c>
      <c r="G92" s="112" t="str">
        <f>"Line "&amp;A90&amp;" - Line "&amp;A91&amp;""</f>
        <v>Line 31 - Line 32</v>
      </c>
      <c r="H92" s="14"/>
    </row>
    <row r="93" spans="1:8" ht="13">
      <c r="A93" s="486">
        <f t="shared" si="2"/>
        <v>34</v>
      </c>
      <c r="E93" s="461" t="s">
        <v>1515</v>
      </c>
      <c r="F93" s="67">
        <f>'1-BaseTRR'!K82</f>
        <v>0.47499999999999998</v>
      </c>
      <c r="G93" s="462" t="str">
        <f>"1-BaseTRR, Line "&amp;'1-BaseTRR'!A82&amp;""</f>
        <v>1-BaseTRR, Line 47</v>
      </c>
      <c r="H93" s="14"/>
    </row>
    <row r="94" spans="1:8" ht="13">
      <c r="A94" s="486">
        <f t="shared" si="2"/>
        <v>35</v>
      </c>
      <c r="E94" s="461" t="s">
        <v>1516</v>
      </c>
      <c r="F94" s="7">
        <f>F92*F93</f>
        <v>2819446227.7304473</v>
      </c>
      <c r="G94" s="112" t="str">
        <f>"Line "&amp;A92&amp;" * Line "&amp;A93&amp;""</f>
        <v>Line 33 * Line 34</v>
      </c>
      <c r="H94" s="14"/>
    </row>
    <row r="96" spans="1:8" ht="13">
      <c r="C96" s="1" t="s">
        <v>1517</v>
      </c>
    </row>
    <row r="97" spans="1:9" ht="13">
      <c r="A97" s="51" t="s">
        <v>329</v>
      </c>
    </row>
    <row r="98" spans="1:9" ht="13">
      <c r="A98" s="486">
        <f>A94+1</f>
        <v>36</v>
      </c>
      <c r="E98" s="461" t="s">
        <v>1518</v>
      </c>
      <c r="F98" s="42">
        <f>F86/F94</f>
        <v>6.633582847031967E-3</v>
      </c>
      <c r="G98" s="112" t="str">
        <f>"Line "&amp;A86&amp;" / Line "&amp;A94&amp;""</f>
        <v>Line 30 / Line 35</v>
      </c>
      <c r="H98" s="14"/>
    </row>
    <row r="99" spans="1:9" ht="13">
      <c r="A99" s="486">
        <f t="shared" ref="A99:A101" si="3">A98+1</f>
        <v>37</v>
      </c>
      <c r="E99" s="461" t="s">
        <v>1519</v>
      </c>
      <c r="G99" s="14"/>
      <c r="H99" s="14"/>
    </row>
    <row r="100" spans="1:9" ht="13">
      <c r="A100" s="486">
        <f t="shared" si="3"/>
        <v>38</v>
      </c>
      <c r="E100" s="461" t="s">
        <v>1520</v>
      </c>
      <c r="F100" s="488">
        <f>'1-BaseTRR'!K87</f>
        <v>0.10299999999999999</v>
      </c>
      <c r="G100" s="462" t="str">
        <f>"1-BaseTRR, Line "&amp;'1-BaseTRR'!A87&amp;""</f>
        <v>1-BaseTRR, Line 50</v>
      </c>
      <c r="H100" s="14"/>
      <c r="I100" s="14"/>
    </row>
    <row r="101" spans="1:9" ht="13">
      <c r="A101" s="486">
        <f t="shared" si="3"/>
        <v>39</v>
      </c>
      <c r="E101" s="461" t="s">
        <v>1521</v>
      </c>
      <c r="F101" s="42">
        <f>F98+F100</f>
        <v>0.10963358284703197</v>
      </c>
      <c r="G101" s="112" t="str">
        <f>"Line "&amp;A98&amp;" + Line "&amp;A100&amp;""</f>
        <v>Line 36 + Line 38</v>
      </c>
      <c r="H101" s="14"/>
      <c r="I101" s="14"/>
    </row>
    <row r="102" spans="1:9">
      <c r="G102" s="14"/>
      <c r="H102" s="14"/>
      <c r="I102" s="14"/>
    </row>
    <row r="103" spans="1:9" ht="13">
      <c r="B103" s="1" t="s">
        <v>377</v>
      </c>
    </row>
    <row r="104" spans="1:9">
      <c r="B104" s="463" t="s">
        <v>526</v>
      </c>
    </row>
    <row r="105" spans="1:9">
      <c r="B105" s="463" t="s">
        <v>527</v>
      </c>
    </row>
    <row r="107" spans="1:9" ht="13">
      <c r="B107" s="1" t="s">
        <v>230</v>
      </c>
    </row>
    <row r="108" spans="1:9">
      <c r="B108" s="465" t="str">
        <f>"1) Column 1: The True Up Incentive Adder for each Incentive Project equals the IREF on Line "&amp;A17&amp;","</f>
        <v>1) Column 1: The True Up Incentive Adder for each Incentive Project equals the IREF on Line 3,</v>
      </c>
    </row>
    <row r="109" spans="1:9">
      <c r="B109" s="465" t="str">
        <f>"times the applicable Multiplicative Factor on Lines "&amp;A54&amp;" to "&amp;A57&amp;", times the million $ of"</f>
        <v>times the applicable Multiplicative Factor on Lines 15 to 18, times the million $ of</v>
      </c>
    </row>
    <row r="110" spans="1:9">
      <c r="B110" s="465" t="str">
        <f>"TIP Net Plant In Service on Lines "&amp;A68&amp;" to "&amp;A71&amp;"."</f>
        <v>TIP Net Plant In Service on Lines 21 to 24.</v>
      </c>
    </row>
    <row r="111" spans="1:9">
      <c r="B111" s="465" t="s">
        <v>1522</v>
      </c>
    </row>
    <row r="112" spans="1:9">
      <c r="B112" s="465" t="str">
        <f>"Column 1 by (1 - CTR) (Where the CTR is on Line "&amp;A16&amp;")."</f>
        <v>Column 1 by (1 - CTR) (Where the CTR is on Line 2).</v>
      </c>
    </row>
  </sheetData>
  <phoneticPr fontId="23" type="noConversion"/>
  <pageMargins left="0.75" right="0.75" top="1" bottom="1" header="0.5" footer="0.5"/>
  <pageSetup scale="75" orientation="portrait" cellComments="asDisplayed" r:id="rId1"/>
  <headerFooter alignWithMargins="0">
    <oddHeader>&amp;CSchedule 15
Incentive Adders
&amp;RTO2022 Annual Update 
Attachment 1</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04"/>
  <sheetViews>
    <sheetView zoomScaleNormal="100" zoomScalePageLayoutView="60" workbookViewId="0"/>
  </sheetViews>
  <sheetFormatPr defaultColWidth="9.453125" defaultRowHeight="12.5"/>
  <cols>
    <col min="1" max="1" width="4.54296875" style="616" customWidth="1"/>
    <col min="2" max="2" width="6" style="616" customWidth="1"/>
    <col min="3" max="3" width="15.54296875" style="616" customWidth="1"/>
    <col min="4" max="4" width="9.453125" style="616" customWidth="1"/>
    <col min="5" max="6" width="14.54296875" style="616" customWidth="1"/>
    <col min="7" max="7" width="16" style="616" bestFit="1" customWidth="1"/>
    <col min="8" max="8" width="18.453125" style="616" customWidth="1"/>
    <col min="9" max="10" width="15.54296875" style="616" customWidth="1"/>
    <col min="11" max="11" width="16.54296875" style="616" customWidth="1"/>
    <col min="12" max="13" width="15.54296875" style="616" customWidth="1"/>
    <col min="14" max="14" width="17" style="616" customWidth="1"/>
    <col min="15" max="16" width="15.54296875" style="616" customWidth="1"/>
    <col min="17" max="17" width="2.54296875" style="616" customWidth="1"/>
    <col min="18" max="21" width="18.54296875" style="616" customWidth="1"/>
    <col min="22" max="22" width="15.54296875" style="616" customWidth="1"/>
    <col min="23" max="23" width="20.54296875" style="616" bestFit="1" customWidth="1"/>
    <col min="24" max="40" width="15.54296875" style="616" customWidth="1"/>
    <col min="41" max="16384" width="9.453125" style="616"/>
  </cols>
  <sheetData>
    <row r="1" spans="1:40" ht="13">
      <c r="A1" s="580" t="s">
        <v>1421</v>
      </c>
    </row>
    <row r="2" spans="1:40">
      <c r="F2" s="617" t="s">
        <v>348</v>
      </c>
      <c r="G2" s="617"/>
    </row>
    <row r="3" spans="1:40">
      <c r="B3" s="581" t="s">
        <v>1422</v>
      </c>
    </row>
    <row r="4" spans="1:40">
      <c r="B4" s="581" t="s">
        <v>1941</v>
      </c>
    </row>
    <row r="5" spans="1:40">
      <c r="B5" s="581" t="s">
        <v>1942</v>
      </c>
    </row>
    <row r="6" spans="1:40">
      <c r="B6" s="581"/>
    </row>
    <row r="7" spans="1:40" ht="13">
      <c r="B7" s="580" t="s">
        <v>1943</v>
      </c>
      <c r="H7" s="581"/>
      <c r="I7" s="581"/>
    </row>
    <row r="8" spans="1:40" ht="13">
      <c r="B8" s="581"/>
      <c r="E8" s="618" t="s">
        <v>358</v>
      </c>
      <c r="F8" s="618" t="s">
        <v>342</v>
      </c>
      <c r="G8" s="618" t="s">
        <v>343</v>
      </c>
      <c r="H8" s="618" t="s">
        <v>344</v>
      </c>
      <c r="I8" s="618" t="s">
        <v>345</v>
      </c>
      <c r="J8" s="618" t="s">
        <v>346</v>
      </c>
      <c r="K8" s="618" t="s">
        <v>347</v>
      </c>
      <c r="L8" s="618" t="s">
        <v>534</v>
      </c>
      <c r="M8" s="618" t="s">
        <v>949</v>
      </c>
      <c r="N8" s="618" t="s">
        <v>961</v>
      </c>
      <c r="O8" s="618" t="s">
        <v>964</v>
      </c>
      <c r="P8" s="618" t="s">
        <v>982</v>
      </c>
      <c r="T8" s="618"/>
      <c r="U8" s="618"/>
      <c r="X8" s="619"/>
      <c r="Y8" s="619"/>
      <c r="Z8" s="619"/>
      <c r="AA8" s="619"/>
      <c r="AB8" s="619"/>
      <c r="AC8" s="619"/>
      <c r="AD8" s="619"/>
      <c r="AE8" s="619"/>
      <c r="AF8" s="619"/>
      <c r="AG8" s="619"/>
      <c r="AH8" s="619"/>
      <c r="AI8" s="619"/>
      <c r="AJ8" s="619"/>
      <c r="AK8" s="619"/>
      <c r="AL8" s="619"/>
      <c r="AM8" s="619"/>
      <c r="AN8" s="619"/>
    </row>
    <row r="9" spans="1:40">
      <c r="B9" s="581"/>
      <c r="E9" s="1133" t="s">
        <v>211</v>
      </c>
      <c r="F9" s="1133" t="s">
        <v>211</v>
      </c>
      <c r="G9" s="1133" t="s">
        <v>211</v>
      </c>
      <c r="H9" s="1133" t="s">
        <v>211</v>
      </c>
      <c r="I9" s="1133" t="s">
        <v>211</v>
      </c>
      <c r="J9" s="1133" t="s">
        <v>211</v>
      </c>
      <c r="K9" s="1133" t="s">
        <v>211</v>
      </c>
      <c r="L9" s="1133" t="s">
        <v>211</v>
      </c>
      <c r="M9" s="1133" t="s">
        <v>211</v>
      </c>
      <c r="N9" s="1133" t="s">
        <v>211</v>
      </c>
      <c r="O9" s="1133" t="s">
        <v>211</v>
      </c>
      <c r="P9" s="1133" t="s">
        <v>211</v>
      </c>
      <c r="Q9" s="621"/>
    </row>
    <row r="10" spans="1:40" ht="13">
      <c r="C10" s="622" t="s">
        <v>198</v>
      </c>
      <c r="E10" s="622" t="s">
        <v>1914</v>
      </c>
      <c r="F10" s="622"/>
      <c r="G10" s="622"/>
      <c r="H10" s="623"/>
      <c r="I10" s="623" t="s">
        <v>1899</v>
      </c>
      <c r="J10" s="623"/>
      <c r="K10" s="623"/>
      <c r="L10" s="623"/>
      <c r="M10" s="623"/>
      <c r="O10" s="622" t="s">
        <v>1914</v>
      </c>
      <c r="P10" s="622" t="s">
        <v>1944</v>
      </c>
      <c r="T10" s="623"/>
      <c r="U10" s="623"/>
      <c r="X10" s="623"/>
      <c r="Y10" s="623"/>
      <c r="Z10" s="623"/>
      <c r="AA10" s="623"/>
      <c r="AB10" s="623"/>
      <c r="AC10" s="623"/>
      <c r="AD10" s="623"/>
      <c r="AE10" s="623"/>
      <c r="AF10" s="623"/>
      <c r="AG10" s="623"/>
      <c r="AH10" s="623"/>
      <c r="AI10" s="623"/>
      <c r="AJ10" s="623"/>
      <c r="AK10" s="623"/>
      <c r="AL10" s="623"/>
      <c r="AM10" s="623"/>
      <c r="AN10" s="623"/>
    </row>
    <row r="11" spans="1:40" ht="13">
      <c r="B11" s="580"/>
      <c r="C11" s="622" t="s">
        <v>199</v>
      </c>
      <c r="E11" s="622" t="s">
        <v>196</v>
      </c>
      <c r="F11" s="622" t="s">
        <v>1916</v>
      </c>
      <c r="G11" s="623" t="s">
        <v>1917</v>
      </c>
      <c r="H11" s="623" t="s">
        <v>1900</v>
      </c>
      <c r="I11" s="623" t="s">
        <v>1945</v>
      </c>
      <c r="J11" s="623"/>
      <c r="K11" s="623" t="s">
        <v>296</v>
      </c>
      <c r="L11" s="623" t="s">
        <v>1080</v>
      </c>
      <c r="M11" s="623" t="s">
        <v>296</v>
      </c>
      <c r="O11" s="623" t="s">
        <v>1602</v>
      </c>
      <c r="P11" s="623" t="s">
        <v>1602</v>
      </c>
      <c r="T11" s="623"/>
      <c r="U11" s="623"/>
      <c r="X11" s="623"/>
      <c r="Y11" s="623"/>
      <c r="Z11" s="623"/>
      <c r="AA11" s="623"/>
      <c r="AB11" s="623"/>
      <c r="AC11" s="623"/>
      <c r="AD11" s="623"/>
      <c r="AE11" s="623"/>
      <c r="AF11" s="623"/>
      <c r="AG11" s="623"/>
      <c r="AH11" s="623"/>
      <c r="AI11" s="623"/>
      <c r="AJ11" s="623"/>
      <c r="AK11" s="623"/>
      <c r="AL11" s="623"/>
      <c r="AM11" s="623"/>
      <c r="AN11" s="623"/>
    </row>
    <row r="12" spans="1:40" ht="13">
      <c r="A12" s="624" t="s">
        <v>329</v>
      </c>
      <c r="C12" s="607" t="s">
        <v>192</v>
      </c>
      <c r="D12" s="607" t="s">
        <v>193</v>
      </c>
      <c r="E12" s="619" t="s">
        <v>1920</v>
      </c>
      <c r="F12" s="619" t="s">
        <v>1921</v>
      </c>
      <c r="G12" s="625" t="s">
        <v>1922</v>
      </c>
      <c r="H12" s="625" t="s">
        <v>1014</v>
      </c>
      <c r="I12" s="625" t="s">
        <v>1000</v>
      </c>
      <c r="J12" s="625" t="s">
        <v>1899</v>
      </c>
      <c r="K12" s="625" t="s">
        <v>457</v>
      </c>
      <c r="L12" s="625" t="s">
        <v>1905</v>
      </c>
      <c r="M12" s="625" t="s">
        <v>1312</v>
      </c>
      <c r="N12" s="625" t="s">
        <v>992</v>
      </c>
      <c r="O12" s="625" t="s">
        <v>1000</v>
      </c>
      <c r="P12" s="625" t="s">
        <v>1000</v>
      </c>
      <c r="T12" s="625"/>
      <c r="U12" s="625"/>
      <c r="V12" s="625"/>
      <c r="W12" s="625"/>
      <c r="X12" s="625"/>
      <c r="Y12" s="625"/>
      <c r="Z12" s="625"/>
      <c r="AA12" s="625"/>
      <c r="AB12" s="625"/>
      <c r="AC12" s="625"/>
      <c r="AD12" s="625"/>
      <c r="AE12" s="625"/>
      <c r="AF12" s="625"/>
      <c r="AG12" s="625"/>
      <c r="AH12" s="625"/>
      <c r="AI12" s="625"/>
      <c r="AJ12" s="625"/>
      <c r="AK12" s="625"/>
      <c r="AL12" s="625"/>
      <c r="AM12" s="625"/>
      <c r="AN12" s="625"/>
    </row>
    <row r="13" spans="1:40" ht="13">
      <c r="A13" s="622">
        <v>1</v>
      </c>
      <c r="C13" s="616" t="str">
        <f>C45</f>
        <v>January</v>
      </c>
      <c r="D13" s="837">
        <v>2021</v>
      </c>
      <c r="E13" s="578">
        <f t="shared" ref="E13:P13" si="0">E45+E76</f>
        <v>33776904.875263691</v>
      </c>
      <c r="F13" s="578">
        <f t="shared" si="0"/>
        <v>15363596.073333334</v>
      </c>
      <c r="G13" s="578">
        <f t="shared" si="0"/>
        <v>1380998.1601447766</v>
      </c>
      <c r="H13" s="578">
        <f t="shared" si="0"/>
        <v>1572636.0768712107</v>
      </c>
      <c r="I13" s="578">
        <f t="shared" si="0"/>
        <v>18085314.88401892</v>
      </c>
      <c r="J13" s="578">
        <f t="shared" si="0"/>
        <v>542559.44652056764</v>
      </c>
      <c r="K13" s="578">
        <f t="shared" si="0"/>
        <v>34127826.405057818</v>
      </c>
      <c r="L13" s="578">
        <f t="shared" si="0"/>
        <v>0</v>
      </c>
      <c r="M13" s="578">
        <f>M45+M76</f>
        <v>0</v>
      </c>
      <c r="N13" s="578">
        <f t="shared" ref="N13:N36" si="1">N45+N76</f>
        <v>34127826.405057818</v>
      </c>
      <c r="O13" s="578">
        <f t="shared" si="0"/>
        <v>151333.95569035513</v>
      </c>
      <c r="P13" s="578">
        <f t="shared" si="0"/>
        <v>153846.09935481503</v>
      </c>
      <c r="T13" s="626"/>
      <c r="U13" s="626"/>
      <c r="V13" s="627"/>
      <c r="W13" s="626"/>
      <c r="X13" s="628"/>
      <c r="Y13" s="475"/>
      <c r="Z13" s="626"/>
      <c r="AA13" s="626"/>
      <c r="AB13" s="626"/>
      <c r="AC13" s="626"/>
      <c r="AD13" s="626"/>
      <c r="AE13" s="626"/>
      <c r="AF13" s="626"/>
      <c r="AG13" s="626"/>
      <c r="AH13" s="626"/>
      <c r="AI13" s="626"/>
      <c r="AJ13" s="626"/>
      <c r="AK13" s="626"/>
      <c r="AL13" s="626"/>
      <c r="AM13" s="626"/>
      <c r="AN13" s="626"/>
    </row>
    <row r="14" spans="1:40" ht="13">
      <c r="A14" s="622">
        <f>A13+1</f>
        <v>2</v>
      </c>
      <c r="C14" s="616" t="str">
        <f t="shared" ref="C14:C29" si="2">C46</f>
        <v>February</v>
      </c>
      <c r="D14" s="837">
        <v>2021</v>
      </c>
      <c r="E14" s="578">
        <f t="shared" ref="E14" si="3">E46+E77</f>
        <v>18607575.711863689</v>
      </c>
      <c r="F14" s="578">
        <f t="shared" ref="F14:P14" si="4">F46+F77</f>
        <v>959336.86333333387</v>
      </c>
      <c r="G14" s="578">
        <f t="shared" si="4"/>
        <v>1323617.9136397766</v>
      </c>
      <c r="H14" s="578">
        <f t="shared" si="4"/>
        <v>1550439.7348712108</v>
      </c>
      <c r="I14" s="578">
        <f t="shared" si="4"/>
        <v>17830056.951018922</v>
      </c>
      <c r="J14" s="578">
        <f t="shared" si="4"/>
        <v>534901.70853056759</v>
      </c>
      <c r="K14" s="578">
        <f t="shared" si="4"/>
        <v>53043482.00422065</v>
      </c>
      <c r="L14" s="578">
        <f t="shared" si="4"/>
        <v>72445.261769311925</v>
      </c>
      <c r="M14" s="578">
        <f t="shared" si="4"/>
        <v>72445.261769311925</v>
      </c>
      <c r="N14" s="578">
        <f t="shared" si="1"/>
        <v>52971036.742451333</v>
      </c>
      <c r="O14" s="578">
        <f t="shared" si="4"/>
        <v>302667.91138071025</v>
      </c>
      <c r="P14" s="578">
        <f t="shared" si="4"/>
        <v>307692.19870963006</v>
      </c>
      <c r="T14" s="626"/>
      <c r="U14" s="626"/>
      <c r="V14" s="627"/>
      <c r="W14" s="626"/>
      <c r="X14" s="628"/>
      <c r="Y14" s="475"/>
      <c r="Z14" s="626"/>
      <c r="AA14" s="626"/>
      <c r="AB14" s="626"/>
      <c r="AC14" s="626"/>
      <c r="AD14" s="626"/>
      <c r="AE14" s="626"/>
      <c r="AF14" s="626"/>
      <c r="AG14" s="626"/>
      <c r="AH14" s="626"/>
      <c r="AI14" s="626"/>
      <c r="AJ14" s="626"/>
      <c r="AK14" s="626"/>
      <c r="AL14" s="626"/>
      <c r="AM14" s="626"/>
      <c r="AN14" s="626"/>
    </row>
    <row r="15" spans="1:40" ht="13">
      <c r="A15" s="622">
        <f t="shared" ref="A15:A37" si="5">A14+1</f>
        <v>3</v>
      </c>
      <c r="C15" s="616" t="str">
        <f t="shared" si="2"/>
        <v>March</v>
      </c>
      <c r="D15" s="837">
        <v>2021</v>
      </c>
      <c r="E15" s="578">
        <f t="shared" ref="E15" si="6">E47+E78</f>
        <v>19161688.262863692</v>
      </c>
      <c r="F15" s="578">
        <f t="shared" ref="F15:P15" si="7">F47+F78</f>
        <v>959336.86333333387</v>
      </c>
      <c r="G15" s="578">
        <f t="shared" si="7"/>
        <v>1365176.3549647767</v>
      </c>
      <c r="H15" s="578">
        <f t="shared" si="7"/>
        <v>1550439.7348712108</v>
      </c>
      <c r="I15" s="578">
        <f t="shared" si="7"/>
        <v>17830056.951018922</v>
      </c>
      <c r="J15" s="578">
        <f t="shared" si="7"/>
        <v>534901.70853056759</v>
      </c>
      <c r="K15" s="578">
        <f t="shared" si="7"/>
        <v>72554808.595708475</v>
      </c>
      <c r="L15" s="578">
        <f t="shared" si="7"/>
        <v>112598.70152123275</v>
      </c>
      <c r="M15" s="578">
        <f t="shared" si="7"/>
        <v>185043.96329054469</v>
      </c>
      <c r="N15" s="578">
        <f t="shared" si="1"/>
        <v>72369764.632417932</v>
      </c>
      <c r="O15" s="578">
        <f t="shared" si="7"/>
        <v>454001.86707106541</v>
      </c>
      <c r="P15" s="578">
        <f t="shared" si="7"/>
        <v>461538.29806444509</v>
      </c>
      <c r="T15" s="626"/>
      <c r="U15" s="626"/>
      <c r="V15" s="627"/>
      <c r="W15" s="626"/>
      <c r="X15" s="628"/>
      <c r="Y15" s="475"/>
      <c r="Z15" s="626"/>
      <c r="AA15" s="626"/>
      <c r="AB15" s="626"/>
      <c r="AC15" s="626"/>
      <c r="AD15" s="626"/>
      <c r="AE15" s="626"/>
      <c r="AF15" s="626"/>
      <c r="AG15" s="626"/>
      <c r="AH15" s="626"/>
      <c r="AI15" s="626"/>
      <c r="AJ15" s="626"/>
      <c r="AK15" s="626"/>
      <c r="AL15" s="626"/>
      <c r="AM15" s="626"/>
      <c r="AN15" s="626"/>
    </row>
    <row r="16" spans="1:40" ht="13">
      <c r="A16" s="622">
        <f t="shared" si="5"/>
        <v>4</v>
      </c>
      <c r="C16" s="616" t="str">
        <f t="shared" si="2"/>
        <v>April</v>
      </c>
      <c r="D16" s="837">
        <v>2021</v>
      </c>
      <c r="E16" s="578">
        <f t="shared" ref="E16" si="8">E48+E79</f>
        <v>58407689.296583056</v>
      </c>
      <c r="F16" s="578">
        <f t="shared" ref="F16:P16" si="9">F48+F79</f>
        <v>34816861.69333332</v>
      </c>
      <c r="G16" s="578">
        <f t="shared" si="9"/>
        <v>1769312.0702437304</v>
      </c>
      <c r="H16" s="578">
        <f t="shared" si="9"/>
        <v>1784539.6118794773</v>
      </c>
      <c r="I16" s="578">
        <f t="shared" si="9"/>
        <v>20522205.536613986</v>
      </c>
      <c r="J16" s="578">
        <f t="shared" si="9"/>
        <v>615666.16609841958</v>
      </c>
      <c r="K16" s="578">
        <f t="shared" si="9"/>
        <v>131562936.5167542</v>
      </c>
      <c r="L16" s="578">
        <f t="shared" si="9"/>
        <v>154016.60917260865</v>
      </c>
      <c r="M16" s="578">
        <f t="shared" si="9"/>
        <v>339060.57246315334</v>
      </c>
      <c r="N16" s="578">
        <f t="shared" si="1"/>
        <v>131223875.94429106</v>
      </c>
      <c r="O16" s="578">
        <f t="shared" si="9"/>
        <v>605335.82276142051</v>
      </c>
      <c r="P16" s="578">
        <f t="shared" si="9"/>
        <v>615384.39741926012</v>
      </c>
      <c r="T16" s="626"/>
      <c r="U16" s="626"/>
      <c r="V16" s="627"/>
      <c r="W16" s="626"/>
      <c r="X16" s="628"/>
      <c r="Y16" s="475"/>
      <c r="Z16" s="626"/>
      <c r="AA16" s="626"/>
      <c r="AB16" s="626"/>
      <c r="AC16" s="626"/>
      <c r="AD16" s="626"/>
      <c r="AE16" s="626"/>
      <c r="AF16" s="626"/>
      <c r="AG16" s="626"/>
      <c r="AH16" s="626"/>
      <c r="AI16" s="626"/>
      <c r="AJ16" s="626"/>
      <c r="AK16" s="626"/>
      <c r="AL16" s="626"/>
      <c r="AM16" s="626"/>
      <c r="AN16" s="626"/>
    </row>
    <row r="17" spans="1:40" ht="13">
      <c r="A17" s="622">
        <f t="shared" si="5"/>
        <v>5</v>
      </c>
      <c r="C17" s="616" t="str">
        <f t="shared" si="2"/>
        <v>May</v>
      </c>
      <c r="D17" s="837">
        <v>2021</v>
      </c>
      <c r="E17" s="578">
        <f t="shared" ref="E17" si="10">E49+E80</f>
        <v>676237110.02816343</v>
      </c>
      <c r="F17" s="578">
        <f t="shared" ref="F17:P17" si="11">F49+F80</f>
        <v>632399579.33803308</v>
      </c>
      <c r="G17" s="578">
        <f t="shared" si="11"/>
        <v>3287814.8017597767</v>
      </c>
      <c r="H17" s="578">
        <f t="shared" si="11"/>
        <v>1602868.5753512112</v>
      </c>
      <c r="I17" s="578">
        <f t="shared" si="11"/>
        <v>18432988.616538927</v>
      </c>
      <c r="J17" s="578">
        <f t="shared" si="11"/>
        <v>552989.65849616774</v>
      </c>
      <c r="K17" s="578">
        <f t="shared" si="11"/>
        <v>810037982.42982233</v>
      </c>
      <c r="L17" s="578">
        <f t="shared" si="11"/>
        <v>279276.83591601637</v>
      </c>
      <c r="M17" s="578">
        <f t="shared" si="11"/>
        <v>618337.40837916965</v>
      </c>
      <c r="N17" s="578">
        <f t="shared" si="1"/>
        <v>809419645.02144313</v>
      </c>
      <c r="O17" s="578">
        <f t="shared" si="11"/>
        <v>756669.77845177578</v>
      </c>
      <c r="P17" s="578">
        <f t="shared" si="11"/>
        <v>769230.4967740752</v>
      </c>
      <c r="T17" s="626"/>
      <c r="U17" s="626"/>
      <c r="V17" s="627"/>
      <c r="W17" s="626"/>
      <c r="X17" s="628"/>
      <c r="Y17" s="475"/>
      <c r="Z17" s="626"/>
      <c r="AA17" s="626"/>
      <c r="AB17" s="626"/>
      <c r="AC17" s="626"/>
      <c r="AD17" s="626"/>
      <c r="AE17" s="626"/>
      <c r="AF17" s="626"/>
      <c r="AG17" s="626"/>
      <c r="AH17" s="626"/>
      <c r="AI17" s="626"/>
      <c r="AJ17" s="626"/>
      <c r="AK17" s="626"/>
      <c r="AL17" s="626"/>
      <c r="AM17" s="626"/>
      <c r="AN17" s="626"/>
    </row>
    <row r="18" spans="1:40" ht="13">
      <c r="A18" s="622">
        <f t="shared" si="5"/>
        <v>6</v>
      </c>
      <c r="C18" s="616" t="str">
        <f t="shared" si="2"/>
        <v xml:space="preserve">June </v>
      </c>
      <c r="D18" s="837">
        <v>2021</v>
      </c>
      <c r="E18" s="578">
        <f t="shared" ref="E18" si="12">E50+E81</f>
        <v>38013669.383463711</v>
      </c>
      <c r="F18" s="578">
        <f t="shared" ref="F18:P18" si="13">F50+F81</f>
        <v>11297975.373333339</v>
      </c>
      <c r="G18" s="578">
        <f t="shared" si="13"/>
        <v>2003677.0507597781</v>
      </c>
      <c r="H18" s="578">
        <f t="shared" si="13"/>
        <v>1732640.6248712123</v>
      </c>
      <c r="I18" s="578">
        <f t="shared" si="13"/>
        <v>19925367.18601894</v>
      </c>
      <c r="J18" s="578">
        <f t="shared" si="13"/>
        <v>597761.01558056823</v>
      </c>
      <c r="K18" s="578">
        <f t="shared" si="13"/>
        <v>848920449.25475526</v>
      </c>
      <c r="L18" s="578">
        <f t="shared" si="13"/>
        <v>1719518.0549651636</v>
      </c>
      <c r="M18" s="578">
        <f t="shared" si="13"/>
        <v>2337855.4633443332</v>
      </c>
      <c r="N18" s="578">
        <f t="shared" si="1"/>
        <v>846582593.7914108</v>
      </c>
      <c r="O18" s="578">
        <f t="shared" si="13"/>
        <v>908003.73414213094</v>
      </c>
      <c r="P18" s="578">
        <f t="shared" si="13"/>
        <v>923076.59612889029</v>
      </c>
      <c r="T18" s="626"/>
      <c r="U18" s="626"/>
      <c r="V18" s="627"/>
      <c r="W18" s="626"/>
      <c r="X18" s="628"/>
      <c r="Y18" s="475"/>
      <c r="Z18" s="626"/>
      <c r="AA18" s="626"/>
      <c r="AB18" s="626"/>
      <c r="AC18" s="626"/>
      <c r="AD18" s="626"/>
      <c r="AE18" s="626"/>
      <c r="AF18" s="626"/>
      <c r="AG18" s="626"/>
      <c r="AH18" s="626"/>
      <c r="AI18" s="626"/>
      <c r="AJ18" s="626"/>
      <c r="AK18" s="626"/>
      <c r="AL18" s="626"/>
      <c r="AM18" s="626"/>
      <c r="AN18" s="626"/>
    </row>
    <row r="19" spans="1:40" ht="13">
      <c r="A19" s="622">
        <f t="shared" si="5"/>
        <v>7</v>
      </c>
      <c r="C19" s="616" t="str">
        <f t="shared" si="2"/>
        <v>July</v>
      </c>
      <c r="D19" s="837">
        <v>2021</v>
      </c>
      <c r="E19" s="578">
        <f t="shared" ref="E19" si="14">E51+E82</f>
        <v>29000161.426663667</v>
      </c>
      <c r="F19" s="578">
        <f t="shared" ref="F19:P19" si="15">F51+F82</f>
        <v>7547156.6365333339</v>
      </c>
      <c r="G19" s="578">
        <f t="shared" si="15"/>
        <v>1608975.3592597747</v>
      </c>
      <c r="H19" s="578">
        <f t="shared" si="15"/>
        <v>1568837.1799512086</v>
      </c>
      <c r="I19" s="578">
        <f t="shared" si="15"/>
        <v>18041627.569438897</v>
      </c>
      <c r="J19" s="578">
        <f t="shared" si="15"/>
        <v>541248.82708316692</v>
      </c>
      <c r="K19" s="578">
        <f t="shared" si="15"/>
        <v>878501997.68781054</v>
      </c>
      <c r="L19" s="578">
        <f t="shared" si="15"/>
        <v>1802056.2879582671</v>
      </c>
      <c r="M19" s="578">
        <f t="shared" si="15"/>
        <v>4139911.7513025999</v>
      </c>
      <c r="N19" s="578">
        <f t="shared" si="1"/>
        <v>874362085.93650794</v>
      </c>
      <c r="O19" s="578">
        <f t="shared" si="15"/>
        <v>1141443.783032486</v>
      </c>
      <c r="P19" s="578">
        <f t="shared" si="15"/>
        <v>1160391.7498308253</v>
      </c>
      <c r="T19" s="626"/>
      <c r="U19" s="626"/>
      <c r="V19" s="627"/>
      <c r="W19" s="626"/>
      <c r="X19" s="628"/>
      <c r="Y19" s="475"/>
      <c r="Z19" s="626"/>
      <c r="AA19" s="626"/>
      <c r="AB19" s="626"/>
      <c r="AC19" s="626"/>
      <c r="AD19" s="626"/>
      <c r="AE19" s="626"/>
      <c r="AF19" s="626"/>
      <c r="AG19" s="626"/>
      <c r="AH19" s="626"/>
      <c r="AI19" s="626"/>
      <c r="AJ19" s="626"/>
      <c r="AK19" s="626"/>
      <c r="AL19" s="626"/>
      <c r="AM19" s="626"/>
      <c r="AN19" s="626"/>
    </row>
    <row r="20" spans="1:40" ht="13">
      <c r="A20" s="622">
        <f t="shared" si="5"/>
        <v>8</v>
      </c>
      <c r="C20" s="616" t="str">
        <f t="shared" si="2"/>
        <v>August</v>
      </c>
      <c r="D20" s="837">
        <v>2021</v>
      </c>
      <c r="E20" s="578">
        <f t="shared" ref="E20" si="16">E52+E83</f>
        <v>23482902.733463675</v>
      </c>
      <c r="F20" s="578">
        <f t="shared" ref="F20:P20" si="17">F52+F83</f>
        <v>964353.72333333385</v>
      </c>
      <c r="G20" s="578">
        <f t="shared" si="17"/>
        <v>1688891.1757597756</v>
      </c>
      <c r="H20" s="578">
        <f t="shared" si="17"/>
        <v>1722439.7348712094</v>
      </c>
      <c r="I20" s="578">
        <f t="shared" si="17"/>
        <v>19808056.951018907</v>
      </c>
      <c r="J20" s="578">
        <f t="shared" si="17"/>
        <v>594241.70853056724</v>
      </c>
      <c r="K20" s="578">
        <f t="shared" si="17"/>
        <v>902545593.57069337</v>
      </c>
      <c r="L20" s="578">
        <f t="shared" si="17"/>
        <v>1864850.882443683</v>
      </c>
      <c r="M20" s="578">
        <f t="shared" si="17"/>
        <v>6004762.6337462831</v>
      </c>
      <c r="N20" s="578">
        <f t="shared" si="1"/>
        <v>896540830.93694711</v>
      </c>
      <c r="O20" s="578">
        <f t="shared" si="17"/>
        <v>1292777.7387228413</v>
      </c>
      <c r="P20" s="578">
        <f t="shared" si="17"/>
        <v>1314237.8491856405</v>
      </c>
      <c r="T20" s="626"/>
      <c r="U20" s="626"/>
      <c r="V20" s="627"/>
      <c r="W20" s="626"/>
      <c r="X20" s="628"/>
      <c r="Y20" s="475"/>
      <c r="Z20" s="626"/>
      <c r="AA20" s="626"/>
      <c r="AB20" s="626"/>
      <c r="AC20" s="626"/>
      <c r="AD20" s="626"/>
      <c r="AE20" s="626"/>
      <c r="AF20" s="626"/>
      <c r="AG20" s="626"/>
      <c r="AH20" s="626"/>
      <c r="AI20" s="626"/>
      <c r="AJ20" s="626"/>
      <c r="AK20" s="626"/>
      <c r="AL20" s="626"/>
      <c r="AM20" s="626"/>
      <c r="AN20" s="626"/>
    </row>
    <row r="21" spans="1:40" ht="13">
      <c r="A21" s="622">
        <f t="shared" si="5"/>
        <v>9</v>
      </c>
      <c r="C21" s="616" t="str">
        <f t="shared" si="2"/>
        <v>September</v>
      </c>
      <c r="D21" s="837">
        <v>2021</v>
      </c>
      <c r="E21" s="578">
        <f t="shared" ref="E21" si="18">E53+E84</f>
        <v>199167396.88346371</v>
      </c>
      <c r="F21" s="578">
        <f t="shared" ref="F21:P21" si="19">F53+F84</f>
        <v>125866233.87333333</v>
      </c>
      <c r="G21" s="578">
        <f t="shared" si="19"/>
        <v>5497587.2257597782</v>
      </c>
      <c r="H21" s="578">
        <f t="shared" si="19"/>
        <v>1820328.3748712135</v>
      </c>
      <c r="I21" s="578">
        <f t="shared" si="19"/>
        <v>20933776.311018955</v>
      </c>
      <c r="J21" s="578">
        <f t="shared" si="19"/>
        <v>628013.28933056863</v>
      </c>
      <c r="K21" s="578">
        <f t="shared" si="19"/>
        <v>1106018262.5943761</v>
      </c>
      <c r="L21" s="578">
        <f t="shared" si="19"/>
        <v>1915889.7202805059</v>
      </c>
      <c r="M21" s="578">
        <f t="shared" si="19"/>
        <v>7920652.3540267888</v>
      </c>
      <c r="N21" s="578">
        <f t="shared" si="1"/>
        <v>1098097610.2403493</v>
      </c>
      <c r="O21" s="578">
        <f t="shared" si="19"/>
        <v>1444111.6944131963</v>
      </c>
      <c r="P21" s="578">
        <f t="shared" si="19"/>
        <v>1468083.9485404552</v>
      </c>
      <c r="T21" s="626"/>
      <c r="U21" s="626"/>
      <c r="V21" s="627"/>
      <c r="W21" s="626"/>
      <c r="X21" s="628"/>
      <c r="Y21" s="475"/>
      <c r="Z21" s="626"/>
      <c r="AA21" s="626"/>
      <c r="AB21" s="626"/>
      <c r="AC21" s="626"/>
      <c r="AD21" s="626"/>
      <c r="AE21" s="626"/>
      <c r="AF21" s="626"/>
      <c r="AG21" s="626"/>
      <c r="AH21" s="626"/>
      <c r="AI21" s="626"/>
      <c r="AJ21" s="626"/>
      <c r="AK21" s="626"/>
      <c r="AL21" s="626"/>
      <c r="AM21" s="626"/>
      <c r="AN21" s="626"/>
    </row>
    <row r="22" spans="1:40" ht="13">
      <c r="A22" s="622">
        <f t="shared" si="5"/>
        <v>10</v>
      </c>
      <c r="C22" s="616" t="str">
        <f t="shared" si="2"/>
        <v xml:space="preserve">October </v>
      </c>
      <c r="D22" s="837">
        <v>2021</v>
      </c>
      <c r="E22" s="578">
        <f t="shared" ref="E22" si="20">E54+E85</f>
        <v>27564411.583463669</v>
      </c>
      <c r="F22" s="578">
        <f t="shared" ref="F22:P22" si="21">F54+F85</f>
        <v>968978.57333333383</v>
      </c>
      <c r="G22" s="578">
        <f t="shared" si="21"/>
        <v>1994657.4757597749</v>
      </c>
      <c r="H22" s="578">
        <f t="shared" si="21"/>
        <v>1586231.3868712089</v>
      </c>
      <c r="I22" s="578">
        <f t="shared" si="21"/>
        <v>18241660.949018903</v>
      </c>
      <c r="J22" s="578">
        <f t="shared" si="21"/>
        <v>547249.82847056712</v>
      </c>
      <c r="K22" s="578">
        <f t="shared" si="21"/>
        <v>1134538350.0951989</v>
      </c>
      <c r="L22" s="578">
        <f t="shared" si="21"/>
        <v>2347813.8221956715</v>
      </c>
      <c r="M22" s="578">
        <f t="shared" si="21"/>
        <v>10268466.176222458</v>
      </c>
      <c r="N22" s="578">
        <f t="shared" si="1"/>
        <v>1124269883.9189763</v>
      </c>
      <c r="O22" s="578">
        <f t="shared" si="21"/>
        <v>1595445.6501035516</v>
      </c>
      <c r="P22" s="578">
        <f t="shared" si="21"/>
        <v>1621930.0478952704</v>
      </c>
      <c r="T22" s="626"/>
      <c r="U22" s="626"/>
      <c r="V22" s="627"/>
      <c r="W22" s="626"/>
      <c r="X22" s="628"/>
      <c r="Y22" s="475"/>
      <c r="Z22" s="626"/>
      <c r="AA22" s="626"/>
      <c r="AB22" s="626"/>
      <c r="AC22" s="626"/>
      <c r="AD22" s="626"/>
      <c r="AE22" s="626"/>
      <c r="AF22" s="626"/>
      <c r="AG22" s="626"/>
      <c r="AH22" s="626"/>
      <c r="AI22" s="626"/>
      <c r="AJ22" s="626"/>
      <c r="AK22" s="626"/>
      <c r="AL22" s="626"/>
      <c r="AM22" s="626"/>
      <c r="AN22" s="626"/>
    </row>
    <row r="23" spans="1:40" ht="13">
      <c r="A23" s="622">
        <f t="shared" si="5"/>
        <v>11</v>
      </c>
      <c r="C23" s="616" t="str">
        <f t="shared" si="2"/>
        <v>November</v>
      </c>
      <c r="D23" s="837">
        <v>2021</v>
      </c>
      <c r="E23" s="578">
        <f t="shared" ref="E23" si="22">E55+E86</f>
        <v>72467779.153463691</v>
      </c>
      <c r="F23" s="578">
        <f t="shared" ref="F23:P23" si="23">F55+F86</f>
        <v>31913993.143333334</v>
      </c>
      <c r="G23" s="578">
        <f t="shared" si="23"/>
        <v>3041533.9507597773</v>
      </c>
      <c r="H23" s="578">
        <f t="shared" si="23"/>
        <v>2410439.734871211</v>
      </c>
      <c r="I23" s="578">
        <f t="shared" si="23"/>
        <v>27720056.951018926</v>
      </c>
      <c r="J23" s="578">
        <f t="shared" si="23"/>
        <v>831601.7085305677</v>
      </c>
      <c r="K23" s="578">
        <f t="shared" si="23"/>
        <v>1208468825.1730816</v>
      </c>
      <c r="L23" s="578">
        <f t="shared" si="23"/>
        <v>2408355.1874780082</v>
      </c>
      <c r="M23" s="578">
        <f t="shared" si="23"/>
        <v>12676821.363700466</v>
      </c>
      <c r="N23" s="578">
        <f t="shared" si="1"/>
        <v>1195792003.809381</v>
      </c>
      <c r="O23" s="578">
        <f t="shared" si="23"/>
        <v>1746779.6057939068</v>
      </c>
      <c r="P23" s="578">
        <f t="shared" si="23"/>
        <v>1775776.1472500856</v>
      </c>
      <c r="T23" s="626"/>
      <c r="U23" s="626"/>
      <c r="V23" s="627"/>
      <c r="W23" s="626"/>
      <c r="X23" s="628"/>
      <c r="Y23" s="475"/>
      <c r="Z23" s="626"/>
      <c r="AA23" s="626"/>
      <c r="AB23" s="626"/>
      <c r="AC23" s="626"/>
      <c r="AD23" s="626"/>
      <c r="AE23" s="626"/>
      <c r="AF23" s="626"/>
      <c r="AG23" s="626"/>
      <c r="AH23" s="626"/>
      <c r="AI23" s="626"/>
      <c r="AJ23" s="626"/>
      <c r="AK23" s="626"/>
      <c r="AL23" s="626"/>
      <c r="AM23" s="626"/>
      <c r="AN23" s="626"/>
    </row>
    <row r="24" spans="1:40" ht="13">
      <c r="A24" s="622">
        <f t="shared" si="5"/>
        <v>12</v>
      </c>
      <c r="C24" s="616" t="str">
        <f t="shared" si="2"/>
        <v>December</v>
      </c>
      <c r="D24" s="837">
        <v>2021</v>
      </c>
      <c r="E24" s="578">
        <f t="shared" ref="E24" si="24">E56+E87</f>
        <v>67709958.28316474</v>
      </c>
      <c r="F24" s="578">
        <f t="shared" ref="F24:P24" si="25">F56+F87</f>
        <v>18975983.243034348</v>
      </c>
      <c r="G24" s="578">
        <f t="shared" si="25"/>
        <v>3655048.1280097789</v>
      </c>
      <c r="H24" s="578">
        <f t="shared" si="25"/>
        <v>1916925.6414512128</v>
      </c>
      <c r="I24" s="578">
        <f t="shared" si="25"/>
        <v>22044644.876688946</v>
      </c>
      <c r="J24" s="578">
        <f t="shared" si="25"/>
        <v>661339.34630066832</v>
      </c>
      <c r="K24" s="578">
        <f t="shared" si="25"/>
        <v>1278578245.2891054</v>
      </c>
      <c r="L24" s="578">
        <f t="shared" si="25"/>
        <v>2565292.0095357131</v>
      </c>
      <c r="M24" s="578">
        <f t="shared" si="25"/>
        <v>15242113.373236179</v>
      </c>
      <c r="N24" s="578">
        <f t="shared" si="1"/>
        <v>1263336131.9158692</v>
      </c>
      <c r="O24" s="578">
        <f t="shared" si="25"/>
        <v>2629807.8738842621</v>
      </c>
      <c r="P24" s="578">
        <f t="shared" si="25"/>
        <v>2673462.6845907406</v>
      </c>
      <c r="T24" s="626"/>
      <c r="U24" s="626"/>
      <c r="V24" s="627"/>
      <c r="W24" s="626"/>
      <c r="X24" s="628"/>
      <c r="Y24" s="475"/>
      <c r="Z24" s="626"/>
      <c r="AA24" s="626"/>
      <c r="AB24" s="626"/>
      <c r="AC24" s="626"/>
      <c r="AD24" s="626"/>
      <c r="AE24" s="626"/>
      <c r="AF24" s="626"/>
      <c r="AG24" s="626"/>
      <c r="AH24" s="626"/>
      <c r="AI24" s="626"/>
      <c r="AJ24" s="626"/>
      <c r="AK24" s="626"/>
      <c r="AL24" s="626"/>
      <c r="AM24" s="626"/>
      <c r="AN24" s="626"/>
    </row>
    <row r="25" spans="1:40" ht="13">
      <c r="A25" s="622">
        <f t="shared" si="5"/>
        <v>13</v>
      </c>
      <c r="C25" s="616" t="str">
        <f t="shared" si="2"/>
        <v>January</v>
      </c>
      <c r="D25" s="837">
        <v>2022</v>
      </c>
      <c r="E25" s="578">
        <f t="shared" ref="E25" si="26">E57+E88</f>
        <v>51155369.19183594</v>
      </c>
      <c r="F25" s="578">
        <f t="shared" ref="F25:P25" si="27">F57+F88</f>
        <v>21449115.48</v>
      </c>
      <c r="G25" s="578">
        <f t="shared" si="27"/>
        <v>2227969.0283876956</v>
      </c>
      <c r="H25" s="578">
        <f t="shared" si="27"/>
        <v>1520550.8392178912</v>
      </c>
      <c r="I25" s="578">
        <f t="shared" si="27"/>
        <v>17486334.651005749</v>
      </c>
      <c r="J25" s="578">
        <f t="shared" si="27"/>
        <v>524590.03953017248</v>
      </c>
      <c r="K25" s="578">
        <f t="shared" si="27"/>
        <v>1330965622.7096415</v>
      </c>
      <c r="L25" s="578">
        <f t="shared" si="27"/>
        <v>2714117.6403425811</v>
      </c>
      <c r="M25" s="578">
        <f t="shared" si="27"/>
        <v>17956231.013578761</v>
      </c>
      <c r="N25" s="578">
        <f t="shared" si="1"/>
        <v>1313009391.6960626</v>
      </c>
      <c r="O25" s="578">
        <f t="shared" si="27"/>
        <v>2881205.0317280185</v>
      </c>
      <c r="P25" s="578">
        <f t="shared" si="27"/>
        <v>2929033.0352547038</v>
      </c>
      <c r="T25" s="626"/>
      <c r="U25" s="626"/>
      <c r="V25" s="627"/>
      <c r="W25" s="626"/>
      <c r="X25" s="628"/>
      <c r="Y25" s="475"/>
      <c r="Z25" s="626"/>
      <c r="AA25" s="626"/>
      <c r="AB25" s="626"/>
      <c r="AC25" s="626"/>
      <c r="AD25" s="626"/>
      <c r="AE25" s="626"/>
      <c r="AF25" s="626"/>
      <c r="AG25" s="626"/>
      <c r="AH25" s="626"/>
      <c r="AI25" s="626"/>
      <c r="AJ25" s="626"/>
      <c r="AK25" s="626"/>
      <c r="AL25" s="626"/>
      <c r="AM25" s="626"/>
      <c r="AN25" s="626"/>
    </row>
    <row r="26" spans="1:40" ht="13">
      <c r="A26" s="622">
        <f t="shared" si="5"/>
        <v>14</v>
      </c>
      <c r="C26" s="616" t="str">
        <f t="shared" si="2"/>
        <v>February</v>
      </c>
      <c r="D26" s="837">
        <v>2022</v>
      </c>
      <c r="E26" s="578">
        <f t="shared" ref="E26" si="28">E58+E89</f>
        <v>34800167.892835915</v>
      </c>
      <c r="F26" s="578">
        <f t="shared" ref="F26:P26" si="29">F58+F89</f>
        <v>346960.14099999995</v>
      </c>
      <c r="G26" s="578">
        <f t="shared" si="29"/>
        <v>2583990.5813876935</v>
      </c>
      <c r="H26" s="578">
        <f t="shared" si="29"/>
        <v>2389576.886657889</v>
      </c>
      <c r="I26" s="578">
        <f t="shared" si="29"/>
        <v>27480134.196565721</v>
      </c>
      <c r="J26" s="578">
        <f t="shared" si="29"/>
        <v>824404.02589697158</v>
      </c>
      <c r="K26" s="578">
        <f t="shared" si="29"/>
        <v>1366784608.3231041</v>
      </c>
      <c r="L26" s="578">
        <f t="shared" si="29"/>
        <v>2825323.5878176307</v>
      </c>
      <c r="M26" s="578">
        <f t="shared" si="29"/>
        <v>20781554.601396393</v>
      </c>
      <c r="N26" s="578">
        <f t="shared" si="1"/>
        <v>1346003053.7217078</v>
      </c>
      <c r="O26" s="578">
        <f t="shared" si="29"/>
        <v>3132602.1895717755</v>
      </c>
      <c r="P26" s="578">
        <f t="shared" si="29"/>
        <v>3184603.3859186671</v>
      </c>
      <c r="T26" s="626"/>
      <c r="U26" s="626"/>
      <c r="V26" s="627"/>
      <c r="W26" s="626"/>
      <c r="X26" s="628"/>
      <c r="Y26" s="475"/>
      <c r="Z26" s="626"/>
      <c r="AA26" s="626"/>
      <c r="AB26" s="626"/>
      <c r="AC26" s="626"/>
      <c r="AD26" s="626"/>
      <c r="AE26" s="626"/>
      <c r="AF26" s="626"/>
      <c r="AG26" s="626"/>
      <c r="AH26" s="626"/>
      <c r="AI26" s="626"/>
      <c r="AJ26" s="626"/>
      <c r="AK26" s="626"/>
      <c r="AL26" s="626"/>
      <c r="AM26" s="626"/>
      <c r="AN26" s="626"/>
    </row>
    <row r="27" spans="1:40" ht="13">
      <c r="A27" s="622">
        <f t="shared" si="5"/>
        <v>15</v>
      </c>
      <c r="C27" s="616" t="str">
        <f t="shared" si="2"/>
        <v>March</v>
      </c>
      <c r="D27" s="837">
        <v>2022</v>
      </c>
      <c r="E27" s="578">
        <f t="shared" ref="E27" si="30">E59+E90</f>
        <v>22383441.511835933</v>
      </c>
      <c r="F27" s="578">
        <f t="shared" ref="F27:P27" si="31">F59+F90</f>
        <v>58655.799999999996</v>
      </c>
      <c r="G27" s="578">
        <f t="shared" si="31"/>
        <v>1674358.928387695</v>
      </c>
      <c r="H27" s="578">
        <f t="shared" si="31"/>
        <v>1494857.0492178902</v>
      </c>
      <c r="I27" s="578">
        <f t="shared" si="31"/>
        <v>17190856.066005737</v>
      </c>
      <c r="J27" s="578">
        <f t="shared" si="31"/>
        <v>515725.68198017206</v>
      </c>
      <c r="K27" s="578">
        <f t="shared" si="31"/>
        <v>1389863277.39609</v>
      </c>
      <c r="L27" s="578">
        <f t="shared" si="31"/>
        <v>2901358.7785232989</v>
      </c>
      <c r="M27" s="578">
        <f t="shared" si="31"/>
        <v>23682913.379919693</v>
      </c>
      <c r="N27" s="578">
        <f t="shared" si="1"/>
        <v>1366180364.0161705</v>
      </c>
      <c r="O27" s="578">
        <f t="shared" si="31"/>
        <v>3383999.347415532</v>
      </c>
      <c r="P27" s="578">
        <f t="shared" si="31"/>
        <v>3440173.7365826298</v>
      </c>
      <c r="T27" s="626"/>
      <c r="U27" s="626"/>
      <c r="V27" s="627"/>
      <c r="W27" s="626"/>
      <c r="X27" s="628"/>
      <c r="Y27" s="475"/>
      <c r="Z27" s="626"/>
      <c r="AA27" s="626"/>
      <c r="AB27" s="626"/>
      <c r="AC27" s="626"/>
      <c r="AD27" s="626"/>
      <c r="AE27" s="626"/>
      <c r="AF27" s="626"/>
      <c r="AG27" s="626"/>
      <c r="AH27" s="626"/>
      <c r="AI27" s="626"/>
      <c r="AJ27" s="626"/>
      <c r="AK27" s="626"/>
      <c r="AL27" s="626"/>
      <c r="AM27" s="626"/>
      <c r="AN27" s="626"/>
    </row>
    <row r="28" spans="1:40" ht="13">
      <c r="A28" s="622">
        <f t="shared" si="5"/>
        <v>16</v>
      </c>
      <c r="C28" s="616" t="str">
        <f t="shared" si="2"/>
        <v>April</v>
      </c>
      <c r="D28" s="837">
        <v>2022</v>
      </c>
      <c r="E28" s="578">
        <f t="shared" ref="E28" si="32">E60+E91</f>
        <v>68534299.091835856</v>
      </c>
      <c r="F28" s="578">
        <f t="shared" ref="F28:P28" si="33">F60+F91</f>
        <v>34512557.379999936</v>
      </c>
      <c r="G28" s="578">
        <f t="shared" si="33"/>
        <v>2551630.6283876938</v>
      </c>
      <c r="H28" s="578">
        <f t="shared" si="33"/>
        <v>2490715.807217889</v>
      </c>
      <c r="I28" s="578">
        <f t="shared" si="33"/>
        <v>28643231.783005726</v>
      </c>
      <c r="J28" s="578">
        <f t="shared" si="33"/>
        <v>859296.9534901717</v>
      </c>
      <c r="K28" s="578">
        <f t="shared" si="33"/>
        <v>1459317788.2625859</v>
      </c>
      <c r="L28" s="578">
        <f t="shared" si="33"/>
        <v>2950349.3061483465</v>
      </c>
      <c r="M28" s="578">
        <f t="shared" si="33"/>
        <v>26633262.686068039</v>
      </c>
      <c r="N28" s="578">
        <f t="shared" si="1"/>
        <v>1432684525.5765178</v>
      </c>
      <c r="O28" s="578">
        <f t="shared" si="33"/>
        <v>3635396.5052592889</v>
      </c>
      <c r="P28" s="578">
        <f t="shared" si="33"/>
        <v>3695744.0872465936</v>
      </c>
      <c r="T28" s="626"/>
      <c r="U28" s="626"/>
      <c r="V28" s="627"/>
      <c r="W28" s="626"/>
      <c r="X28" s="628"/>
      <c r="Y28" s="475"/>
      <c r="Z28" s="626"/>
      <c r="AA28" s="626"/>
      <c r="AB28" s="626"/>
      <c r="AC28" s="626"/>
      <c r="AD28" s="626"/>
      <c r="AE28" s="626"/>
      <c r="AF28" s="626"/>
      <c r="AG28" s="626"/>
      <c r="AH28" s="626"/>
      <c r="AI28" s="626"/>
      <c r="AJ28" s="626"/>
      <c r="AK28" s="626"/>
      <c r="AL28" s="626"/>
      <c r="AM28" s="626"/>
      <c r="AN28" s="626"/>
    </row>
    <row r="29" spans="1:40" ht="13">
      <c r="A29" s="622">
        <f t="shared" si="5"/>
        <v>17</v>
      </c>
      <c r="C29" s="616" t="str">
        <f t="shared" si="2"/>
        <v>May</v>
      </c>
      <c r="D29" s="837">
        <v>2022</v>
      </c>
      <c r="E29" s="578">
        <f t="shared" ref="E29" si="34">E61+E92</f>
        <v>53382959.82183589</v>
      </c>
      <c r="F29" s="578">
        <f t="shared" ref="F29:P29" si="35">F61+F92</f>
        <v>22959971.110000003</v>
      </c>
      <c r="G29" s="578">
        <f t="shared" si="35"/>
        <v>2281724.1533876909</v>
      </c>
      <c r="H29" s="578">
        <f t="shared" si="35"/>
        <v>1720177.0492178861</v>
      </c>
      <c r="I29" s="578">
        <f t="shared" si="35"/>
        <v>19782036.066005688</v>
      </c>
      <c r="J29" s="578">
        <f t="shared" si="35"/>
        <v>593461.08198017057</v>
      </c>
      <c r="K29" s="578">
        <f t="shared" si="35"/>
        <v>1513855756.2705717</v>
      </c>
      <c r="L29" s="578">
        <f t="shared" si="35"/>
        <v>3097784.7203192622</v>
      </c>
      <c r="M29" s="578">
        <f t="shared" si="35"/>
        <v>29731047.406387299</v>
      </c>
      <c r="N29" s="578">
        <f t="shared" si="1"/>
        <v>1484124708.8641846</v>
      </c>
      <c r="O29" s="578">
        <f t="shared" si="35"/>
        <v>3886793.6631030459</v>
      </c>
      <c r="P29" s="578">
        <f t="shared" si="35"/>
        <v>3951314.4379105563</v>
      </c>
      <c r="T29" s="626"/>
      <c r="U29" s="626"/>
      <c r="V29" s="627"/>
      <c r="W29" s="626"/>
      <c r="X29" s="628"/>
      <c r="Y29" s="475"/>
      <c r="Z29" s="626"/>
      <c r="AA29" s="626"/>
      <c r="AB29" s="626"/>
      <c r="AC29" s="626"/>
      <c r="AD29" s="626"/>
      <c r="AE29" s="626"/>
      <c r="AF29" s="626"/>
      <c r="AG29" s="626"/>
      <c r="AH29" s="626"/>
      <c r="AI29" s="626"/>
      <c r="AJ29" s="626"/>
      <c r="AK29" s="626"/>
      <c r="AL29" s="626"/>
      <c r="AM29" s="626"/>
      <c r="AN29" s="626"/>
    </row>
    <row r="30" spans="1:40" ht="13">
      <c r="A30" s="622">
        <f t="shared" si="5"/>
        <v>18</v>
      </c>
      <c r="C30" s="616" t="str">
        <f t="shared" ref="C30:C33" si="36">C62</f>
        <v xml:space="preserve">June </v>
      </c>
      <c r="D30" s="837">
        <v>2022</v>
      </c>
      <c r="E30" s="578">
        <f t="shared" ref="E30" si="37">E62+E93</f>
        <v>63444602.041835964</v>
      </c>
      <c r="F30" s="578">
        <f t="shared" ref="F30:P30" si="38">F62+F93</f>
        <v>22206193.330000002</v>
      </c>
      <c r="G30" s="578">
        <f t="shared" si="38"/>
        <v>3092880.6533876974</v>
      </c>
      <c r="H30" s="578">
        <f t="shared" si="38"/>
        <v>2162855.1692178934</v>
      </c>
      <c r="I30" s="578">
        <f t="shared" si="38"/>
        <v>24872834.446005777</v>
      </c>
      <c r="J30" s="578">
        <f t="shared" si="38"/>
        <v>746185.03338017326</v>
      </c>
      <c r="K30" s="578">
        <f t="shared" si="38"/>
        <v>1578976568.8299577</v>
      </c>
      <c r="L30" s="578">
        <f t="shared" si="38"/>
        <v>3213555.8603212908</v>
      </c>
      <c r="M30" s="578">
        <f t="shared" si="38"/>
        <v>32944603.26670859</v>
      </c>
      <c r="N30" s="578">
        <f t="shared" si="1"/>
        <v>1546031965.5632491</v>
      </c>
      <c r="O30" s="578">
        <f t="shared" si="38"/>
        <v>4138190.8209468019</v>
      </c>
      <c r="P30" s="578">
        <f t="shared" si="38"/>
        <v>4206884.7885745186</v>
      </c>
      <c r="T30" s="626"/>
      <c r="U30" s="626"/>
      <c r="V30" s="627"/>
      <c r="W30" s="626"/>
      <c r="X30" s="628"/>
      <c r="Y30" s="475"/>
      <c r="Z30" s="626"/>
      <c r="AA30" s="626"/>
      <c r="AB30" s="626"/>
      <c r="AC30" s="626"/>
      <c r="AD30" s="626"/>
      <c r="AE30" s="626"/>
      <c r="AF30" s="626"/>
      <c r="AG30" s="626"/>
      <c r="AH30" s="626"/>
      <c r="AI30" s="626"/>
      <c r="AJ30" s="626"/>
      <c r="AK30" s="626"/>
      <c r="AL30" s="626"/>
      <c r="AM30" s="626"/>
      <c r="AN30" s="626"/>
    </row>
    <row r="31" spans="1:40" ht="13">
      <c r="A31" s="622">
        <f t="shared" si="5"/>
        <v>19</v>
      </c>
      <c r="C31" s="616" t="str">
        <f t="shared" si="36"/>
        <v>July</v>
      </c>
      <c r="D31" s="837">
        <v>2022</v>
      </c>
      <c r="E31" s="578">
        <f t="shared" ref="E31" si="39">E63+E94</f>
        <v>79943440.641835898</v>
      </c>
      <c r="F31" s="578">
        <f t="shared" ref="F31:P31" si="40">F63+F94</f>
        <v>31395688.930000007</v>
      </c>
      <c r="G31" s="578">
        <f t="shared" si="40"/>
        <v>3641081.3783876924</v>
      </c>
      <c r="H31" s="578">
        <f t="shared" si="40"/>
        <v>2067363.349217887</v>
      </c>
      <c r="I31" s="578">
        <f t="shared" si="40"/>
        <v>23774678.516005699</v>
      </c>
      <c r="J31" s="578">
        <f t="shared" si="40"/>
        <v>713240.35548017093</v>
      </c>
      <c r="K31" s="578">
        <f t="shared" si="40"/>
        <v>1661206967.8564436</v>
      </c>
      <c r="L31" s="578">
        <f t="shared" si="40"/>
        <v>3351791.8632973209</v>
      </c>
      <c r="M31" s="578">
        <f t="shared" si="40"/>
        <v>36296395.130005911</v>
      </c>
      <c r="N31" s="578">
        <f t="shared" si="1"/>
        <v>1624910572.7264376</v>
      </c>
      <c r="O31" s="578">
        <f t="shared" si="40"/>
        <v>4389587.9787905589</v>
      </c>
      <c r="P31" s="578">
        <f t="shared" si="40"/>
        <v>4462455.1392384823</v>
      </c>
      <c r="T31" s="626"/>
      <c r="U31" s="626"/>
      <c r="V31" s="627"/>
      <c r="W31" s="626"/>
      <c r="X31" s="628"/>
      <c r="Y31" s="475"/>
      <c r="Z31" s="626"/>
      <c r="AA31" s="626"/>
      <c r="AB31" s="626"/>
      <c r="AC31" s="626"/>
      <c r="AD31" s="626"/>
      <c r="AE31" s="626"/>
      <c r="AF31" s="626"/>
      <c r="AG31" s="626"/>
      <c r="AH31" s="626"/>
      <c r="AI31" s="626"/>
      <c r="AJ31" s="626"/>
      <c r="AK31" s="626"/>
      <c r="AL31" s="626"/>
      <c r="AM31" s="626"/>
      <c r="AN31" s="626"/>
    </row>
    <row r="32" spans="1:40" ht="13">
      <c r="A32" s="622">
        <f t="shared" si="5"/>
        <v>20</v>
      </c>
      <c r="C32" s="616" t="str">
        <f t="shared" si="36"/>
        <v>August</v>
      </c>
      <c r="D32" s="837">
        <v>2022</v>
      </c>
      <c r="E32" s="578">
        <f t="shared" ref="E32" si="41">E64+E95</f>
        <v>22593017.711835921</v>
      </c>
      <c r="F32" s="578">
        <f t="shared" ref="F32:P32" si="42">F64+F95</f>
        <v>0</v>
      </c>
      <c r="G32" s="578">
        <f t="shared" si="42"/>
        <v>1694476.328387694</v>
      </c>
      <c r="H32" s="578">
        <f t="shared" si="42"/>
        <v>1490729.0492178893</v>
      </c>
      <c r="I32" s="578">
        <f t="shared" si="42"/>
        <v>17143384.066005725</v>
      </c>
      <c r="J32" s="578">
        <f t="shared" si="42"/>
        <v>514301.52198017173</v>
      </c>
      <c r="K32" s="578">
        <f t="shared" si="42"/>
        <v>1684518034.3694296</v>
      </c>
      <c r="L32" s="578">
        <f t="shared" si="42"/>
        <v>3526347.4506401429</v>
      </c>
      <c r="M32" s="578">
        <f t="shared" si="42"/>
        <v>39822742.580646053</v>
      </c>
      <c r="N32" s="578">
        <f t="shared" si="1"/>
        <v>1644695291.7887836</v>
      </c>
      <c r="O32" s="578">
        <f t="shared" si="42"/>
        <v>4640985.1366343154</v>
      </c>
      <c r="P32" s="578">
        <f t="shared" si="42"/>
        <v>4718025.4899024451</v>
      </c>
      <c r="T32" s="626"/>
      <c r="U32" s="626"/>
      <c r="V32" s="627"/>
      <c r="W32" s="626"/>
      <c r="X32" s="628"/>
      <c r="Y32" s="475"/>
      <c r="Z32" s="626"/>
      <c r="AA32" s="626"/>
      <c r="AB32" s="626"/>
      <c r="AC32" s="626"/>
      <c r="AD32" s="626"/>
      <c r="AE32" s="626"/>
      <c r="AF32" s="626"/>
      <c r="AG32" s="626"/>
      <c r="AH32" s="626"/>
      <c r="AI32" s="626"/>
      <c r="AJ32" s="626"/>
      <c r="AK32" s="626"/>
      <c r="AL32" s="626"/>
      <c r="AM32" s="626"/>
      <c r="AN32" s="626"/>
    </row>
    <row r="33" spans="1:40" ht="13">
      <c r="A33" s="622">
        <f t="shared" si="5"/>
        <v>21</v>
      </c>
      <c r="C33" s="616" t="str">
        <f t="shared" si="36"/>
        <v>September</v>
      </c>
      <c r="D33" s="837">
        <v>2022</v>
      </c>
      <c r="E33" s="578">
        <f t="shared" ref="E33" si="43">E65+E96</f>
        <v>21573452.71183604</v>
      </c>
      <c r="F33" s="578">
        <f t="shared" ref="F33:P33" si="44">F65+F96</f>
        <v>0</v>
      </c>
      <c r="G33" s="578">
        <f t="shared" si="44"/>
        <v>1618008.953387703</v>
      </c>
      <c r="H33" s="578">
        <f t="shared" si="44"/>
        <v>1490729.0492178996</v>
      </c>
      <c r="I33" s="578">
        <f t="shared" si="44"/>
        <v>17143384.066005845</v>
      </c>
      <c r="J33" s="578">
        <f t="shared" si="44"/>
        <v>514301.52198017534</v>
      </c>
      <c r="K33" s="578">
        <f t="shared" si="44"/>
        <v>1706733068.5074153</v>
      </c>
      <c r="L33" s="578">
        <f t="shared" si="44"/>
        <v>3575831.3027791949</v>
      </c>
      <c r="M33" s="578">
        <f t="shared" si="44"/>
        <v>43398573.883425251</v>
      </c>
      <c r="N33" s="578">
        <f t="shared" si="1"/>
        <v>1663334494.6239901</v>
      </c>
      <c r="O33" s="594">
        <f t="shared" si="44"/>
        <v>4892382.2944780719</v>
      </c>
      <c r="P33" s="594">
        <f t="shared" si="44"/>
        <v>4973595.8405664079</v>
      </c>
      <c r="T33" s="626"/>
      <c r="U33" s="626"/>
      <c r="V33" s="627"/>
      <c r="W33" s="626"/>
      <c r="X33" s="628"/>
      <c r="Y33" s="475"/>
      <c r="Z33" s="626"/>
      <c r="AA33" s="626"/>
      <c r="AB33" s="626"/>
      <c r="AC33" s="626"/>
      <c r="AD33" s="626"/>
      <c r="AE33" s="626"/>
      <c r="AF33" s="626"/>
      <c r="AG33" s="626"/>
      <c r="AH33" s="626"/>
      <c r="AI33" s="626"/>
      <c r="AJ33" s="626"/>
      <c r="AK33" s="626"/>
      <c r="AL33" s="626"/>
      <c r="AM33" s="626"/>
      <c r="AN33" s="626"/>
    </row>
    <row r="34" spans="1:40" ht="13">
      <c r="A34" s="623">
        <f t="shared" si="5"/>
        <v>22</v>
      </c>
      <c r="C34" s="616" t="str">
        <f t="shared" ref="C34" si="45">C66</f>
        <v>October</v>
      </c>
      <c r="D34" s="837">
        <v>2022</v>
      </c>
      <c r="E34" s="578">
        <f t="shared" ref="E34" si="46">E66+E97</f>
        <v>20316854.341835856</v>
      </c>
      <c r="F34" s="578">
        <f t="shared" ref="F34:P34" si="47">F66+F97</f>
        <v>841.63</v>
      </c>
      <c r="G34" s="578">
        <f t="shared" si="47"/>
        <v>1523700.9533876893</v>
      </c>
      <c r="H34" s="578">
        <f t="shared" si="47"/>
        <v>1490752.6132178837</v>
      </c>
      <c r="I34" s="578">
        <f t="shared" si="47"/>
        <v>17143655.052005664</v>
      </c>
      <c r="J34" s="578">
        <f t="shared" si="47"/>
        <v>514309.65156016988</v>
      </c>
      <c r="K34" s="578">
        <f t="shared" si="47"/>
        <v>1727597180.8409812</v>
      </c>
      <c r="L34" s="578">
        <f t="shared" si="47"/>
        <v>3622988.538761328</v>
      </c>
      <c r="M34" s="578">
        <f t="shared" si="47"/>
        <v>47021562.422186568</v>
      </c>
      <c r="N34" s="578">
        <f t="shared" si="1"/>
        <v>1680575618.4187946</v>
      </c>
      <c r="O34" s="594">
        <f t="shared" si="47"/>
        <v>5143779.4523218293</v>
      </c>
      <c r="P34" s="594">
        <f t="shared" si="47"/>
        <v>5229166.1912303716</v>
      </c>
      <c r="T34" s="626"/>
      <c r="U34" s="626"/>
      <c r="V34" s="627"/>
      <c r="W34" s="626"/>
      <c r="X34" s="628"/>
      <c r="Y34" s="475"/>
      <c r="Z34" s="626"/>
      <c r="AA34" s="626"/>
      <c r="AB34" s="626"/>
      <c r="AC34" s="626"/>
      <c r="AD34" s="626"/>
      <c r="AE34" s="626"/>
      <c r="AF34" s="626"/>
      <c r="AG34" s="626"/>
      <c r="AH34" s="626"/>
      <c r="AI34" s="626"/>
      <c r="AJ34" s="626"/>
      <c r="AK34" s="626"/>
      <c r="AL34" s="626"/>
      <c r="AM34" s="626"/>
      <c r="AN34" s="626"/>
    </row>
    <row r="35" spans="1:40" ht="13">
      <c r="A35" s="623">
        <f t="shared" si="5"/>
        <v>23</v>
      </c>
      <c r="C35" s="616" t="str">
        <f t="shared" ref="C35" si="48">C67</f>
        <v>November</v>
      </c>
      <c r="D35" s="837">
        <v>2022</v>
      </c>
      <c r="E35" s="578">
        <f t="shared" ref="E35" si="49">E67+E98</f>
        <v>20180738.71183598</v>
      </c>
      <c r="F35" s="578">
        <f t="shared" ref="F35:P35" si="50">F67+F98</f>
        <v>0</v>
      </c>
      <c r="G35" s="578">
        <f t="shared" si="50"/>
        <v>1513555.4033876986</v>
      </c>
      <c r="H35" s="578">
        <f t="shared" si="50"/>
        <v>1490729.0492178944</v>
      </c>
      <c r="I35" s="578">
        <f t="shared" si="50"/>
        <v>17143384.066005785</v>
      </c>
      <c r="J35" s="578">
        <f t="shared" si="50"/>
        <v>514301.52198017354</v>
      </c>
      <c r="K35" s="578">
        <f t="shared" si="50"/>
        <v>1748315047.4289672</v>
      </c>
      <c r="L35" s="578">
        <f t="shared" si="50"/>
        <v>3667278.0889263363</v>
      </c>
      <c r="M35" s="578">
        <f t="shared" si="50"/>
        <v>50688840.511112906</v>
      </c>
      <c r="N35" s="578">
        <f t="shared" si="1"/>
        <v>1697626206.9178543</v>
      </c>
      <c r="O35" s="594">
        <f t="shared" si="50"/>
        <v>5395176.6101655858</v>
      </c>
      <c r="P35" s="594">
        <f t="shared" si="50"/>
        <v>5484736.5418943353</v>
      </c>
      <c r="T35" s="626"/>
      <c r="U35" s="626"/>
      <c r="V35" s="627"/>
      <c r="W35" s="626"/>
      <c r="X35" s="628"/>
      <c r="Y35" s="475"/>
      <c r="Z35" s="626"/>
      <c r="AA35" s="626"/>
      <c r="AB35" s="626"/>
      <c r="AC35" s="626"/>
      <c r="AD35" s="626"/>
      <c r="AE35" s="626"/>
      <c r="AF35" s="626"/>
      <c r="AG35" s="626"/>
      <c r="AH35" s="626"/>
      <c r="AI35" s="626"/>
      <c r="AJ35" s="626"/>
      <c r="AK35" s="626"/>
      <c r="AL35" s="626"/>
      <c r="AM35" s="626"/>
      <c r="AN35" s="626"/>
    </row>
    <row r="36" spans="1:40" ht="13">
      <c r="A36" s="623">
        <f t="shared" si="5"/>
        <v>24</v>
      </c>
      <c r="C36" s="616" t="str">
        <f t="shared" ref="C36" si="51">C68</f>
        <v>December</v>
      </c>
      <c r="D36" s="837">
        <v>2022</v>
      </c>
      <c r="E36" s="578">
        <f t="shared" ref="E36" si="52">E68+E99</f>
        <v>93016404.991835967</v>
      </c>
      <c r="F36" s="578">
        <f t="shared" ref="F36:P36" si="53">F68+F99</f>
        <v>17670.269999999997</v>
      </c>
      <c r="G36" s="578">
        <f t="shared" si="53"/>
        <v>6974905.1041376973</v>
      </c>
      <c r="H36" s="578">
        <f t="shared" si="53"/>
        <v>1814488.9492178927</v>
      </c>
      <c r="I36" s="578">
        <f t="shared" si="53"/>
        <v>20866622.916005764</v>
      </c>
      <c r="J36" s="578">
        <f t="shared" si="53"/>
        <v>625998.68748017296</v>
      </c>
      <c r="K36" s="629">
        <f t="shared" si="53"/>
        <v>1847117867.2632031</v>
      </c>
      <c r="L36" s="578">
        <f t="shared" si="53"/>
        <v>3711257.1941425386</v>
      </c>
      <c r="M36" s="578">
        <f t="shared" si="53"/>
        <v>54400097.705255449</v>
      </c>
      <c r="N36" s="629">
        <f t="shared" si="1"/>
        <v>1792717769.5579479</v>
      </c>
      <c r="O36" s="594">
        <f t="shared" si="53"/>
        <v>5646573.7680093423</v>
      </c>
      <c r="P36" s="629">
        <f t="shared" si="53"/>
        <v>5740306.8925582971</v>
      </c>
      <c r="T36" s="626"/>
      <c r="U36" s="626"/>
      <c r="V36" s="627"/>
      <c r="W36" s="626"/>
      <c r="X36" s="628"/>
      <c r="Y36" s="475"/>
      <c r="Z36" s="626"/>
      <c r="AA36" s="626"/>
      <c r="AB36" s="626"/>
      <c r="AC36" s="626"/>
      <c r="AD36" s="626"/>
      <c r="AE36" s="626"/>
      <c r="AF36" s="626"/>
      <c r="AG36" s="626"/>
      <c r="AH36" s="626"/>
      <c r="AI36" s="626"/>
      <c r="AJ36" s="626"/>
      <c r="AK36" s="626"/>
      <c r="AL36" s="626"/>
      <c r="AM36" s="626"/>
      <c r="AN36" s="626"/>
    </row>
    <row r="37" spans="1:40" s="580" customFormat="1" ht="13">
      <c r="A37" s="623">
        <f t="shared" si="5"/>
        <v>25</v>
      </c>
      <c r="D37" s="653" t="s">
        <v>1603</v>
      </c>
      <c r="K37" s="873">
        <f>AVERAGE(K24:K36)</f>
        <v>1561063848.7190382</v>
      </c>
      <c r="M37" s="654"/>
      <c r="N37" s="654">
        <f>AVERAGE(N24:N36)</f>
        <v>1527325391.9528899</v>
      </c>
      <c r="O37" s="654"/>
      <c r="P37" s="654">
        <f>AVERAGE(P24:P36)</f>
        <v>4206884.7885745186</v>
      </c>
      <c r="Q37" s="655"/>
      <c r="T37" s="639"/>
      <c r="U37" s="639"/>
    </row>
    <row r="38" spans="1:40" ht="13">
      <c r="A38" s="622"/>
      <c r="T38" s="578"/>
      <c r="U38" s="578"/>
      <c r="Z38" s="578"/>
    </row>
    <row r="39" spans="1:40" ht="13">
      <c r="A39" s="622"/>
      <c r="B39" s="580" t="s">
        <v>1946</v>
      </c>
      <c r="G39" s="622"/>
      <c r="K39" s="475"/>
      <c r="M39" s="475"/>
      <c r="N39" s="475"/>
      <c r="O39" s="475"/>
      <c r="P39" s="475"/>
    </row>
    <row r="40" spans="1:40" ht="13">
      <c r="A40" s="622"/>
      <c r="B40" s="580"/>
      <c r="E40" s="619" t="s">
        <v>358</v>
      </c>
      <c r="F40" s="619" t="s">
        <v>342</v>
      </c>
      <c r="G40" s="619" t="s">
        <v>343</v>
      </c>
      <c r="H40" s="619" t="s">
        <v>344</v>
      </c>
      <c r="I40" s="619" t="s">
        <v>345</v>
      </c>
      <c r="J40" s="619" t="s">
        <v>346</v>
      </c>
      <c r="K40" s="656" t="s">
        <v>347</v>
      </c>
      <c r="L40" s="619" t="s">
        <v>534</v>
      </c>
      <c r="M40" s="656" t="s">
        <v>949</v>
      </c>
      <c r="N40" s="656" t="s">
        <v>961</v>
      </c>
      <c r="O40" s="656" t="s">
        <v>964</v>
      </c>
      <c r="P40" s="656" t="s">
        <v>982</v>
      </c>
    </row>
    <row r="41" spans="1:40" ht="25.5">
      <c r="A41" s="622"/>
      <c r="B41" s="580"/>
      <c r="E41" s="1137" t="s">
        <v>2063</v>
      </c>
      <c r="F41" s="1137" t="s">
        <v>2064</v>
      </c>
      <c r="G41" s="1137" t="s">
        <v>2065</v>
      </c>
      <c r="H41" s="1138" t="s">
        <v>1947</v>
      </c>
      <c r="I41" s="1138" t="s">
        <v>1947</v>
      </c>
      <c r="J41" s="1139" t="s">
        <v>1947</v>
      </c>
      <c r="K41" s="1134" t="s">
        <v>1948</v>
      </c>
      <c r="L41" s="1135" t="s">
        <v>2066</v>
      </c>
      <c r="M41" s="1136" t="s">
        <v>2413</v>
      </c>
      <c r="N41" s="1140" t="s">
        <v>1896</v>
      </c>
      <c r="O41" s="1140"/>
      <c r="P41" s="1136" t="s">
        <v>2067</v>
      </c>
    </row>
    <row r="42" spans="1:40" ht="13">
      <c r="A42" s="622"/>
      <c r="C42" s="622" t="str">
        <f>C10</f>
        <v>Forecast</v>
      </c>
      <c r="E42" s="622" t="str">
        <f>E10</f>
        <v>Unloaded</v>
      </c>
      <c r="F42" s="622"/>
      <c r="G42" s="622"/>
      <c r="I42" s="623" t="str">
        <f>I10</f>
        <v>AFUDC</v>
      </c>
      <c r="J42" s="623"/>
      <c r="K42" s="623"/>
      <c r="L42" s="623"/>
      <c r="M42" s="623"/>
      <c r="N42" s="623"/>
      <c r="O42" s="622" t="str">
        <f t="shared" ref="O42:P44" si="54">O10</f>
        <v>Unloaded</v>
      </c>
      <c r="P42" s="622" t="str">
        <f t="shared" si="54"/>
        <v>Loaded</v>
      </c>
    </row>
    <row r="43" spans="1:40" ht="13">
      <c r="A43" s="622"/>
      <c r="B43" s="580"/>
      <c r="C43" s="622" t="str">
        <f>C11</f>
        <v>Period</v>
      </c>
      <c r="E43" s="622" t="str">
        <f>E11</f>
        <v>Total</v>
      </c>
      <c r="F43" s="622" t="str">
        <f t="shared" ref="F43:H44" si="55">F11</f>
        <v>Prior Period</v>
      </c>
      <c r="G43" s="623" t="str">
        <f t="shared" si="55"/>
        <v>Over Heads</v>
      </c>
      <c r="H43" s="623" t="str">
        <f t="shared" si="55"/>
        <v xml:space="preserve">Cost of </v>
      </c>
      <c r="I43" s="623" t="str">
        <f>I11</f>
        <v>Eligible Plant</v>
      </c>
      <c r="J43" s="623"/>
      <c r="K43" s="623" t="str">
        <f>K11</f>
        <v>Incremental</v>
      </c>
      <c r="L43" s="623" t="str">
        <f>L11</f>
        <v>Depreciation</v>
      </c>
      <c r="M43" s="623"/>
      <c r="N43" s="623"/>
      <c r="O43" s="623" t="str">
        <f t="shared" si="54"/>
        <v>Low Voltage</v>
      </c>
      <c r="P43" s="623" t="str">
        <f t="shared" si="54"/>
        <v>Low Voltage</v>
      </c>
    </row>
    <row r="44" spans="1:40" ht="13">
      <c r="A44" s="624" t="s">
        <v>329</v>
      </c>
      <c r="C44" s="607" t="str">
        <f t="shared" ref="C44:D44" si="56">C12</f>
        <v>Month</v>
      </c>
      <c r="D44" s="607" t="str">
        <f t="shared" si="56"/>
        <v>Year</v>
      </c>
      <c r="E44" s="619" t="str">
        <f>E12</f>
        <v>Plant Adds</v>
      </c>
      <c r="F44" s="619" t="str">
        <f t="shared" si="55"/>
        <v>CWIP Closed</v>
      </c>
      <c r="G44" s="625" t="str">
        <f t="shared" si="55"/>
        <v>Closed to PIS</v>
      </c>
      <c r="H44" s="625" t="str">
        <f t="shared" si="55"/>
        <v>Removal</v>
      </c>
      <c r="I44" s="625" t="str">
        <f>I12</f>
        <v>Additions</v>
      </c>
      <c r="J44" s="625" t="str">
        <f>J12</f>
        <v>AFUDC</v>
      </c>
      <c r="K44" s="625" t="str">
        <f>K12</f>
        <v>Gross Plant</v>
      </c>
      <c r="L44" s="625" t="str">
        <f>L12</f>
        <v>Accrual</v>
      </c>
      <c r="M44" s="625" t="str">
        <f>M12</f>
        <v>Reserve</v>
      </c>
      <c r="N44" s="625" t="str">
        <f>N12</f>
        <v>Net Plant</v>
      </c>
      <c r="O44" s="625" t="str">
        <f t="shared" si="54"/>
        <v>Additions</v>
      </c>
      <c r="P44" s="625" t="str">
        <f t="shared" si="54"/>
        <v>Additions</v>
      </c>
      <c r="T44" s="625"/>
      <c r="U44" s="625"/>
      <c r="V44" s="625"/>
      <c r="W44" s="625"/>
      <c r="X44" s="625"/>
      <c r="Y44" s="625"/>
    </row>
    <row r="45" spans="1:40" ht="13">
      <c r="A45" s="622">
        <f>A37+1</f>
        <v>26</v>
      </c>
      <c r="C45" s="608" t="s">
        <v>181</v>
      </c>
      <c r="D45" s="837">
        <v>2021</v>
      </c>
      <c r="E45" s="632">
        <f>'10-CWIP'!G55</f>
        <v>13625514.4318</v>
      </c>
      <c r="F45" s="632">
        <f>'10-CWIP'!H55</f>
        <v>13498671.640000001</v>
      </c>
      <c r="G45" s="632">
        <f>'10-CWIP'!I55</f>
        <v>9513.2093850000529</v>
      </c>
      <c r="H45" s="657">
        <v>0</v>
      </c>
      <c r="I45" s="626">
        <v>0</v>
      </c>
      <c r="J45" s="658">
        <v>0</v>
      </c>
      <c r="K45" s="1125">
        <f>0+E45+G45</f>
        <v>13635027.641185001</v>
      </c>
      <c r="L45" s="578">
        <v>0</v>
      </c>
      <c r="M45" s="578">
        <f>L45- H45</f>
        <v>0</v>
      </c>
      <c r="N45" s="578">
        <f>K45-M45</f>
        <v>13635027.641185001</v>
      </c>
      <c r="O45" s="659">
        <v>0</v>
      </c>
      <c r="P45" s="658">
        <f t="shared" ref="P45:P68" si="57">O45*(1-$E$107)*(1+$E$103+$E$111)</f>
        <v>0</v>
      </c>
      <c r="S45" s="578"/>
      <c r="T45" s="631"/>
      <c r="U45" s="628"/>
      <c r="V45" s="475"/>
      <c r="W45" s="631"/>
      <c r="X45" s="628"/>
      <c r="Y45" s="475"/>
    </row>
    <row r="46" spans="1:40" ht="13">
      <c r="A46" s="622">
        <f t="shared" ref="A46:A99" si="58">A45+1</f>
        <v>27</v>
      </c>
      <c r="C46" s="611" t="s">
        <v>182</v>
      </c>
      <c r="D46" s="837">
        <v>2021</v>
      </c>
      <c r="E46" s="632">
        <f>'10-CWIP'!G56</f>
        <v>-380130.16160000011</v>
      </c>
      <c r="F46" s="632">
        <f>'10-CWIP'!H56</f>
        <v>0</v>
      </c>
      <c r="G46" s="632">
        <f>'10-CWIP'!I56</f>
        <v>-28509.762120000007</v>
      </c>
      <c r="H46" s="657">
        <v>0</v>
      </c>
      <c r="I46" s="626">
        <v>0</v>
      </c>
      <c r="J46" s="658">
        <v>0</v>
      </c>
      <c r="K46" s="578">
        <f>K45+E46+G46</f>
        <v>13226387.717465002</v>
      </c>
      <c r="L46" s="578">
        <f t="shared" ref="L46:L68" si="59">K45*$E$133/12</f>
        <v>28943.922035159496</v>
      </c>
      <c r="M46" s="578">
        <f>(M45+L46)-H46</f>
        <v>28943.922035159496</v>
      </c>
      <c r="N46" s="578">
        <f t="shared" ref="N46:N68" si="60">K46-M46</f>
        <v>13197443.795429843</v>
      </c>
      <c r="O46" s="659">
        <v>0</v>
      </c>
      <c r="P46" s="658">
        <f t="shared" si="57"/>
        <v>0</v>
      </c>
      <c r="S46" s="578"/>
      <c r="T46" s="631"/>
      <c r="U46" s="628"/>
      <c r="V46" s="475"/>
      <c r="W46" s="631"/>
      <c r="X46" s="628"/>
      <c r="Y46" s="475"/>
    </row>
    <row r="47" spans="1:40" ht="13">
      <c r="A47" s="622">
        <f t="shared" si="58"/>
        <v>28</v>
      </c>
      <c r="C47" s="611" t="s">
        <v>195</v>
      </c>
      <c r="D47" s="837">
        <v>2021</v>
      </c>
      <c r="E47" s="632">
        <f>'10-CWIP'!G57</f>
        <v>173982.38939999999</v>
      </c>
      <c r="F47" s="632">
        <f>'10-CWIP'!H57</f>
        <v>0</v>
      </c>
      <c r="G47" s="632">
        <f>'10-CWIP'!I57</f>
        <v>13048.679204999999</v>
      </c>
      <c r="H47" s="657">
        <v>0</v>
      </c>
      <c r="I47" s="626">
        <v>0</v>
      </c>
      <c r="J47" s="658">
        <v>0</v>
      </c>
      <c r="K47" s="578">
        <f t="shared" ref="K47:K68" si="61">K46+E47+G47</f>
        <v>13413418.786070002</v>
      </c>
      <c r="L47" s="578">
        <f t="shared" si="59"/>
        <v>28076.476628823875</v>
      </c>
      <c r="M47" s="578">
        <f>(M46+L47)-H47</f>
        <v>57020.398663983375</v>
      </c>
      <c r="N47" s="578">
        <f t="shared" si="60"/>
        <v>13356398.387406019</v>
      </c>
      <c r="O47" s="659">
        <v>0</v>
      </c>
      <c r="P47" s="658">
        <f t="shared" si="57"/>
        <v>0</v>
      </c>
      <c r="S47" s="578"/>
      <c r="T47" s="631"/>
      <c r="U47" s="628"/>
      <c r="V47" s="475"/>
      <c r="W47" s="631"/>
      <c r="X47" s="628"/>
      <c r="Y47" s="475"/>
    </row>
    <row r="48" spans="1:40" ht="13">
      <c r="A48" s="622">
        <f t="shared" si="58"/>
        <v>29</v>
      </c>
      <c r="C48" s="608" t="s">
        <v>183</v>
      </c>
      <c r="D48" s="837">
        <v>2021</v>
      </c>
      <c r="E48" s="632">
        <f>'10-CWIP'!G58</f>
        <v>25406708.900000002</v>
      </c>
      <c r="F48" s="632">
        <f>'10-CWIP'!H58</f>
        <v>22566341.899999999</v>
      </c>
      <c r="G48" s="632">
        <f>'10-CWIP'!I58</f>
        <v>213027.52500000029</v>
      </c>
      <c r="H48" s="657">
        <v>0</v>
      </c>
      <c r="I48" s="626">
        <v>0</v>
      </c>
      <c r="J48" s="658">
        <v>0</v>
      </c>
      <c r="K48" s="578">
        <f t="shared" si="61"/>
        <v>39033155.211070001</v>
      </c>
      <c r="L48" s="578">
        <f t="shared" si="59"/>
        <v>28473.49912194331</v>
      </c>
      <c r="M48" s="578">
        <f t="shared" ref="M48:M67" si="62">(M47+L48)-H48</f>
        <v>85493.897785926689</v>
      </c>
      <c r="N48" s="578">
        <f t="shared" si="60"/>
        <v>38947661.313284077</v>
      </c>
      <c r="O48" s="659">
        <v>0</v>
      </c>
      <c r="P48" s="658">
        <f t="shared" si="57"/>
        <v>0</v>
      </c>
      <c r="S48" s="578"/>
      <c r="T48" s="631"/>
      <c r="U48" s="628"/>
      <c r="V48" s="475"/>
      <c r="W48" s="631"/>
      <c r="X48" s="628"/>
      <c r="Y48" s="475"/>
    </row>
    <row r="49" spans="1:25" ht="13">
      <c r="A49" s="622">
        <f t="shared" si="58"/>
        <v>30</v>
      </c>
      <c r="C49" s="611" t="s">
        <v>184</v>
      </c>
      <c r="D49" s="837">
        <v>2021</v>
      </c>
      <c r="E49" s="632">
        <f>'10-CWIP'!G59</f>
        <v>653917789.59999979</v>
      </c>
      <c r="F49" s="632">
        <f>'10-CWIP'!H59</f>
        <v>628718265.59999979</v>
      </c>
      <c r="G49" s="632">
        <f>'10-CWIP'!I59</f>
        <v>1889964.2999999998</v>
      </c>
      <c r="H49" s="657">
        <v>0</v>
      </c>
      <c r="I49" s="626">
        <v>0</v>
      </c>
      <c r="J49" s="658">
        <v>0</v>
      </c>
      <c r="K49" s="578">
        <f t="shared" si="61"/>
        <v>694840909.11106968</v>
      </c>
      <c r="L49" s="578">
        <f t="shared" si="59"/>
        <v>82858.108611601085</v>
      </c>
      <c r="M49" s="578">
        <f t="shared" si="62"/>
        <v>168352.00639752776</v>
      </c>
      <c r="N49" s="578">
        <f t="shared" si="60"/>
        <v>694672557.10467219</v>
      </c>
      <c r="O49" s="659">
        <v>0</v>
      </c>
      <c r="P49" s="658">
        <f t="shared" si="57"/>
        <v>0</v>
      </c>
      <c r="S49" s="578"/>
      <c r="T49" s="631"/>
      <c r="U49" s="628"/>
      <c r="V49" s="475"/>
      <c r="W49" s="631"/>
      <c r="X49" s="628"/>
      <c r="Y49" s="475"/>
    </row>
    <row r="50" spans="1:25" ht="13">
      <c r="A50" s="622">
        <f t="shared" si="58"/>
        <v>31</v>
      </c>
      <c r="C50" s="611" t="s">
        <v>185</v>
      </c>
      <c r="D50" s="837">
        <v>2021</v>
      </c>
      <c r="E50" s="632">
        <f>'10-CWIP'!G60</f>
        <v>6727999.9400000004</v>
      </c>
      <c r="F50" s="632">
        <f>'10-CWIP'!H60</f>
        <v>159289.94</v>
      </c>
      <c r="G50" s="632">
        <f>'10-CWIP'!I60</f>
        <v>492653.25</v>
      </c>
      <c r="H50" s="657">
        <v>0</v>
      </c>
      <c r="I50" s="626">
        <v>0</v>
      </c>
      <c r="J50" s="658">
        <v>0</v>
      </c>
      <c r="K50" s="578">
        <f t="shared" si="61"/>
        <v>702061562.30106974</v>
      </c>
      <c r="L50" s="578">
        <f t="shared" si="59"/>
        <v>1474982.0557314465</v>
      </c>
      <c r="M50" s="578">
        <f t="shared" si="62"/>
        <v>1643334.0621289741</v>
      </c>
      <c r="N50" s="578">
        <f t="shared" si="60"/>
        <v>700418228.23894072</v>
      </c>
      <c r="O50" s="659">
        <v>0</v>
      </c>
      <c r="P50" s="658">
        <f t="shared" si="57"/>
        <v>0</v>
      </c>
      <c r="S50" s="578"/>
      <c r="T50" s="631"/>
      <c r="U50" s="628"/>
      <c r="V50" s="475"/>
      <c r="W50" s="631"/>
      <c r="X50" s="628"/>
      <c r="Y50" s="475"/>
    </row>
    <row r="51" spans="1:25" ht="13">
      <c r="A51" s="622">
        <f t="shared" si="58"/>
        <v>32</v>
      </c>
      <c r="C51" s="608" t="s">
        <v>186</v>
      </c>
      <c r="D51" s="837">
        <v>2021</v>
      </c>
      <c r="E51" s="632">
        <f>'10-CWIP'!G61</f>
        <v>9490707.7799999993</v>
      </c>
      <c r="F51" s="632">
        <f>'10-CWIP'!H61</f>
        <v>6279995.7800000003</v>
      </c>
      <c r="G51" s="632">
        <f>'10-CWIP'!I61</f>
        <v>240803.39999999991</v>
      </c>
      <c r="H51" s="657">
        <v>0</v>
      </c>
      <c r="I51" s="626">
        <v>0</v>
      </c>
      <c r="J51" s="658">
        <v>0</v>
      </c>
      <c r="K51" s="578">
        <f t="shared" si="61"/>
        <v>711793073.48106968</v>
      </c>
      <c r="L51" s="578">
        <f t="shared" si="59"/>
        <v>1490309.7857862806</v>
      </c>
      <c r="M51" s="578">
        <f t="shared" si="62"/>
        <v>3133643.8479152545</v>
      </c>
      <c r="N51" s="578">
        <f t="shared" si="60"/>
        <v>708659429.63315439</v>
      </c>
      <c r="O51" s="659">
        <v>0</v>
      </c>
      <c r="P51" s="658">
        <f t="shared" si="57"/>
        <v>0</v>
      </c>
      <c r="S51" s="578"/>
      <c r="T51" s="631"/>
      <c r="U51" s="628"/>
      <c r="V51" s="475"/>
      <c r="W51" s="631"/>
      <c r="X51" s="628"/>
      <c r="Y51" s="475"/>
    </row>
    <row r="52" spans="1:25" ht="13">
      <c r="A52" s="622">
        <f t="shared" si="58"/>
        <v>33</v>
      </c>
      <c r="C52" s="611" t="s">
        <v>187</v>
      </c>
      <c r="D52" s="837">
        <v>2021</v>
      </c>
      <c r="E52" s="632">
        <f>'10-CWIP'!G62</f>
        <v>2490180</v>
      </c>
      <c r="F52" s="632">
        <f>'10-CWIP'!H62</f>
        <v>0</v>
      </c>
      <c r="G52" s="632">
        <f>'10-CWIP'!I62</f>
        <v>186763.5</v>
      </c>
      <c r="H52" s="657">
        <v>0</v>
      </c>
      <c r="I52" s="626">
        <v>0</v>
      </c>
      <c r="J52" s="658">
        <v>0</v>
      </c>
      <c r="K52" s="578">
        <f t="shared" si="61"/>
        <v>714470016.98106968</v>
      </c>
      <c r="L52" s="578">
        <f t="shared" si="59"/>
        <v>1510967.4704122667</v>
      </c>
      <c r="M52" s="578">
        <f t="shared" si="62"/>
        <v>4644611.318327521</v>
      </c>
      <c r="N52" s="578">
        <f t="shared" si="60"/>
        <v>709825405.66274214</v>
      </c>
      <c r="O52" s="659">
        <v>0</v>
      </c>
      <c r="P52" s="658">
        <f t="shared" si="57"/>
        <v>0</v>
      </c>
      <c r="S52" s="578"/>
      <c r="T52" s="631"/>
      <c r="U52" s="628"/>
      <c r="V52" s="475"/>
      <c r="W52" s="631"/>
      <c r="X52" s="628"/>
      <c r="Y52" s="475"/>
    </row>
    <row r="53" spans="1:25" ht="13">
      <c r="A53" s="622">
        <f t="shared" si="58"/>
        <v>34</v>
      </c>
      <c r="C53" s="611" t="s">
        <v>188</v>
      </c>
      <c r="D53" s="837">
        <v>2021</v>
      </c>
      <c r="E53" s="632">
        <f>'10-CWIP'!G63</f>
        <v>175102967.69999999</v>
      </c>
      <c r="F53" s="632">
        <f>'10-CWIP'!H63</f>
        <v>122968413.7</v>
      </c>
      <c r="G53" s="632">
        <f>'10-CWIP'!I63</f>
        <v>3910091.5499999989</v>
      </c>
      <c r="H53" s="657">
        <v>0</v>
      </c>
      <c r="I53" s="626">
        <v>0</v>
      </c>
      <c r="J53" s="658">
        <v>0</v>
      </c>
      <c r="K53" s="578">
        <f t="shared" si="61"/>
        <v>893483076.23106956</v>
      </c>
      <c r="L53" s="578">
        <f t="shared" si="59"/>
        <v>1516649.9850353021</v>
      </c>
      <c r="M53" s="578">
        <f t="shared" si="62"/>
        <v>6161261.3033628231</v>
      </c>
      <c r="N53" s="578">
        <f t="shared" si="60"/>
        <v>887321814.92770672</v>
      </c>
      <c r="O53" s="659">
        <v>0</v>
      </c>
      <c r="P53" s="658">
        <f t="shared" si="57"/>
        <v>0</v>
      </c>
      <c r="S53" s="578"/>
      <c r="T53" s="631"/>
      <c r="U53" s="628"/>
      <c r="V53" s="475"/>
      <c r="W53" s="631"/>
      <c r="X53" s="628"/>
      <c r="Y53" s="475"/>
    </row>
    <row r="54" spans="1:25" ht="13">
      <c r="A54" s="622">
        <f t="shared" si="58"/>
        <v>35</v>
      </c>
      <c r="C54" s="608" t="s">
        <v>189</v>
      </c>
      <c r="D54" s="837">
        <v>2021</v>
      </c>
      <c r="E54" s="632">
        <f>'10-CWIP'!G64</f>
        <v>8150882</v>
      </c>
      <c r="F54" s="632">
        <f>'10-CWIP'!H64</f>
        <v>0</v>
      </c>
      <c r="G54" s="632">
        <f>'10-CWIP'!I64</f>
        <v>611316.14999999991</v>
      </c>
      <c r="H54" s="657">
        <v>0</v>
      </c>
      <c r="I54" s="626">
        <v>0</v>
      </c>
      <c r="J54" s="658">
        <v>0</v>
      </c>
      <c r="K54" s="578">
        <f t="shared" si="61"/>
        <v>902245274.38106954</v>
      </c>
      <c r="L54" s="578">
        <f t="shared" si="59"/>
        <v>1896652.1505283148</v>
      </c>
      <c r="M54" s="578">
        <f t="shared" si="62"/>
        <v>8057913.4538911376</v>
      </c>
      <c r="N54" s="578">
        <f t="shared" si="60"/>
        <v>894187360.92717838</v>
      </c>
      <c r="O54" s="659">
        <v>0</v>
      </c>
      <c r="P54" s="658">
        <f t="shared" si="57"/>
        <v>0</v>
      </c>
      <c r="S54" s="578"/>
      <c r="T54" s="631"/>
      <c r="U54" s="628"/>
      <c r="V54" s="475"/>
      <c r="W54" s="631"/>
      <c r="X54" s="628"/>
      <c r="Y54" s="475"/>
    </row>
    <row r="55" spans="1:25" ht="13">
      <c r="A55" s="622">
        <f t="shared" si="58"/>
        <v>36</v>
      </c>
      <c r="C55" s="608" t="s">
        <v>190</v>
      </c>
      <c r="D55" s="837">
        <v>2021</v>
      </c>
      <c r="E55" s="632">
        <f>'10-CWIP'!G65</f>
        <v>38661230.410000004</v>
      </c>
      <c r="F55" s="632">
        <f>'10-CWIP'!H65</f>
        <v>26135813.41</v>
      </c>
      <c r="G55" s="632">
        <f>'10-CWIP'!I65</f>
        <v>939406.27500000037</v>
      </c>
      <c r="H55" s="657">
        <v>0</v>
      </c>
      <c r="I55" s="626">
        <v>0</v>
      </c>
      <c r="J55" s="658">
        <v>0</v>
      </c>
      <c r="K55" s="578">
        <f t="shared" si="61"/>
        <v>941845911.06606948</v>
      </c>
      <c r="L55" s="578">
        <f t="shared" si="59"/>
        <v>1915252.2140400435</v>
      </c>
      <c r="M55" s="578">
        <f t="shared" si="62"/>
        <v>9973165.6679311804</v>
      </c>
      <c r="N55" s="578">
        <f t="shared" si="60"/>
        <v>931872745.39813828</v>
      </c>
      <c r="O55" s="659">
        <v>0</v>
      </c>
      <c r="P55" s="658">
        <f>O55*(1-$E$107)*(1+$E$103+$E$111)</f>
        <v>0</v>
      </c>
      <c r="S55" s="578"/>
      <c r="T55" s="631"/>
      <c r="U55" s="628"/>
      <c r="V55" s="475"/>
      <c r="W55" s="631"/>
      <c r="X55" s="628"/>
      <c r="Y55" s="475"/>
    </row>
    <row r="56" spans="1:25" ht="13">
      <c r="A56" s="622">
        <f t="shared" si="58"/>
        <v>37</v>
      </c>
      <c r="C56" s="608" t="s">
        <v>180</v>
      </c>
      <c r="D56" s="837">
        <v>2021</v>
      </c>
      <c r="E56" s="632">
        <f>'10-CWIP'!G66</f>
        <v>40311066.800000004</v>
      </c>
      <c r="F56" s="632">
        <f>'10-CWIP'!H66</f>
        <v>13866924.800000001</v>
      </c>
      <c r="G56" s="632">
        <f>'10-CWIP'!I66</f>
        <v>1983310.6500000004</v>
      </c>
      <c r="H56" s="657">
        <v>0</v>
      </c>
      <c r="I56" s="626">
        <v>0</v>
      </c>
      <c r="J56" s="658">
        <v>0</v>
      </c>
      <c r="K56" s="578">
        <f t="shared" si="61"/>
        <v>984140288.51606941</v>
      </c>
      <c r="L56" s="578">
        <f t="shared" si="59"/>
        <v>1999314.9509054378</v>
      </c>
      <c r="M56" s="578">
        <f t="shared" si="62"/>
        <v>11972480.618836619</v>
      </c>
      <c r="N56" s="578">
        <f t="shared" si="60"/>
        <v>972167807.89723277</v>
      </c>
      <c r="O56" s="659">
        <v>0</v>
      </c>
      <c r="P56" s="658">
        <f t="shared" si="57"/>
        <v>0</v>
      </c>
      <c r="S56" s="578"/>
      <c r="T56" s="631"/>
      <c r="U56" s="628"/>
      <c r="V56" s="475"/>
      <c r="W56" s="631"/>
      <c r="X56" s="628"/>
      <c r="Y56" s="475"/>
    </row>
    <row r="57" spans="1:25" ht="13">
      <c r="A57" s="622">
        <f t="shared" si="58"/>
        <v>38</v>
      </c>
      <c r="C57" s="608" t="s">
        <v>181</v>
      </c>
      <c r="D57" s="837">
        <v>2022</v>
      </c>
      <c r="E57" s="632">
        <f>'10-CWIP'!G67</f>
        <v>33222809.440000001</v>
      </c>
      <c r="F57" s="632">
        <f>'10-CWIP'!H67</f>
        <v>21197379.440000001</v>
      </c>
      <c r="G57" s="632">
        <f>'10-CWIP'!I67</f>
        <v>901907.25</v>
      </c>
      <c r="H57" s="657">
        <v>0</v>
      </c>
      <c r="I57" s="626">
        <v>0</v>
      </c>
      <c r="J57" s="658">
        <v>0</v>
      </c>
      <c r="K57" s="578">
        <f t="shared" si="61"/>
        <v>1018265005.2060695</v>
      </c>
      <c r="L57" s="578">
        <f t="shared" si="59"/>
        <v>2089095.8589940127</v>
      </c>
      <c r="M57" s="578">
        <f t="shared" si="62"/>
        <v>14061576.477830632</v>
      </c>
      <c r="N57" s="578">
        <f t="shared" si="60"/>
        <v>1004203428.7282388</v>
      </c>
      <c r="O57" s="659">
        <v>0</v>
      </c>
      <c r="P57" s="658">
        <f t="shared" si="57"/>
        <v>0</v>
      </c>
      <c r="S57" s="578"/>
      <c r="T57" s="631"/>
      <c r="U57" s="628"/>
      <c r="V57" s="475"/>
      <c r="W57" s="631"/>
      <c r="X57" s="628"/>
      <c r="Y57" s="475"/>
    </row>
    <row r="58" spans="1:25" ht="13">
      <c r="A58" s="622">
        <f t="shared" si="58"/>
        <v>39</v>
      </c>
      <c r="C58" s="611" t="s">
        <v>182</v>
      </c>
      <c r="D58" s="837">
        <v>2022</v>
      </c>
      <c r="E58" s="632">
        <f>'10-CWIP'!G68</f>
        <v>6667430</v>
      </c>
      <c r="F58" s="632">
        <f>'10-CWIP'!H68</f>
        <v>0</v>
      </c>
      <c r="G58" s="632">
        <f>'10-CWIP'!I68</f>
        <v>500057.25</v>
      </c>
      <c r="H58" s="657">
        <v>0</v>
      </c>
      <c r="I58" s="626">
        <v>0</v>
      </c>
      <c r="J58" s="658">
        <v>0</v>
      </c>
      <c r="K58" s="578">
        <f t="shared" si="61"/>
        <v>1025432492.4560695</v>
      </c>
      <c r="L58" s="578">
        <f t="shared" si="59"/>
        <v>2161534.5195775735</v>
      </c>
      <c r="M58" s="578">
        <f t="shared" si="62"/>
        <v>16223110.997408206</v>
      </c>
      <c r="N58" s="578">
        <f t="shared" si="60"/>
        <v>1009209381.4586613</v>
      </c>
      <c r="O58" s="659">
        <v>0</v>
      </c>
      <c r="P58" s="658">
        <f t="shared" si="57"/>
        <v>0</v>
      </c>
      <c r="S58" s="578"/>
      <c r="T58" s="631"/>
      <c r="U58" s="628"/>
      <c r="V58" s="475"/>
      <c r="W58" s="631"/>
      <c r="X58" s="628"/>
      <c r="Y58" s="475"/>
    </row>
    <row r="59" spans="1:25" ht="13">
      <c r="A59" s="622">
        <f t="shared" si="58"/>
        <v>40</v>
      </c>
      <c r="C59" s="611" t="s">
        <v>195</v>
      </c>
      <c r="D59" s="837">
        <v>2022</v>
      </c>
      <c r="E59" s="632">
        <f>'10-CWIP'!G69</f>
        <v>4942727</v>
      </c>
      <c r="F59" s="632">
        <f>'10-CWIP'!H69</f>
        <v>0</v>
      </c>
      <c r="G59" s="632">
        <f>'10-CWIP'!I69</f>
        <v>370704.52500000002</v>
      </c>
      <c r="H59" s="657">
        <v>0</v>
      </c>
      <c r="I59" s="626">
        <v>0</v>
      </c>
      <c r="J59" s="658">
        <v>0</v>
      </c>
      <c r="K59" s="578">
        <f t="shared" si="61"/>
        <v>1030745923.9810694</v>
      </c>
      <c r="L59" s="578">
        <f t="shared" si="59"/>
        <v>2176749.3909816747</v>
      </c>
      <c r="M59" s="578">
        <f t="shared" si="62"/>
        <v>18399860.388389882</v>
      </c>
      <c r="N59" s="578">
        <f t="shared" si="60"/>
        <v>1012346063.5926796</v>
      </c>
      <c r="O59" s="659">
        <v>0</v>
      </c>
      <c r="P59" s="658">
        <f t="shared" si="57"/>
        <v>0</v>
      </c>
      <c r="S59" s="578"/>
      <c r="T59" s="631"/>
      <c r="U59" s="628"/>
      <c r="V59" s="475"/>
      <c r="W59" s="631"/>
      <c r="X59" s="628"/>
      <c r="Y59" s="475"/>
    </row>
    <row r="60" spans="1:25" ht="13">
      <c r="A60" s="622">
        <f t="shared" si="58"/>
        <v>41</v>
      </c>
      <c r="C60" s="608" t="s">
        <v>183</v>
      </c>
      <c r="D60" s="837">
        <v>2022</v>
      </c>
      <c r="E60" s="632">
        <f>'10-CWIP'!G70</f>
        <v>5059930</v>
      </c>
      <c r="F60" s="632">
        <f>'10-CWIP'!H70</f>
        <v>0</v>
      </c>
      <c r="G60" s="632">
        <f>'10-CWIP'!I70</f>
        <v>379494.75</v>
      </c>
      <c r="H60" s="657">
        <v>0</v>
      </c>
      <c r="I60" s="626">
        <v>0</v>
      </c>
      <c r="J60" s="658">
        <v>0</v>
      </c>
      <c r="K60" s="578">
        <f t="shared" si="61"/>
        <v>1036185348.7310694</v>
      </c>
      <c r="L60" s="578">
        <f t="shared" si="59"/>
        <v>2188028.5428723707</v>
      </c>
      <c r="M60" s="578">
        <f t="shared" si="62"/>
        <v>20587888.931262251</v>
      </c>
      <c r="N60" s="578">
        <f t="shared" si="60"/>
        <v>1015597459.7998072</v>
      </c>
      <c r="O60" s="659">
        <v>0</v>
      </c>
      <c r="P60" s="658">
        <f t="shared" si="57"/>
        <v>0</v>
      </c>
      <c r="S60" s="578"/>
      <c r="T60" s="631"/>
      <c r="U60" s="628"/>
      <c r="V60" s="475"/>
      <c r="W60" s="631"/>
      <c r="X60" s="628"/>
      <c r="Y60" s="475"/>
    </row>
    <row r="61" spans="1:25" ht="13">
      <c r="A61" s="622">
        <f t="shared" si="58"/>
        <v>42</v>
      </c>
      <c r="C61" s="611" t="s">
        <v>184</v>
      </c>
      <c r="D61" s="837">
        <v>2022</v>
      </c>
      <c r="E61" s="632">
        <f>'10-CWIP'!G71</f>
        <v>33376207.760000002</v>
      </c>
      <c r="F61" s="632">
        <f>'10-CWIP'!H71</f>
        <v>22955277.760000002</v>
      </c>
      <c r="G61" s="632">
        <f>'10-CWIP'!I71</f>
        <v>781569.75</v>
      </c>
      <c r="H61" s="657">
        <v>0</v>
      </c>
      <c r="I61" s="626">
        <v>0</v>
      </c>
      <c r="J61" s="658">
        <v>0</v>
      </c>
      <c r="K61" s="578">
        <f t="shared" si="61"/>
        <v>1070343126.2410694</v>
      </c>
      <c r="L61" s="578">
        <f t="shared" si="59"/>
        <v>2199575.1484255982</v>
      </c>
      <c r="M61" s="578">
        <f t="shared" si="62"/>
        <v>22787464.079687849</v>
      </c>
      <c r="N61" s="578">
        <f t="shared" si="60"/>
        <v>1047555662.1613816</v>
      </c>
      <c r="O61" s="659">
        <v>0</v>
      </c>
      <c r="P61" s="658">
        <f t="shared" si="57"/>
        <v>0</v>
      </c>
      <c r="S61" s="578"/>
      <c r="T61" s="631"/>
      <c r="U61" s="628"/>
      <c r="V61" s="475"/>
      <c r="W61" s="631"/>
      <c r="X61" s="628"/>
      <c r="Y61" s="475"/>
    </row>
    <row r="62" spans="1:25" ht="13">
      <c r="A62" s="622">
        <f t="shared" si="58"/>
        <v>43</v>
      </c>
      <c r="C62" s="611" t="s">
        <v>185</v>
      </c>
      <c r="D62" s="837">
        <v>2022</v>
      </c>
      <c r="E62" s="632">
        <f>'10-CWIP'!G72</f>
        <v>36967385.069999993</v>
      </c>
      <c r="F62" s="632">
        <f>'10-CWIP'!H72</f>
        <v>20878455.07</v>
      </c>
      <c r="G62" s="632">
        <f>'10-CWIP'!I72</f>
        <v>1206669.7499999995</v>
      </c>
      <c r="H62" s="657">
        <v>0</v>
      </c>
      <c r="I62" s="626">
        <v>0</v>
      </c>
      <c r="J62" s="658">
        <v>0</v>
      </c>
      <c r="K62" s="578">
        <f t="shared" si="61"/>
        <v>1108517181.0610695</v>
      </c>
      <c r="L62" s="578">
        <f t="shared" si="59"/>
        <v>2272083.989270004</v>
      </c>
      <c r="M62" s="578">
        <f t="shared" si="62"/>
        <v>25059548.068957854</v>
      </c>
      <c r="N62" s="578">
        <f t="shared" si="60"/>
        <v>1083457632.9921117</v>
      </c>
      <c r="O62" s="659">
        <v>0</v>
      </c>
      <c r="P62" s="658">
        <f t="shared" si="57"/>
        <v>0</v>
      </c>
      <c r="S62" s="578"/>
      <c r="T62" s="631"/>
      <c r="U62" s="628"/>
      <c r="V62" s="475"/>
      <c r="W62" s="631"/>
      <c r="X62" s="628"/>
      <c r="Y62" s="475"/>
    </row>
    <row r="63" spans="1:25" ht="13">
      <c r="A63" s="622">
        <f t="shared" si="58"/>
        <v>44</v>
      </c>
      <c r="C63" s="608" t="s">
        <v>186</v>
      </c>
      <c r="D63" s="837">
        <v>2022</v>
      </c>
      <c r="E63" s="632">
        <f>'10-CWIP'!G73</f>
        <v>46258652.660000004</v>
      </c>
      <c r="F63" s="632">
        <f>'10-CWIP'!H73</f>
        <v>21750009.66</v>
      </c>
      <c r="G63" s="632">
        <f>'10-CWIP'!I73</f>
        <v>1838148.2250000001</v>
      </c>
      <c r="H63" s="657">
        <v>0</v>
      </c>
      <c r="I63" s="626">
        <v>0</v>
      </c>
      <c r="J63" s="658">
        <v>0</v>
      </c>
      <c r="K63" s="578">
        <f t="shared" si="61"/>
        <v>1156613981.9460695</v>
      </c>
      <c r="L63" s="578">
        <f t="shared" si="59"/>
        <v>2353118.4319973942</v>
      </c>
      <c r="M63" s="578">
        <f t="shared" si="62"/>
        <v>27412666.500955246</v>
      </c>
      <c r="N63" s="578">
        <f t="shared" si="60"/>
        <v>1129201315.4451141</v>
      </c>
      <c r="O63" s="659">
        <v>0</v>
      </c>
      <c r="P63" s="658">
        <f t="shared" si="57"/>
        <v>0</v>
      </c>
      <c r="S63" s="578"/>
      <c r="T63" s="631"/>
      <c r="U63" s="628"/>
      <c r="V63" s="475"/>
      <c r="W63" s="631"/>
      <c r="X63" s="628"/>
      <c r="Y63" s="475"/>
    </row>
    <row r="64" spans="1:25" ht="13">
      <c r="A64" s="622">
        <f t="shared" si="58"/>
        <v>45</v>
      </c>
      <c r="C64" s="611" t="s">
        <v>187</v>
      </c>
      <c r="D64" s="837">
        <v>2022</v>
      </c>
      <c r="E64" s="632">
        <f>'10-CWIP'!G74</f>
        <v>5258959</v>
      </c>
      <c r="F64" s="632">
        <f>'10-CWIP'!H74</f>
        <v>0</v>
      </c>
      <c r="G64" s="632">
        <f>'10-CWIP'!I74</f>
        <v>394421.92499999999</v>
      </c>
      <c r="H64" s="657">
        <v>0</v>
      </c>
      <c r="I64" s="626">
        <v>0</v>
      </c>
      <c r="J64" s="658">
        <v>0</v>
      </c>
      <c r="K64" s="578">
        <f t="shared" si="61"/>
        <v>1162267362.8710694</v>
      </c>
      <c r="L64" s="578">
        <f t="shared" si="59"/>
        <v>2455216.5055466639</v>
      </c>
      <c r="M64" s="578">
        <f t="shared" si="62"/>
        <v>29867883.006501909</v>
      </c>
      <c r="N64" s="578">
        <f t="shared" si="60"/>
        <v>1132399479.8645675</v>
      </c>
      <c r="O64" s="659">
        <v>0</v>
      </c>
      <c r="P64" s="658">
        <f t="shared" si="57"/>
        <v>0</v>
      </c>
      <c r="S64" s="578"/>
      <c r="T64" s="631"/>
      <c r="U64" s="628"/>
      <c r="V64" s="475"/>
      <c r="W64" s="631"/>
      <c r="X64" s="628"/>
      <c r="Y64" s="475"/>
    </row>
    <row r="65" spans="1:25" ht="13">
      <c r="A65" s="622">
        <f t="shared" si="58"/>
        <v>46</v>
      </c>
      <c r="C65" s="611" t="s">
        <v>188</v>
      </c>
      <c r="D65" s="837">
        <v>2022</v>
      </c>
      <c r="E65" s="632">
        <f>'10-CWIP'!G75</f>
        <v>4239394</v>
      </c>
      <c r="F65" s="632">
        <f>'10-CWIP'!H75</f>
        <v>0</v>
      </c>
      <c r="G65" s="632">
        <f>'10-CWIP'!I75</f>
        <v>317954.55</v>
      </c>
      <c r="H65" s="657">
        <v>0</v>
      </c>
      <c r="I65" s="626">
        <v>0</v>
      </c>
      <c r="J65" s="658">
        <v>0</v>
      </c>
      <c r="K65" s="578">
        <f t="shared" si="61"/>
        <v>1166824711.4210694</v>
      </c>
      <c r="L65" s="578">
        <f t="shared" si="59"/>
        <v>2467217.2891926025</v>
      </c>
      <c r="M65" s="578">
        <f t="shared" si="62"/>
        <v>32335100.295694511</v>
      </c>
      <c r="N65" s="578">
        <f t="shared" si="60"/>
        <v>1134489611.1253748</v>
      </c>
      <c r="O65" s="659">
        <v>0</v>
      </c>
      <c r="P65" s="658">
        <f t="shared" si="57"/>
        <v>0</v>
      </c>
      <c r="S65" s="578"/>
      <c r="T65" s="631"/>
      <c r="U65" s="628"/>
      <c r="V65" s="475"/>
      <c r="W65" s="631"/>
      <c r="X65" s="628"/>
      <c r="Y65" s="475"/>
    </row>
    <row r="66" spans="1:25" ht="13">
      <c r="A66" s="623">
        <f t="shared" si="58"/>
        <v>47</v>
      </c>
      <c r="C66" s="611" t="s">
        <v>191</v>
      </c>
      <c r="D66" s="837">
        <v>2022</v>
      </c>
      <c r="E66" s="632">
        <f>'10-CWIP'!G76</f>
        <v>2981680</v>
      </c>
      <c r="F66" s="632">
        <f>'10-CWIP'!H76</f>
        <v>0</v>
      </c>
      <c r="G66" s="632">
        <f>'10-CWIP'!I76</f>
        <v>223626</v>
      </c>
      <c r="H66" s="657">
        <v>0</v>
      </c>
      <c r="I66" s="626">
        <v>0</v>
      </c>
      <c r="J66" s="658">
        <v>0</v>
      </c>
      <c r="K66" s="578">
        <f t="shared" si="61"/>
        <v>1170030017.4210694</v>
      </c>
      <c r="L66" s="578">
        <f t="shared" si="59"/>
        <v>2476891.4566816231</v>
      </c>
      <c r="M66" s="578">
        <f t="shared" si="62"/>
        <v>34811991.752376132</v>
      </c>
      <c r="N66" s="578">
        <f t="shared" si="60"/>
        <v>1135218025.6686933</v>
      </c>
      <c r="O66" s="659">
        <v>0</v>
      </c>
      <c r="P66" s="658">
        <f t="shared" si="57"/>
        <v>0</v>
      </c>
      <c r="S66" s="578"/>
      <c r="T66" s="631"/>
      <c r="U66" s="628"/>
      <c r="V66" s="475"/>
      <c r="W66" s="631"/>
      <c r="X66" s="628"/>
      <c r="Y66" s="475"/>
    </row>
    <row r="67" spans="1:25" ht="13">
      <c r="A67" s="623">
        <f t="shared" si="58"/>
        <v>48</v>
      </c>
      <c r="C67" s="611" t="s">
        <v>190</v>
      </c>
      <c r="D67" s="837">
        <v>2022</v>
      </c>
      <c r="E67" s="632">
        <f>'10-CWIP'!G77</f>
        <v>2846680</v>
      </c>
      <c r="F67" s="632">
        <f>'10-CWIP'!H77</f>
        <v>0</v>
      </c>
      <c r="G67" s="632">
        <f>'10-CWIP'!I77</f>
        <v>213501</v>
      </c>
      <c r="H67" s="657">
        <v>0</v>
      </c>
      <c r="I67" s="626">
        <v>0</v>
      </c>
      <c r="J67" s="658">
        <v>0</v>
      </c>
      <c r="K67" s="578">
        <f t="shared" si="61"/>
        <v>1173090198.4210694</v>
      </c>
      <c r="L67" s="578">
        <f t="shared" si="59"/>
        <v>2483695.5592771028</v>
      </c>
      <c r="M67" s="578">
        <f t="shared" si="62"/>
        <v>37295687.311653234</v>
      </c>
      <c r="N67" s="578">
        <f t="shared" si="60"/>
        <v>1135794511.1094162</v>
      </c>
      <c r="O67" s="659">
        <v>0</v>
      </c>
      <c r="P67" s="658">
        <f t="shared" si="57"/>
        <v>0</v>
      </c>
      <c r="S67" s="578"/>
      <c r="T67" s="631"/>
      <c r="U67" s="628"/>
      <c r="V67" s="475"/>
      <c r="W67" s="631"/>
      <c r="X67" s="628"/>
      <c r="Y67" s="475"/>
    </row>
    <row r="68" spans="1:25" ht="13">
      <c r="A68" s="623">
        <f t="shared" si="58"/>
        <v>49</v>
      </c>
      <c r="C68" s="611" t="s">
        <v>180</v>
      </c>
      <c r="D68" s="837">
        <v>2022</v>
      </c>
      <c r="E68" s="632">
        <f>'10-CWIP'!G78</f>
        <v>71900026.010000005</v>
      </c>
      <c r="F68" s="632">
        <f>'10-CWIP'!H78</f>
        <v>0</v>
      </c>
      <c r="G68" s="632">
        <f>'10-CWIP'!I78</f>
        <v>5392501.9507499998</v>
      </c>
      <c r="H68" s="657">
        <v>0</v>
      </c>
      <c r="I68" s="626">
        <v>0</v>
      </c>
      <c r="J68" s="658">
        <v>0</v>
      </c>
      <c r="K68" s="578">
        <f t="shared" si="61"/>
        <v>1250382726.3818195</v>
      </c>
      <c r="L68" s="578">
        <f t="shared" si="59"/>
        <v>2490191.5960001922</v>
      </c>
      <c r="M68" s="578">
        <f>(M67+L68)-H68</f>
        <v>39785878.907653429</v>
      </c>
      <c r="N68" s="578">
        <f t="shared" si="60"/>
        <v>1210596847.4741662</v>
      </c>
      <c r="O68" s="659">
        <v>0</v>
      </c>
      <c r="P68" s="658">
        <f t="shared" si="57"/>
        <v>0</v>
      </c>
      <c r="S68" s="578"/>
      <c r="T68" s="631"/>
      <c r="U68" s="628"/>
      <c r="V68" s="475"/>
      <c r="W68" s="631"/>
      <c r="X68" s="628"/>
      <c r="Y68" s="475"/>
    </row>
    <row r="69" spans="1:25" ht="13">
      <c r="A69" s="622"/>
      <c r="D69" s="630"/>
      <c r="G69" s="578"/>
      <c r="M69" s="575"/>
      <c r="N69" s="626"/>
    </row>
    <row r="70" spans="1:25" ht="13">
      <c r="A70" s="622"/>
      <c r="B70" s="580" t="s">
        <v>1949</v>
      </c>
      <c r="D70" s="630"/>
      <c r="F70" s="68" t="s">
        <v>2531</v>
      </c>
      <c r="G70" s="1480" t="s">
        <v>2728</v>
      </c>
      <c r="H70" s="617"/>
      <c r="M70" s="575"/>
      <c r="N70" s="626"/>
    </row>
    <row r="71" spans="1:25" ht="13">
      <c r="A71" s="622"/>
      <c r="E71" s="618" t="s">
        <v>358</v>
      </c>
      <c r="F71" s="618" t="s">
        <v>342</v>
      </c>
      <c r="G71" s="618" t="s">
        <v>343</v>
      </c>
      <c r="H71" s="618" t="s">
        <v>344</v>
      </c>
      <c r="I71" s="618" t="s">
        <v>345</v>
      </c>
      <c r="J71" s="618" t="s">
        <v>346</v>
      </c>
      <c r="K71" s="618" t="s">
        <v>347</v>
      </c>
      <c r="L71" s="618" t="s">
        <v>534</v>
      </c>
      <c r="M71" s="618" t="s">
        <v>949</v>
      </c>
      <c r="N71" s="618" t="s">
        <v>961</v>
      </c>
      <c r="O71" s="618" t="s">
        <v>964</v>
      </c>
      <c r="P71" s="618" t="s">
        <v>982</v>
      </c>
    </row>
    <row r="72" spans="1:25" ht="25.5">
      <c r="A72" s="622"/>
      <c r="E72" s="620"/>
      <c r="F72" s="620"/>
      <c r="G72" s="1133" t="str">
        <f>"=(C"&amp;RIGHT(E71)&amp;"-C"&amp;RIGHT(F71)&amp;")*L"&amp;$A$103</f>
        <v>=(C1-C2)*L74</v>
      </c>
      <c r="H72" s="1133" t="str">
        <f>"=(C"&amp;RIGHT(E71)&amp;"-C"&amp;RIGHT(F71)&amp;"+C"&amp;RIGHT(G71)&amp;")*L"&amp;$A$107</f>
        <v>=(C1-C2+C3)*L75</v>
      </c>
      <c r="I72" s="1133" t="str">
        <f>"=C"&amp;RIGHT(E71)&amp;"-C"&amp;RIGHT(F71)&amp;"+C"&amp;RIGHT(G71)&amp;"-C"&amp;RIGHT(H71)</f>
        <v>=C1-C2+C3-C4</v>
      </c>
      <c r="J72" s="1133" t="str">
        <f>"=C"&amp;RIGHT(I71)&amp;"*L"&amp;$A$111</f>
        <v>=C5*L76</v>
      </c>
      <c r="K72" s="1134" t="s">
        <v>1950</v>
      </c>
      <c r="L72" s="1135" t="s">
        <v>2066</v>
      </c>
      <c r="M72" s="1136" t="s">
        <v>2413</v>
      </c>
      <c r="N72" s="1133" t="str">
        <f>"=C"&amp;RIGHT(K71)&amp;"-C"&amp;RIGHT(M71)</f>
        <v>=C7-C9</v>
      </c>
      <c r="O72" s="575"/>
      <c r="P72" s="1136" t="s">
        <v>2067</v>
      </c>
    </row>
    <row r="73" spans="1:25" ht="13">
      <c r="A73" s="622"/>
      <c r="C73" s="622" t="str">
        <f>C10</f>
        <v>Forecast</v>
      </c>
      <c r="E73" s="622" t="str">
        <f>E10</f>
        <v>Unloaded</v>
      </c>
      <c r="F73" s="622"/>
      <c r="G73" s="622"/>
      <c r="H73" s="623"/>
      <c r="I73" s="623" t="str">
        <f>I10</f>
        <v>AFUDC</v>
      </c>
      <c r="J73" s="623"/>
      <c r="K73" s="623"/>
      <c r="L73" s="623"/>
      <c r="M73" s="623"/>
      <c r="O73" s="622" t="str">
        <f>O10</f>
        <v>Unloaded</v>
      </c>
      <c r="P73" s="622" t="str">
        <f>P10</f>
        <v>Loaded</v>
      </c>
    </row>
    <row r="74" spans="1:25" ht="13">
      <c r="A74" s="622"/>
      <c r="C74" s="622" t="str">
        <f>C11</f>
        <v>Period</v>
      </c>
      <c r="E74" s="622" t="str">
        <f>E11</f>
        <v>Total</v>
      </c>
      <c r="F74" s="622" t="str">
        <f t="shared" ref="F74:H75" si="63">F11</f>
        <v>Prior Period</v>
      </c>
      <c r="G74" s="623" t="str">
        <f t="shared" si="63"/>
        <v>Over Heads</v>
      </c>
      <c r="H74" s="623" t="str">
        <f t="shared" si="63"/>
        <v xml:space="preserve">Cost of </v>
      </c>
      <c r="I74" s="623" t="str">
        <f>I11</f>
        <v>Eligible Plant</v>
      </c>
      <c r="J74" s="623"/>
      <c r="K74" s="623" t="str">
        <f t="shared" ref="K74:M74" si="64">K11</f>
        <v>Incremental</v>
      </c>
      <c r="L74" s="623" t="str">
        <f t="shared" si="64"/>
        <v>Depreciation</v>
      </c>
      <c r="M74" s="623" t="str">
        <f t="shared" si="64"/>
        <v>Incremental</v>
      </c>
      <c r="O74" s="623" t="str">
        <f>O11</f>
        <v>Low Voltage</v>
      </c>
      <c r="P74" s="623" t="str">
        <f>P11</f>
        <v>Low Voltage</v>
      </c>
      <c r="Q74" s="622"/>
    </row>
    <row r="75" spans="1:25" ht="13">
      <c r="A75" s="624" t="s">
        <v>329</v>
      </c>
      <c r="C75" s="607" t="str">
        <f>C12</f>
        <v>Month</v>
      </c>
      <c r="D75" s="607" t="str">
        <f>D12</f>
        <v>Year</v>
      </c>
      <c r="E75" s="619" t="str">
        <f>E12</f>
        <v>Plant Adds</v>
      </c>
      <c r="F75" s="619" t="str">
        <f t="shared" si="63"/>
        <v>CWIP Closed</v>
      </c>
      <c r="G75" s="625" t="str">
        <f t="shared" si="63"/>
        <v>Closed to PIS</v>
      </c>
      <c r="H75" s="625" t="str">
        <f t="shared" si="63"/>
        <v>Removal</v>
      </c>
      <c r="I75" s="625" t="str">
        <f>I12</f>
        <v>Additions</v>
      </c>
      <c r="J75" s="625" t="str">
        <f t="shared" ref="J75:P75" si="65">J12</f>
        <v>AFUDC</v>
      </c>
      <c r="K75" s="625" t="str">
        <f t="shared" si="65"/>
        <v>Gross Plant</v>
      </c>
      <c r="L75" s="625" t="str">
        <f t="shared" si="65"/>
        <v>Accrual</v>
      </c>
      <c r="M75" s="625" t="str">
        <f t="shared" si="65"/>
        <v>Reserve</v>
      </c>
      <c r="N75" s="625" t="str">
        <f t="shared" si="65"/>
        <v>Net Plant</v>
      </c>
      <c r="O75" s="625" t="str">
        <f t="shared" si="65"/>
        <v>Additions</v>
      </c>
      <c r="P75" s="625" t="str">
        <f t="shared" si="65"/>
        <v>Additions</v>
      </c>
      <c r="Q75" s="625"/>
      <c r="S75" s="661"/>
      <c r="T75" s="625"/>
      <c r="U75" s="625"/>
      <c r="V75" s="625"/>
      <c r="W75" s="625"/>
      <c r="X75" s="625"/>
      <c r="Y75" s="625"/>
    </row>
    <row r="76" spans="1:25" ht="13">
      <c r="A76" s="622">
        <f>A68+1</f>
        <v>50</v>
      </c>
      <c r="C76" s="608" t="str">
        <f t="shared" ref="C76:C96" si="66">C45</f>
        <v>January</v>
      </c>
      <c r="D76" s="837">
        <v>2021</v>
      </c>
      <c r="E76" s="633">
        <v>20151390.443463691</v>
      </c>
      <c r="F76" s="633">
        <v>1864924.4333333327</v>
      </c>
      <c r="G76" s="626">
        <f>(E76-F76)*$E$103</f>
        <v>1371484.9507597766</v>
      </c>
      <c r="H76" s="578">
        <f>(E76-F76+G76)*$E$107</f>
        <v>1572636.0768712107</v>
      </c>
      <c r="I76" s="626">
        <f>E76-F76+G76-H76</f>
        <v>18085314.88401892</v>
      </c>
      <c r="J76" s="626">
        <f t="shared" ref="J76:J99" si="67">I76*$E$111</f>
        <v>542559.44652056764</v>
      </c>
      <c r="K76" s="578">
        <f>F76+I76+J76</f>
        <v>20492798.763872821</v>
      </c>
      <c r="L76" s="578">
        <v>0</v>
      </c>
      <c r="M76" s="578">
        <f>L76</f>
        <v>0</v>
      </c>
      <c r="N76" s="578">
        <f t="shared" ref="N76:N99" si="68">K76-M76</f>
        <v>20492798.763872821</v>
      </c>
      <c r="O76" s="659">
        <v>151333.95569035513</v>
      </c>
      <c r="P76" s="578">
        <f t="shared" ref="P76:P96" si="69">O76*(1-$E$107)*(1+$E$103+$E$111)</f>
        <v>153846.09935481503</v>
      </c>
      <c r="Q76" s="631"/>
      <c r="R76" s="628"/>
      <c r="S76" s="631"/>
      <c r="T76" s="631"/>
      <c r="U76" s="628"/>
      <c r="V76" s="475"/>
      <c r="W76" s="631"/>
      <c r="X76" s="628"/>
      <c r="Y76" s="475"/>
    </row>
    <row r="77" spans="1:25" ht="13">
      <c r="A77" s="622">
        <f t="shared" si="58"/>
        <v>51</v>
      </c>
      <c r="C77" s="608" t="str">
        <f t="shared" si="66"/>
        <v>February</v>
      </c>
      <c r="D77" s="837">
        <v>2021</v>
      </c>
      <c r="E77" s="633">
        <v>18987705.87346369</v>
      </c>
      <c r="F77" s="633">
        <v>959336.86333333387</v>
      </c>
      <c r="G77" s="626">
        <f t="shared" ref="G77:G99" si="70">(E77-F77)*$E$103</f>
        <v>1352127.6757597767</v>
      </c>
      <c r="H77" s="578">
        <f t="shared" ref="H77:H99" si="71">(E77-F77+G77)*$E$107</f>
        <v>1550439.7348712108</v>
      </c>
      <c r="I77" s="626">
        <f t="shared" ref="I77:I99" si="72">E77-F77+G77-H77</f>
        <v>17830056.951018922</v>
      </c>
      <c r="J77" s="626">
        <f t="shared" si="67"/>
        <v>534901.70853056759</v>
      </c>
      <c r="K77" s="578">
        <f>K76+J77+I77+F77</f>
        <v>39817094.286755644</v>
      </c>
      <c r="L77" s="578">
        <f t="shared" ref="L77:L99" si="73">K76*$E$133/12</f>
        <v>43501.339734152432</v>
      </c>
      <c r="M77" s="578">
        <f>M76+L77</f>
        <v>43501.339734152432</v>
      </c>
      <c r="N77" s="578">
        <f t="shared" si="68"/>
        <v>39773592.947021492</v>
      </c>
      <c r="O77" s="659">
        <v>302667.91138071025</v>
      </c>
      <c r="P77" s="578">
        <f t="shared" si="69"/>
        <v>307692.19870963006</v>
      </c>
      <c r="Q77" s="631"/>
      <c r="R77" s="628"/>
      <c r="S77" s="631"/>
      <c r="T77" s="631"/>
      <c r="U77" s="628"/>
      <c r="V77" s="475"/>
      <c r="W77" s="631"/>
      <c r="X77" s="628"/>
      <c r="Y77" s="475"/>
    </row>
    <row r="78" spans="1:25" ht="13">
      <c r="A78" s="622">
        <f t="shared" si="58"/>
        <v>52</v>
      </c>
      <c r="C78" s="608" t="str">
        <f t="shared" si="66"/>
        <v>March</v>
      </c>
      <c r="D78" s="837">
        <v>2021</v>
      </c>
      <c r="E78" s="633">
        <v>18987705.87346369</v>
      </c>
      <c r="F78" s="633">
        <v>959336.86333333387</v>
      </c>
      <c r="G78" s="626">
        <f t="shared" si="70"/>
        <v>1352127.6757597767</v>
      </c>
      <c r="H78" s="578">
        <f t="shared" si="71"/>
        <v>1550439.7348712108</v>
      </c>
      <c r="I78" s="626">
        <f t="shared" si="72"/>
        <v>17830056.951018922</v>
      </c>
      <c r="J78" s="626">
        <f t="shared" si="67"/>
        <v>534901.70853056759</v>
      </c>
      <c r="K78" s="578">
        <f t="shared" ref="K78:K99" si="74">K77+J78+I78+F78</f>
        <v>59141389.80963847</v>
      </c>
      <c r="L78" s="578">
        <f t="shared" si="73"/>
        <v>84522.224892408878</v>
      </c>
      <c r="M78" s="578">
        <f t="shared" ref="M78:M99" si="75">M77+L78</f>
        <v>128023.5646265613</v>
      </c>
      <c r="N78" s="578">
        <f t="shared" si="68"/>
        <v>59013366.245011911</v>
      </c>
      <c r="O78" s="659">
        <v>454001.86707106541</v>
      </c>
      <c r="P78" s="578">
        <f t="shared" si="69"/>
        <v>461538.29806444509</v>
      </c>
      <c r="Q78" s="631"/>
      <c r="R78" s="628"/>
      <c r="S78" s="631"/>
      <c r="T78" s="631"/>
      <c r="U78" s="628"/>
      <c r="V78" s="475"/>
      <c r="W78" s="631"/>
      <c r="X78" s="628"/>
      <c r="Y78" s="475"/>
    </row>
    <row r="79" spans="1:25" ht="13">
      <c r="A79" s="622">
        <f t="shared" si="58"/>
        <v>53</v>
      </c>
      <c r="C79" s="608" t="str">
        <f t="shared" si="66"/>
        <v>April</v>
      </c>
      <c r="D79" s="837">
        <v>2021</v>
      </c>
      <c r="E79" s="633">
        <v>33000980.396583058</v>
      </c>
      <c r="F79" s="633">
        <v>12250519.793333324</v>
      </c>
      <c r="G79" s="626">
        <f t="shared" si="70"/>
        <v>1556284.5452437301</v>
      </c>
      <c r="H79" s="578">
        <f t="shared" si="71"/>
        <v>1784539.6118794773</v>
      </c>
      <c r="I79" s="626">
        <f t="shared" si="72"/>
        <v>20522205.536613986</v>
      </c>
      <c r="J79" s="626">
        <f t="shared" si="67"/>
        <v>615666.16609841958</v>
      </c>
      <c r="K79" s="578">
        <f t="shared" si="74"/>
        <v>92529781.305684194</v>
      </c>
      <c r="L79" s="578">
        <f t="shared" si="73"/>
        <v>125543.11005066533</v>
      </c>
      <c r="M79" s="578">
        <f t="shared" si="75"/>
        <v>253566.67467722663</v>
      </c>
      <c r="N79" s="578">
        <f t="shared" si="68"/>
        <v>92276214.631006971</v>
      </c>
      <c r="O79" s="659">
        <v>605335.82276142051</v>
      </c>
      <c r="P79" s="578">
        <f t="shared" si="69"/>
        <v>615384.39741926012</v>
      </c>
      <c r="Q79" s="631"/>
      <c r="R79" s="628"/>
      <c r="S79" s="631"/>
      <c r="T79" s="631"/>
      <c r="U79" s="628"/>
      <c r="V79" s="475"/>
      <c r="W79" s="631"/>
      <c r="X79" s="628"/>
      <c r="Y79" s="475"/>
    </row>
    <row r="80" spans="1:25" ht="13">
      <c r="A80" s="622">
        <f t="shared" si="58"/>
        <v>54</v>
      </c>
      <c r="C80" s="608" t="str">
        <f t="shared" si="66"/>
        <v>May</v>
      </c>
      <c r="D80" s="837">
        <v>2021</v>
      </c>
      <c r="E80" s="633">
        <v>22319320.428163692</v>
      </c>
      <c r="F80" s="633">
        <v>3681313.7380333333</v>
      </c>
      <c r="G80" s="626">
        <f t="shared" si="70"/>
        <v>1397850.5017597771</v>
      </c>
      <c r="H80" s="578">
        <f t="shared" si="71"/>
        <v>1602868.5753512112</v>
      </c>
      <c r="I80" s="626">
        <f t="shared" si="72"/>
        <v>18432988.616538927</v>
      </c>
      <c r="J80" s="626">
        <f t="shared" si="67"/>
        <v>552989.65849616774</v>
      </c>
      <c r="K80" s="578">
        <f t="shared" si="74"/>
        <v>115197073.31875263</v>
      </c>
      <c r="L80" s="578">
        <f t="shared" si="73"/>
        <v>196418.72730441531</v>
      </c>
      <c r="M80" s="578">
        <f t="shared" si="75"/>
        <v>449985.40198164195</v>
      </c>
      <c r="N80" s="578">
        <f t="shared" si="68"/>
        <v>114747087.91677099</v>
      </c>
      <c r="O80" s="659">
        <v>756669.77845177578</v>
      </c>
      <c r="P80" s="578">
        <f t="shared" si="69"/>
        <v>769230.4967740752</v>
      </c>
      <c r="Q80" s="631"/>
      <c r="R80" s="628"/>
      <c r="S80" s="631"/>
      <c r="T80" s="631"/>
      <c r="U80" s="628"/>
      <c r="V80" s="475"/>
      <c r="W80" s="631"/>
      <c r="X80" s="628"/>
      <c r="Y80" s="475"/>
    </row>
    <row r="81" spans="1:25" ht="13">
      <c r="A81" s="622">
        <f t="shared" si="58"/>
        <v>55</v>
      </c>
      <c r="C81" s="608" t="str">
        <f t="shared" si="66"/>
        <v xml:space="preserve">June </v>
      </c>
      <c r="D81" s="837">
        <v>2021</v>
      </c>
      <c r="E81" s="633">
        <v>31285669.443463713</v>
      </c>
      <c r="F81" s="633">
        <v>11138685.433333339</v>
      </c>
      <c r="G81" s="626">
        <f t="shared" si="70"/>
        <v>1511023.8007597781</v>
      </c>
      <c r="H81" s="578">
        <f t="shared" si="71"/>
        <v>1732640.6248712123</v>
      </c>
      <c r="I81" s="626">
        <f t="shared" si="72"/>
        <v>19925367.18601894</v>
      </c>
      <c r="J81" s="626">
        <f t="shared" si="67"/>
        <v>597761.01558056823</v>
      </c>
      <c r="K81" s="578">
        <f t="shared" si="74"/>
        <v>146858886.95368546</v>
      </c>
      <c r="L81" s="578">
        <f t="shared" si="73"/>
        <v>244535.99923371722</v>
      </c>
      <c r="M81" s="578">
        <f t="shared" si="75"/>
        <v>694521.4012153591</v>
      </c>
      <c r="N81" s="578">
        <f t="shared" si="68"/>
        <v>146164365.55247012</v>
      </c>
      <c r="O81" s="659">
        <v>908003.73414213094</v>
      </c>
      <c r="P81" s="578">
        <f t="shared" si="69"/>
        <v>923076.59612889029</v>
      </c>
      <c r="Q81" s="631"/>
      <c r="R81" s="628"/>
      <c r="S81" s="631"/>
      <c r="T81" s="631"/>
      <c r="U81" s="628"/>
      <c r="V81" s="475"/>
      <c r="W81" s="631"/>
      <c r="X81" s="628"/>
      <c r="Y81" s="475"/>
    </row>
    <row r="82" spans="1:25" ht="13">
      <c r="A82" s="622">
        <f t="shared" si="58"/>
        <v>56</v>
      </c>
      <c r="C82" s="608" t="str">
        <f t="shared" si="66"/>
        <v>July</v>
      </c>
      <c r="D82" s="837">
        <v>2021</v>
      </c>
      <c r="E82" s="633">
        <v>19509453.646663666</v>
      </c>
      <c r="F82" s="633">
        <v>1267160.8565333337</v>
      </c>
      <c r="G82" s="626">
        <f t="shared" si="70"/>
        <v>1368171.9592597748</v>
      </c>
      <c r="H82" s="578">
        <f t="shared" si="71"/>
        <v>1568837.1799512086</v>
      </c>
      <c r="I82" s="626">
        <f t="shared" si="72"/>
        <v>18041627.569438897</v>
      </c>
      <c r="J82" s="626">
        <f t="shared" si="67"/>
        <v>541248.82708316692</v>
      </c>
      <c r="K82" s="578">
        <f t="shared" si="74"/>
        <v>166708924.20674086</v>
      </c>
      <c r="L82" s="578">
        <f t="shared" si="73"/>
        <v>311746.50217198639</v>
      </c>
      <c r="M82" s="578">
        <f t="shared" si="75"/>
        <v>1006267.9033873455</v>
      </c>
      <c r="N82" s="578">
        <f t="shared" si="68"/>
        <v>165702656.30335352</v>
      </c>
      <c r="O82" s="659">
        <v>1141443.783032486</v>
      </c>
      <c r="P82" s="578">
        <f t="shared" si="69"/>
        <v>1160391.7498308253</v>
      </c>
      <c r="Q82" s="631"/>
      <c r="R82" s="628"/>
      <c r="S82" s="631"/>
      <c r="T82" s="631"/>
      <c r="U82" s="628"/>
      <c r="V82" s="475"/>
      <c r="W82" s="631"/>
      <c r="X82" s="628"/>
      <c r="Y82" s="475"/>
    </row>
    <row r="83" spans="1:25" ht="13">
      <c r="A83" s="622">
        <f t="shared" si="58"/>
        <v>57</v>
      </c>
      <c r="C83" s="608" t="str">
        <f t="shared" si="66"/>
        <v>August</v>
      </c>
      <c r="D83" s="837">
        <v>2021</v>
      </c>
      <c r="E83" s="633">
        <v>20992722.733463675</v>
      </c>
      <c r="F83" s="633">
        <v>964353.72333333385</v>
      </c>
      <c r="G83" s="626">
        <f t="shared" si="70"/>
        <v>1502127.6757597756</v>
      </c>
      <c r="H83" s="578">
        <f t="shared" si="71"/>
        <v>1722439.7348712094</v>
      </c>
      <c r="I83" s="626">
        <f t="shared" si="72"/>
        <v>19808056.951018907</v>
      </c>
      <c r="J83" s="626">
        <f t="shared" si="67"/>
        <v>594241.70853056724</v>
      </c>
      <c r="K83" s="578">
        <f t="shared" si="74"/>
        <v>188075576.58962366</v>
      </c>
      <c r="L83" s="578">
        <f t="shared" si="73"/>
        <v>353883.41203141626</v>
      </c>
      <c r="M83" s="578">
        <f t="shared" si="75"/>
        <v>1360151.3154187617</v>
      </c>
      <c r="N83" s="578">
        <f t="shared" si="68"/>
        <v>186715425.27420491</v>
      </c>
      <c r="O83" s="659">
        <v>1292777.7387228413</v>
      </c>
      <c r="P83" s="578">
        <f t="shared" si="69"/>
        <v>1314237.8491856405</v>
      </c>
      <c r="Q83" s="631"/>
      <c r="R83" s="628"/>
      <c r="S83" s="631"/>
      <c r="T83" s="631"/>
      <c r="U83" s="628"/>
      <c r="V83" s="475"/>
      <c r="W83" s="631"/>
      <c r="X83" s="628"/>
      <c r="Y83" s="475"/>
    </row>
    <row r="84" spans="1:25" ht="13">
      <c r="A84" s="622">
        <f t="shared" si="58"/>
        <v>58</v>
      </c>
      <c r="C84" s="608" t="str">
        <f t="shared" si="66"/>
        <v>September</v>
      </c>
      <c r="D84" s="837">
        <v>2021</v>
      </c>
      <c r="E84" s="633">
        <v>24064429.183463722</v>
      </c>
      <c r="F84" s="633">
        <v>2897820.1733333338</v>
      </c>
      <c r="G84" s="626">
        <f t="shared" si="70"/>
        <v>1587495.6757597793</v>
      </c>
      <c r="H84" s="578">
        <f t="shared" si="71"/>
        <v>1820328.3748712135</v>
      </c>
      <c r="I84" s="626">
        <f t="shared" si="72"/>
        <v>20933776.311018955</v>
      </c>
      <c r="J84" s="626">
        <f t="shared" si="67"/>
        <v>628013.28933056863</v>
      </c>
      <c r="K84" s="578">
        <f t="shared" si="74"/>
        <v>212535186.36330652</v>
      </c>
      <c r="L84" s="578">
        <f t="shared" si="73"/>
        <v>399239.73524520383</v>
      </c>
      <c r="M84" s="578">
        <f t="shared" si="75"/>
        <v>1759391.0506639655</v>
      </c>
      <c r="N84" s="578">
        <f t="shared" si="68"/>
        <v>210775795.31264254</v>
      </c>
      <c r="O84" s="659">
        <v>1444111.6944131963</v>
      </c>
      <c r="P84" s="578">
        <f t="shared" si="69"/>
        <v>1468083.9485404552</v>
      </c>
      <c r="Q84" s="631"/>
      <c r="R84" s="628"/>
      <c r="S84" s="631"/>
      <c r="T84" s="631"/>
      <c r="U84" s="628"/>
      <c r="V84" s="475"/>
      <c r="W84" s="631"/>
      <c r="X84" s="628"/>
      <c r="Y84" s="475"/>
    </row>
    <row r="85" spans="1:25" ht="13">
      <c r="A85" s="622">
        <f t="shared" si="58"/>
        <v>59</v>
      </c>
      <c r="C85" s="608" t="str">
        <f t="shared" si="66"/>
        <v xml:space="preserve">October </v>
      </c>
      <c r="D85" s="837">
        <v>2021</v>
      </c>
      <c r="E85" s="633">
        <v>19413529.583463669</v>
      </c>
      <c r="F85" s="633">
        <v>968978.57333333383</v>
      </c>
      <c r="G85" s="626">
        <f t="shared" si="70"/>
        <v>1383341.325759775</v>
      </c>
      <c r="H85" s="578">
        <f t="shared" si="71"/>
        <v>1586231.3868712089</v>
      </c>
      <c r="I85" s="626">
        <f t="shared" si="72"/>
        <v>18241660.949018903</v>
      </c>
      <c r="J85" s="626">
        <f t="shared" si="67"/>
        <v>547249.82847056712</v>
      </c>
      <c r="K85" s="578">
        <f t="shared" si="74"/>
        <v>232293075.7141293</v>
      </c>
      <c r="L85" s="578">
        <f t="shared" si="73"/>
        <v>451161.67166735651</v>
      </c>
      <c r="M85" s="578">
        <f t="shared" si="75"/>
        <v>2210552.7223313218</v>
      </c>
      <c r="N85" s="578">
        <f t="shared" si="68"/>
        <v>230082522.99179798</v>
      </c>
      <c r="O85" s="659">
        <v>1595445.6501035516</v>
      </c>
      <c r="P85" s="578">
        <f t="shared" si="69"/>
        <v>1621930.0478952704</v>
      </c>
      <c r="Q85" s="631"/>
      <c r="R85" s="628"/>
      <c r="S85" s="631"/>
      <c r="T85" s="631"/>
      <c r="U85" s="628"/>
      <c r="V85" s="475"/>
      <c r="W85" s="631"/>
      <c r="X85" s="628"/>
      <c r="Y85" s="475"/>
    </row>
    <row r="86" spans="1:25" ht="13">
      <c r="A86" s="622">
        <f t="shared" si="58"/>
        <v>60</v>
      </c>
      <c r="C86" s="608" t="str">
        <f t="shared" si="66"/>
        <v>November</v>
      </c>
      <c r="D86" s="837">
        <v>2021</v>
      </c>
      <c r="E86" s="633">
        <v>33806548.743463695</v>
      </c>
      <c r="F86" s="633">
        <v>5778179.7333333334</v>
      </c>
      <c r="G86" s="626">
        <f t="shared" si="70"/>
        <v>2102127.675759777</v>
      </c>
      <c r="H86" s="578">
        <f t="shared" si="71"/>
        <v>2410439.734871211</v>
      </c>
      <c r="I86" s="626">
        <f t="shared" si="72"/>
        <v>27720056.951018926</v>
      </c>
      <c r="J86" s="626">
        <f t="shared" si="67"/>
        <v>831601.7085305677</v>
      </c>
      <c r="K86" s="578">
        <f t="shared" si="74"/>
        <v>266622914.10701212</v>
      </c>
      <c r="L86" s="578">
        <f t="shared" si="73"/>
        <v>493102.97343796463</v>
      </c>
      <c r="M86" s="578">
        <f t="shared" si="75"/>
        <v>2703655.6957692862</v>
      </c>
      <c r="N86" s="578">
        <f t="shared" si="68"/>
        <v>263919258.41124284</v>
      </c>
      <c r="O86" s="659">
        <v>1746779.6057939068</v>
      </c>
      <c r="P86" s="578">
        <f t="shared" si="69"/>
        <v>1775776.1472500856</v>
      </c>
      <c r="Q86" s="631"/>
      <c r="R86" s="628"/>
      <c r="S86" s="631"/>
      <c r="T86" s="631"/>
      <c r="U86" s="628"/>
      <c r="V86" s="475"/>
      <c r="W86" s="631"/>
      <c r="X86" s="628"/>
      <c r="Y86" s="475"/>
    </row>
    <row r="87" spans="1:25" ht="13">
      <c r="A87" s="622">
        <f t="shared" si="58"/>
        <v>61</v>
      </c>
      <c r="C87" s="608" t="str">
        <f t="shared" si="66"/>
        <v>December</v>
      </c>
      <c r="D87" s="837">
        <v>2021</v>
      </c>
      <c r="E87" s="633">
        <v>27398891.483164728</v>
      </c>
      <c r="F87" s="633">
        <v>5109058.4430343481</v>
      </c>
      <c r="G87" s="626">
        <f t="shared" si="70"/>
        <v>1671737.4780097785</v>
      </c>
      <c r="H87" s="578">
        <f t="shared" si="71"/>
        <v>1916925.6414512128</v>
      </c>
      <c r="I87" s="626">
        <f t="shared" si="72"/>
        <v>22044644.876688946</v>
      </c>
      <c r="J87" s="626">
        <f t="shared" si="67"/>
        <v>661339.34630066832</v>
      </c>
      <c r="K87" s="578">
        <f t="shared" si="74"/>
        <v>294437956.77303606</v>
      </c>
      <c r="L87" s="578">
        <f t="shared" si="73"/>
        <v>565977.05863027519</v>
      </c>
      <c r="M87" s="578">
        <f t="shared" si="75"/>
        <v>3269632.7543995613</v>
      </c>
      <c r="N87" s="578">
        <f t="shared" si="68"/>
        <v>291168324.01863652</v>
      </c>
      <c r="O87" s="659">
        <v>2629807.8738842621</v>
      </c>
      <c r="P87" s="578">
        <f t="shared" si="69"/>
        <v>2673462.6845907406</v>
      </c>
      <c r="Q87" s="631"/>
      <c r="R87" s="628"/>
      <c r="S87" s="631"/>
      <c r="T87" s="631"/>
      <c r="U87" s="628"/>
      <c r="V87" s="475"/>
      <c r="W87" s="631"/>
      <c r="X87" s="628"/>
      <c r="Y87" s="475"/>
    </row>
    <row r="88" spans="1:25" ht="13">
      <c r="A88" s="622">
        <f t="shared" si="58"/>
        <v>62</v>
      </c>
      <c r="C88" s="608" t="str">
        <f t="shared" si="66"/>
        <v>January</v>
      </c>
      <c r="D88" s="837">
        <v>2022</v>
      </c>
      <c r="E88" s="633">
        <v>17932559.751835942</v>
      </c>
      <c r="F88" s="633">
        <v>251736.03999999995</v>
      </c>
      <c r="G88" s="626">
        <f t="shared" si="70"/>
        <v>1326061.7783876958</v>
      </c>
      <c r="H88" s="578">
        <f t="shared" si="71"/>
        <v>1520550.8392178912</v>
      </c>
      <c r="I88" s="626">
        <f t="shared" si="72"/>
        <v>17486334.651005749</v>
      </c>
      <c r="J88" s="626">
        <f t="shared" si="67"/>
        <v>524590.03953017248</v>
      </c>
      <c r="K88" s="578">
        <f t="shared" si="74"/>
        <v>312700617.50357199</v>
      </c>
      <c r="L88" s="578">
        <f t="shared" si="73"/>
        <v>625021.78134856839</v>
      </c>
      <c r="M88" s="578">
        <f t="shared" si="75"/>
        <v>3894654.5357481297</v>
      </c>
      <c r="N88" s="578">
        <f t="shared" si="68"/>
        <v>308805962.96782386</v>
      </c>
      <c r="O88" s="659">
        <v>2881205.0317280185</v>
      </c>
      <c r="P88" s="578">
        <f t="shared" si="69"/>
        <v>2929033.0352547038</v>
      </c>
      <c r="Q88" s="631"/>
      <c r="R88" s="628"/>
      <c r="S88" s="631"/>
      <c r="T88" s="631"/>
      <c r="U88" s="628"/>
      <c r="V88" s="475"/>
      <c r="W88" s="631"/>
      <c r="X88" s="628"/>
      <c r="Y88" s="475"/>
    </row>
    <row r="89" spans="1:25" ht="13">
      <c r="A89" s="622">
        <f t="shared" si="58"/>
        <v>63</v>
      </c>
      <c r="C89" s="608" t="str">
        <f t="shared" si="66"/>
        <v>February</v>
      </c>
      <c r="D89" s="837">
        <v>2022</v>
      </c>
      <c r="E89" s="633">
        <v>28132737.892835915</v>
      </c>
      <c r="F89" s="633">
        <v>346960.14099999995</v>
      </c>
      <c r="G89" s="626">
        <f t="shared" si="70"/>
        <v>2083933.3313876935</v>
      </c>
      <c r="H89" s="578">
        <f t="shared" si="71"/>
        <v>2389576.886657889</v>
      </c>
      <c r="I89" s="626">
        <f t="shared" si="72"/>
        <v>27480134.196565721</v>
      </c>
      <c r="J89" s="626">
        <f t="shared" si="67"/>
        <v>824404.02589697158</v>
      </c>
      <c r="K89" s="578">
        <f t="shared" si="74"/>
        <v>341352115.86703467</v>
      </c>
      <c r="L89" s="578">
        <f t="shared" si="73"/>
        <v>663789.06824005733</v>
      </c>
      <c r="M89" s="578">
        <f t="shared" si="75"/>
        <v>4558443.6039881874</v>
      </c>
      <c r="N89" s="578">
        <f t="shared" si="68"/>
        <v>336793672.2630465</v>
      </c>
      <c r="O89" s="659">
        <v>3132602.1895717755</v>
      </c>
      <c r="P89" s="578">
        <f t="shared" si="69"/>
        <v>3184603.3859186671</v>
      </c>
      <c r="Q89" s="631"/>
      <c r="R89" s="628"/>
      <c r="S89" s="631"/>
      <c r="T89" s="631"/>
      <c r="U89" s="628"/>
      <c r="V89" s="475"/>
      <c r="W89" s="631"/>
      <c r="X89" s="628"/>
      <c r="Y89" s="475"/>
    </row>
    <row r="90" spans="1:25" ht="13">
      <c r="A90" s="622">
        <f t="shared" si="58"/>
        <v>64</v>
      </c>
      <c r="C90" s="608" t="str">
        <f t="shared" si="66"/>
        <v>March</v>
      </c>
      <c r="D90" s="837">
        <v>2022</v>
      </c>
      <c r="E90" s="633">
        <v>17440714.511835933</v>
      </c>
      <c r="F90" s="633">
        <v>58655.799999999996</v>
      </c>
      <c r="G90" s="626">
        <f t="shared" si="70"/>
        <v>1303654.4033876949</v>
      </c>
      <c r="H90" s="578">
        <f t="shared" si="71"/>
        <v>1494857.0492178902</v>
      </c>
      <c r="I90" s="626">
        <f t="shared" si="72"/>
        <v>17190856.066005737</v>
      </c>
      <c r="J90" s="626">
        <f t="shared" si="67"/>
        <v>515725.68198017206</v>
      </c>
      <c r="K90" s="578">
        <f t="shared" si="74"/>
        <v>359117353.41502064</v>
      </c>
      <c r="L90" s="578">
        <f t="shared" si="73"/>
        <v>724609.38754162437</v>
      </c>
      <c r="M90" s="578">
        <f t="shared" si="75"/>
        <v>5283052.9915298121</v>
      </c>
      <c r="N90" s="578">
        <f t="shared" si="68"/>
        <v>353834300.42349082</v>
      </c>
      <c r="O90" s="659">
        <v>3383999.347415532</v>
      </c>
      <c r="P90" s="578">
        <f t="shared" si="69"/>
        <v>3440173.7365826298</v>
      </c>
      <c r="Q90" s="631"/>
      <c r="R90" s="628"/>
      <c r="S90" s="631"/>
      <c r="T90" s="631"/>
      <c r="U90" s="628"/>
      <c r="V90" s="475"/>
      <c r="W90" s="631"/>
      <c r="X90" s="628"/>
      <c r="Y90" s="475"/>
    </row>
    <row r="91" spans="1:25" ht="13">
      <c r="A91" s="622">
        <f t="shared" si="58"/>
        <v>65</v>
      </c>
      <c r="C91" s="608" t="str">
        <f t="shared" si="66"/>
        <v>April</v>
      </c>
      <c r="D91" s="837">
        <v>2022</v>
      </c>
      <c r="E91" s="633">
        <v>63474369.091835856</v>
      </c>
      <c r="F91" s="633">
        <v>34512557.379999936</v>
      </c>
      <c r="G91" s="626">
        <f t="shared" si="70"/>
        <v>2172135.8783876938</v>
      </c>
      <c r="H91" s="578">
        <f t="shared" si="71"/>
        <v>2490715.807217889</v>
      </c>
      <c r="I91" s="626">
        <f t="shared" si="72"/>
        <v>28643231.783005726</v>
      </c>
      <c r="J91" s="626">
        <f t="shared" si="67"/>
        <v>859296.9534901717</v>
      </c>
      <c r="K91" s="578">
        <f t="shared" si="74"/>
        <v>423132439.53151649</v>
      </c>
      <c r="L91" s="578">
        <f t="shared" si="73"/>
        <v>762320.76327597571</v>
      </c>
      <c r="M91" s="578">
        <f t="shared" si="75"/>
        <v>6045373.7548057875</v>
      </c>
      <c r="N91" s="578">
        <f t="shared" si="68"/>
        <v>417087065.77671069</v>
      </c>
      <c r="O91" s="659">
        <v>3635396.5052592889</v>
      </c>
      <c r="P91" s="578">
        <f t="shared" si="69"/>
        <v>3695744.0872465936</v>
      </c>
      <c r="Q91" s="631"/>
      <c r="R91" s="628"/>
      <c r="S91" s="631"/>
      <c r="T91" s="631"/>
      <c r="U91" s="628"/>
      <c r="V91" s="475"/>
      <c r="W91" s="631"/>
      <c r="X91" s="628"/>
      <c r="Y91" s="475"/>
    </row>
    <row r="92" spans="1:25" ht="13">
      <c r="A92" s="622">
        <f t="shared" si="58"/>
        <v>66</v>
      </c>
      <c r="C92" s="608" t="str">
        <f t="shared" si="66"/>
        <v>May</v>
      </c>
      <c r="D92" s="837">
        <v>2022</v>
      </c>
      <c r="E92" s="633">
        <v>20006752.061835885</v>
      </c>
      <c r="F92" s="633">
        <v>4693.3500000000004</v>
      </c>
      <c r="G92" s="626">
        <f t="shared" si="70"/>
        <v>1500154.4033876911</v>
      </c>
      <c r="H92" s="578">
        <f t="shared" si="71"/>
        <v>1720177.0492178861</v>
      </c>
      <c r="I92" s="626">
        <f t="shared" si="72"/>
        <v>19782036.066005688</v>
      </c>
      <c r="J92" s="626">
        <f t="shared" si="67"/>
        <v>593461.08198017057</v>
      </c>
      <c r="K92" s="578">
        <f t="shared" si="74"/>
        <v>443512630.02950239</v>
      </c>
      <c r="L92" s="578">
        <f t="shared" si="73"/>
        <v>898209.57189366396</v>
      </c>
      <c r="M92" s="578">
        <f t="shared" si="75"/>
        <v>6943583.3266994515</v>
      </c>
      <c r="N92" s="578">
        <f t="shared" si="68"/>
        <v>436569046.70280296</v>
      </c>
      <c r="O92" s="659">
        <v>3886793.6631030459</v>
      </c>
      <c r="P92" s="578">
        <f t="shared" si="69"/>
        <v>3951314.4379105563</v>
      </c>
      <c r="Q92" s="631"/>
      <c r="R92" s="628"/>
      <c r="S92" s="631"/>
      <c r="T92" s="631"/>
      <c r="U92" s="628"/>
      <c r="V92" s="475"/>
      <c r="W92" s="631"/>
      <c r="X92" s="628"/>
      <c r="Y92" s="475"/>
    </row>
    <row r="93" spans="1:25" ht="13">
      <c r="A93" s="622">
        <f t="shared" si="58"/>
        <v>67</v>
      </c>
      <c r="C93" s="608" t="str">
        <f t="shared" si="66"/>
        <v xml:space="preserve">June </v>
      </c>
      <c r="D93" s="837">
        <v>2022</v>
      </c>
      <c r="E93" s="633">
        <v>26477216.971835971</v>
      </c>
      <c r="F93" s="633">
        <v>1327738.2600000007</v>
      </c>
      <c r="G93" s="626">
        <f t="shared" si="70"/>
        <v>1886210.9033876976</v>
      </c>
      <c r="H93" s="578">
        <f t="shared" si="71"/>
        <v>2162855.1692178934</v>
      </c>
      <c r="I93" s="626">
        <f t="shared" si="72"/>
        <v>24872834.446005777</v>
      </c>
      <c r="J93" s="626">
        <f t="shared" si="67"/>
        <v>746185.03338017326</v>
      </c>
      <c r="K93" s="578">
        <f t="shared" si="74"/>
        <v>470459387.76888829</v>
      </c>
      <c r="L93" s="578">
        <f t="shared" si="73"/>
        <v>941471.87105128681</v>
      </c>
      <c r="M93" s="578">
        <f t="shared" si="75"/>
        <v>7885055.1977507379</v>
      </c>
      <c r="N93" s="578">
        <f t="shared" si="68"/>
        <v>462574332.57113755</v>
      </c>
      <c r="O93" s="659">
        <v>4138190.8209468019</v>
      </c>
      <c r="P93" s="578">
        <f t="shared" si="69"/>
        <v>4206884.7885745186</v>
      </c>
      <c r="Q93" s="631"/>
      <c r="R93" s="628"/>
      <c r="S93" s="631"/>
      <c r="T93" s="631"/>
      <c r="U93" s="628"/>
      <c r="V93" s="475"/>
      <c r="W93" s="631"/>
      <c r="X93" s="628"/>
      <c r="Y93" s="475"/>
    </row>
    <row r="94" spans="1:25" ht="13">
      <c r="A94" s="622">
        <f t="shared" si="58"/>
        <v>68</v>
      </c>
      <c r="C94" s="608" t="str">
        <f t="shared" si="66"/>
        <v>July</v>
      </c>
      <c r="D94" s="837">
        <v>2022</v>
      </c>
      <c r="E94" s="633">
        <v>33684787.981835902</v>
      </c>
      <c r="F94" s="633">
        <v>9645679.270000007</v>
      </c>
      <c r="G94" s="626">
        <f t="shared" si="70"/>
        <v>1802933.1533876921</v>
      </c>
      <c r="H94" s="578">
        <f t="shared" si="71"/>
        <v>2067363.349217887</v>
      </c>
      <c r="I94" s="626">
        <f t="shared" si="72"/>
        <v>23774678.516005699</v>
      </c>
      <c r="J94" s="626">
        <f t="shared" si="67"/>
        <v>713240.35548017093</v>
      </c>
      <c r="K94" s="578">
        <f t="shared" si="74"/>
        <v>504592985.91037416</v>
      </c>
      <c r="L94" s="578">
        <f t="shared" si="73"/>
        <v>998673.43129992683</v>
      </c>
      <c r="M94" s="578">
        <f t="shared" si="75"/>
        <v>8883728.6290506646</v>
      </c>
      <c r="N94" s="578">
        <f t="shared" si="68"/>
        <v>495709257.28132349</v>
      </c>
      <c r="O94" s="659">
        <v>4389587.9787905589</v>
      </c>
      <c r="P94" s="578">
        <f t="shared" si="69"/>
        <v>4462455.1392384823</v>
      </c>
      <c r="Q94" s="631"/>
      <c r="R94" s="628"/>
      <c r="S94" s="631"/>
      <c r="T94" s="631"/>
      <c r="U94" s="628"/>
      <c r="V94" s="475"/>
      <c r="W94" s="631"/>
      <c r="X94" s="628"/>
      <c r="Y94" s="475"/>
    </row>
    <row r="95" spans="1:25" ht="13">
      <c r="A95" s="622">
        <f t="shared" si="58"/>
        <v>69</v>
      </c>
      <c r="C95" s="608" t="str">
        <f t="shared" si="66"/>
        <v>August</v>
      </c>
      <c r="D95" s="837">
        <v>2022</v>
      </c>
      <c r="E95" s="633">
        <v>17334058.711835921</v>
      </c>
      <c r="F95" s="633">
        <v>0</v>
      </c>
      <c r="G95" s="626">
        <f t="shared" si="70"/>
        <v>1300054.4033876939</v>
      </c>
      <c r="H95" s="578">
        <f t="shared" si="71"/>
        <v>1490729.0492178893</v>
      </c>
      <c r="I95" s="626">
        <f t="shared" si="72"/>
        <v>17143384.066005725</v>
      </c>
      <c r="J95" s="626">
        <f t="shared" si="67"/>
        <v>514301.52198017173</v>
      </c>
      <c r="K95" s="578">
        <f t="shared" si="74"/>
        <v>522250671.49836004</v>
      </c>
      <c r="L95" s="578">
        <f t="shared" si="73"/>
        <v>1071130.9450934792</v>
      </c>
      <c r="M95" s="578">
        <f t="shared" si="75"/>
        <v>9954859.5741441436</v>
      </c>
      <c r="N95" s="578">
        <f t="shared" si="68"/>
        <v>512295811.92421591</v>
      </c>
      <c r="O95" s="659">
        <v>4640985.1366343154</v>
      </c>
      <c r="P95" s="578">
        <f t="shared" si="69"/>
        <v>4718025.4899024451</v>
      </c>
      <c r="Q95" s="631"/>
      <c r="R95" s="628"/>
      <c r="S95" s="631"/>
      <c r="T95" s="631"/>
      <c r="U95" s="628"/>
      <c r="V95" s="475"/>
      <c r="W95" s="631"/>
      <c r="X95" s="628"/>
      <c r="Y95" s="475"/>
    </row>
    <row r="96" spans="1:25" ht="13">
      <c r="A96" s="622">
        <f t="shared" si="58"/>
        <v>70</v>
      </c>
      <c r="C96" s="608" t="str">
        <f t="shared" si="66"/>
        <v>September</v>
      </c>
      <c r="D96" s="837">
        <v>2022</v>
      </c>
      <c r="E96" s="633">
        <v>17334058.71183604</v>
      </c>
      <c r="F96" s="633">
        <v>0</v>
      </c>
      <c r="G96" s="626">
        <f t="shared" si="70"/>
        <v>1300054.403387703</v>
      </c>
      <c r="H96" s="578">
        <f t="shared" si="71"/>
        <v>1490729.0492178996</v>
      </c>
      <c r="I96" s="626">
        <f t="shared" si="72"/>
        <v>17143384.066005845</v>
      </c>
      <c r="J96" s="626">
        <f t="shared" si="67"/>
        <v>514301.52198017534</v>
      </c>
      <c r="K96" s="578">
        <f t="shared" si="74"/>
        <v>539908357.08634603</v>
      </c>
      <c r="L96" s="578">
        <f t="shared" si="73"/>
        <v>1108614.0135865922</v>
      </c>
      <c r="M96" s="578">
        <f t="shared" si="75"/>
        <v>11063473.587730736</v>
      </c>
      <c r="N96" s="578">
        <f t="shared" si="68"/>
        <v>528844883.49861526</v>
      </c>
      <c r="O96" s="659">
        <v>4892382.2944780719</v>
      </c>
      <c r="P96" s="578">
        <f t="shared" si="69"/>
        <v>4973595.8405664079</v>
      </c>
      <c r="Q96" s="631"/>
      <c r="R96" s="628"/>
      <c r="S96" s="631"/>
      <c r="T96" s="631"/>
      <c r="U96" s="628"/>
      <c r="V96" s="475"/>
      <c r="W96" s="631"/>
      <c r="X96" s="628"/>
      <c r="Y96" s="475"/>
    </row>
    <row r="97" spans="1:25" ht="13">
      <c r="A97" s="623">
        <f t="shared" si="58"/>
        <v>71</v>
      </c>
      <c r="C97" s="608" t="str">
        <f t="shared" ref="C97:C99" si="76">C66</f>
        <v>October</v>
      </c>
      <c r="D97" s="837">
        <v>2022</v>
      </c>
      <c r="E97" s="633">
        <v>17335174.341835856</v>
      </c>
      <c r="F97" s="633">
        <v>841.63</v>
      </c>
      <c r="G97" s="626">
        <f t="shared" si="70"/>
        <v>1300074.9533876893</v>
      </c>
      <c r="H97" s="578">
        <f t="shared" si="71"/>
        <v>1490752.6132178837</v>
      </c>
      <c r="I97" s="626">
        <f t="shared" si="72"/>
        <v>17143655.052005664</v>
      </c>
      <c r="J97" s="626">
        <f t="shared" si="67"/>
        <v>514309.65156016988</v>
      </c>
      <c r="K97" s="578">
        <f t="shared" si="74"/>
        <v>557567163.41991186</v>
      </c>
      <c r="L97" s="578">
        <f t="shared" si="73"/>
        <v>1146097.0820797051</v>
      </c>
      <c r="M97" s="578">
        <f t="shared" si="75"/>
        <v>12209570.66981044</v>
      </c>
      <c r="N97" s="578">
        <f t="shared" si="68"/>
        <v>545357592.75010145</v>
      </c>
      <c r="O97" s="659">
        <v>5143779.4523218293</v>
      </c>
      <c r="P97" s="578">
        <f t="shared" ref="P97:P99" si="77">O97*(1-$E$107)*(1+$E$103+$E$111)</f>
        <v>5229166.1912303716</v>
      </c>
      <c r="Q97" s="631"/>
      <c r="R97" s="628"/>
      <c r="S97" s="631"/>
      <c r="T97" s="631"/>
      <c r="U97" s="628"/>
      <c r="V97" s="475"/>
      <c r="W97" s="631"/>
      <c r="X97" s="628"/>
      <c r="Y97" s="475"/>
    </row>
    <row r="98" spans="1:25" ht="13">
      <c r="A98" s="623">
        <f t="shared" si="58"/>
        <v>72</v>
      </c>
      <c r="C98" s="608" t="str">
        <f t="shared" si="76"/>
        <v>November</v>
      </c>
      <c r="D98" s="837">
        <v>2022</v>
      </c>
      <c r="E98" s="633">
        <v>17334058.71183598</v>
      </c>
      <c r="F98" s="633">
        <v>0</v>
      </c>
      <c r="G98" s="626">
        <f t="shared" si="70"/>
        <v>1300054.4033876986</v>
      </c>
      <c r="H98" s="578">
        <f t="shared" si="71"/>
        <v>1490729.0492178944</v>
      </c>
      <c r="I98" s="626">
        <f t="shared" si="72"/>
        <v>17143384.066005785</v>
      </c>
      <c r="J98" s="626">
        <f t="shared" si="67"/>
        <v>514301.52198017354</v>
      </c>
      <c r="K98" s="578">
        <f t="shared" si="74"/>
        <v>575224849.00789785</v>
      </c>
      <c r="L98" s="578">
        <f t="shared" si="73"/>
        <v>1183582.5296492334</v>
      </c>
      <c r="M98" s="578">
        <f t="shared" si="75"/>
        <v>13393153.199459674</v>
      </c>
      <c r="N98" s="578">
        <f t="shared" si="68"/>
        <v>561831695.80843818</v>
      </c>
      <c r="O98" s="659">
        <v>5395176.6101655858</v>
      </c>
      <c r="P98" s="578">
        <f t="shared" si="77"/>
        <v>5484736.5418943353</v>
      </c>
      <c r="Q98" s="631"/>
      <c r="R98" s="628"/>
      <c r="S98" s="631"/>
      <c r="T98" s="631"/>
      <c r="U98" s="628"/>
      <c r="V98" s="475"/>
      <c r="W98" s="631"/>
      <c r="X98" s="628"/>
      <c r="Y98" s="475"/>
    </row>
    <row r="99" spans="1:25" ht="13">
      <c r="A99" s="623">
        <f t="shared" si="58"/>
        <v>73</v>
      </c>
      <c r="C99" s="608" t="str">
        <f t="shared" si="76"/>
        <v>December</v>
      </c>
      <c r="D99" s="837">
        <v>2022</v>
      </c>
      <c r="E99" s="633">
        <v>21116378.981835961</v>
      </c>
      <c r="F99" s="633">
        <v>17670.269999999997</v>
      </c>
      <c r="G99" s="626">
        <f t="shared" si="70"/>
        <v>1582403.1533876972</v>
      </c>
      <c r="H99" s="578">
        <f t="shared" si="71"/>
        <v>1814488.9492178927</v>
      </c>
      <c r="I99" s="626">
        <f t="shared" si="72"/>
        <v>20866622.916005764</v>
      </c>
      <c r="J99" s="626">
        <f t="shared" si="67"/>
        <v>625998.68748017296</v>
      </c>
      <c r="K99" s="578">
        <f t="shared" si="74"/>
        <v>596735140.88138378</v>
      </c>
      <c r="L99" s="578">
        <f t="shared" si="73"/>
        <v>1221065.5981423464</v>
      </c>
      <c r="M99" s="578">
        <f t="shared" si="75"/>
        <v>14614218.79760202</v>
      </c>
      <c r="N99" s="578">
        <f t="shared" si="68"/>
        <v>582120922.08378172</v>
      </c>
      <c r="O99" s="659">
        <v>5646573.7680093423</v>
      </c>
      <c r="P99" s="578">
        <f t="shared" si="77"/>
        <v>5740306.8925582971</v>
      </c>
      <c r="Q99" s="631"/>
      <c r="R99" s="628"/>
      <c r="S99" s="631"/>
      <c r="T99" s="631"/>
      <c r="U99" s="628"/>
      <c r="V99" s="475"/>
      <c r="W99" s="631"/>
      <c r="X99" s="628"/>
      <c r="Y99" s="475"/>
    </row>
    <row r="100" spans="1:25" ht="13">
      <c r="A100" s="622"/>
      <c r="O100" s="628"/>
    </row>
    <row r="101" spans="1:25" ht="13">
      <c r="A101" s="622"/>
      <c r="B101" s="580" t="s">
        <v>1909</v>
      </c>
      <c r="G101" s="581"/>
    </row>
    <row r="102" spans="1:25" ht="13">
      <c r="A102" s="624" t="s">
        <v>329</v>
      </c>
      <c r="B102" s="581"/>
      <c r="F102" s="662"/>
    </row>
    <row r="103" spans="1:25" ht="13">
      <c r="A103" s="622">
        <f>A99+1</f>
        <v>74</v>
      </c>
      <c r="C103" s="634" t="s">
        <v>1901</v>
      </c>
      <c r="E103" s="635">
        <v>7.4999999999999997E-2</v>
      </c>
    </row>
    <row r="105" spans="1:25" ht="13">
      <c r="A105" s="622"/>
      <c r="B105" s="580" t="s">
        <v>1911</v>
      </c>
    </row>
    <row r="106" spans="1:25" ht="13">
      <c r="A106" s="624" t="s">
        <v>329</v>
      </c>
      <c r="F106" s="662"/>
    </row>
    <row r="107" spans="1:25" ht="13">
      <c r="A107" s="622">
        <f>A103+1</f>
        <v>75</v>
      </c>
      <c r="B107" s="580"/>
      <c r="C107" s="577" t="s">
        <v>1902</v>
      </c>
      <c r="E107" s="635">
        <v>0.08</v>
      </c>
    </row>
    <row r="108" spans="1:25" ht="13">
      <c r="A108" s="622"/>
      <c r="B108" s="581"/>
      <c r="C108" s="577"/>
    </row>
    <row r="109" spans="1:25" ht="13">
      <c r="B109" s="580" t="s">
        <v>1912</v>
      </c>
    </row>
    <row r="110" spans="1:25" ht="13">
      <c r="A110" s="624" t="s">
        <v>329</v>
      </c>
      <c r="B110" s="581"/>
      <c r="F110" s="662"/>
    </row>
    <row r="111" spans="1:25" ht="13">
      <c r="A111" s="622">
        <f>A107+1</f>
        <v>76</v>
      </c>
      <c r="C111" s="577" t="s">
        <v>1903</v>
      </c>
      <c r="E111" s="635">
        <v>0.03</v>
      </c>
    </row>
    <row r="113" spans="1:9" ht="13">
      <c r="B113" s="580" t="s">
        <v>1910</v>
      </c>
    </row>
    <row r="114" spans="1:9" s="619" customFormat="1" ht="13">
      <c r="C114" s="886" t="s">
        <v>1951</v>
      </c>
      <c r="F114" s="636"/>
    </row>
    <row r="115" spans="1:9" s="622" customFormat="1" ht="13">
      <c r="B115" s="619" t="s">
        <v>358</v>
      </c>
      <c r="C115" s="619" t="s">
        <v>342</v>
      </c>
      <c r="D115" s="619" t="s">
        <v>343</v>
      </c>
      <c r="E115" s="619" t="s">
        <v>344</v>
      </c>
      <c r="F115" s="619"/>
    </row>
    <row r="116" spans="1:9" s="619" customFormat="1" ht="13">
      <c r="C116" s="622" t="s">
        <v>180</v>
      </c>
      <c r="D116" s="625"/>
      <c r="E116" s="1132" t="s">
        <v>1904</v>
      </c>
      <c r="F116" s="625"/>
    </row>
    <row r="117" spans="1:9" ht="13">
      <c r="A117" s="622"/>
      <c r="B117" s="622"/>
      <c r="C117" s="622" t="str">
        <f>"Prior Year"</f>
        <v>Prior Year</v>
      </c>
      <c r="D117" s="623" t="s">
        <v>1905</v>
      </c>
      <c r="E117" s="623" t="s">
        <v>1333</v>
      </c>
      <c r="F117" s="623" t="s">
        <v>2029</v>
      </c>
    </row>
    <row r="118" spans="1:9" ht="13">
      <c r="A118" s="619" t="s">
        <v>329</v>
      </c>
      <c r="B118" s="619" t="s">
        <v>1829</v>
      </c>
      <c r="C118" s="619" t="s">
        <v>1906</v>
      </c>
      <c r="D118" s="625" t="s">
        <v>13</v>
      </c>
      <c r="E118" s="625" t="s">
        <v>1905</v>
      </c>
      <c r="F118" s="122" t="s">
        <v>205</v>
      </c>
    </row>
    <row r="119" spans="1:9" ht="13">
      <c r="A119" s="622">
        <f>A111+1</f>
        <v>77</v>
      </c>
      <c r="B119" s="622">
        <v>350.1</v>
      </c>
      <c r="C119" s="663">
        <f>'17-Depreciation'!C24</f>
        <v>88947677.147506893</v>
      </c>
      <c r="D119" s="874">
        <f>'18-DepRates'!G6</f>
        <v>0</v>
      </c>
      <c r="E119" s="875">
        <f>C119*D119</f>
        <v>0</v>
      </c>
      <c r="F119" s="1131" t="s">
        <v>2030</v>
      </c>
      <c r="G119" s="575"/>
      <c r="H119" s="663"/>
      <c r="I119" s="661"/>
    </row>
    <row r="120" spans="1:9" ht="13">
      <c r="A120" s="622">
        <f>A119+1</f>
        <v>78</v>
      </c>
      <c r="B120" s="622">
        <v>350.2</v>
      </c>
      <c r="C120" s="663">
        <f>'17-Depreciation'!D24</f>
        <v>166997788.6995331</v>
      </c>
      <c r="D120" s="874">
        <f>'18-DepRates'!G7</f>
        <v>1.66E-2</v>
      </c>
      <c r="E120" s="875">
        <f>C120*D120</f>
        <v>2772163.2924122494</v>
      </c>
      <c r="F120" s="1131" t="s">
        <v>2031</v>
      </c>
      <c r="G120" s="575"/>
      <c r="H120" s="663"/>
      <c r="I120" s="661"/>
    </row>
    <row r="121" spans="1:9" ht="13">
      <c r="A121" s="622">
        <f t="shared" ref="A121:A133" si="78">A120+1</f>
        <v>79</v>
      </c>
      <c r="B121" s="622">
        <v>352</v>
      </c>
      <c r="C121" s="663">
        <f>'17-Depreciation'!E24</f>
        <v>804153066.44668055</v>
      </c>
      <c r="D121" s="874">
        <f>'18-DepRates'!G8</f>
        <v>2.5700000000000001E-2</v>
      </c>
      <c r="E121" s="875">
        <f t="shared" ref="E121:E128" si="79">C121*D121</f>
        <v>20666733.80767969</v>
      </c>
      <c r="F121" s="1131" t="s">
        <v>2032</v>
      </c>
      <c r="G121" s="575"/>
      <c r="H121" s="663"/>
      <c r="I121" s="661"/>
    </row>
    <row r="122" spans="1:9" ht="13">
      <c r="A122" s="622">
        <f t="shared" si="78"/>
        <v>80</v>
      </c>
      <c r="B122" s="622">
        <v>353</v>
      </c>
      <c r="C122" s="663">
        <f>'17-Depreciation'!F24</f>
        <v>3951945554.2101927</v>
      </c>
      <c r="D122" s="874">
        <f>'18-DepRates'!G9</f>
        <v>2.47E-2</v>
      </c>
      <c r="E122" s="875">
        <f t="shared" si="79"/>
        <v>97613055.188991755</v>
      </c>
      <c r="F122" s="1131" t="s">
        <v>2033</v>
      </c>
      <c r="G122" s="575"/>
      <c r="H122" s="663"/>
      <c r="I122" s="661"/>
    </row>
    <row r="123" spans="1:9" ht="13">
      <c r="A123" s="622">
        <f t="shared" si="78"/>
        <v>81</v>
      </c>
      <c r="B123" s="622">
        <v>354</v>
      </c>
      <c r="C123" s="663">
        <f>'17-Depreciation'!G24</f>
        <v>2302122819.4770331</v>
      </c>
      <c r="D123" s="874">
        <f>'18-DepRates'!G10</f>
        <v>2.4400000000000002E-2</v>
      </c>
      <c r="E123" s="875">
        <f>C123*D123</f>
        <v>56171796.795239612</v>
      </c>
      <c r="F123" s="1131" t="s">
        <v>2034</v>
      </c>
      <c r="G123" s="575"/>
      <c r="H123" s="663"/>
      <c r="I123" s="661"/>
    </row>
    <row r="124" spans="1:9" ht="13">
      <c r="A124" s="622">
        <f t="shared" si="78"/>
        <v>82</v>
      </c>
      <c r="B124" s="622">
        <v>355</v>
      </c>
      <c r="C124" s="663">
        <f>'17-Depreciation'!H24</f>
        <v>431972729.20086581</v>
      </c>
      <c r="D124" s="874">
        <f>'18-DepRates'!G11</f>
        <v>3.6700000000000003E-2</v>
      </c>
      <c r="E124" s="875">
        <f t="shared" si="79"/>
        <v>15853399.161671776</v>
      </c>
      <c r="F124" s="1131" t="s">
        <v>2035</v>
      </c>
      <c r="G124" s="575"/>
      <c r="H124" s="663"/>
      <c r="I124" s="661"/>
    </row>
    <row r="125" spans="1:9" ht="13">
      <c r="A125" s="622">
        <f t="shared" si="78"/>
        <v>83</v>
      </c>
      <c r="B125" s="622">
        <v>356</v>
      </c>
      <c r="C125" s="663">
        <f>'17-Depreciation'!I24</f>
        <v>1449635757.7995038</v>
      </c>
      <c r="D125" s="874">
        <f>'18-DepRates'!G12</f>
        <v>3.0499999999999999E-2</v>
      </c>
      <c r="E125" s="875">
        <f t="shared" si="79"/>
        <v>44213890.612884864</v>
      </c>
      <c r="F125" s="1131" t="s">
        <v>2036</v>
      </c>
      <c r="G125" s="575"/>
      <c r="H125" s="663"/>
      <c r="I125" s="661"/>
    </row>
    <row r="126" spans="1:9" ht="13">
      <c r="A126" s="622">
        <f t="shared" si="78"/>
        <v>84</v>
      </c>
      <c r="B126" s="622">
        <v>357</v>
      </c>
      <c r="C126" s="663">
        <f>'17-Depreciation'!J24</f>
        <v>215412775.95431966</v>
      </c>
      <c r="D126" s="874">
        <f>'18-DepRates'!G13</f>
        <v>1.6500000000000001E-2</v>
      </c>
      <c r="E126" s="875">
        <f t="shared" si="79"/>
        <v>3554310.8032462746</v>
      </c>
      <c r="F126" s="1131" t="s">
        <v>2037</v>
      </c>
      <c r="G126" s="575"/>
      <c r="H126" s="663"/>
      <c r="I126" s="661"/>
    </row>
    <row r="127" spans="1:9" ht="13">
      <c r="A127" s="622">
        <f t="shared" si="78"/>
        <v>85</v>
      </c>
      <c r="B127" s="622">
        <v>358</v>
      </c>
      <c r="C127" s="663">
        <f>'17-Depreciation'!K24</f>
        <v>59261609.025810957</v>
      </c>
      <c r="D127" s="874">
        <f>'18-DepRates'!G14</f>
        <v>3.8699999999999998E-2</v>
      </c>
      <c r="E127" s="875">
        <f t="shared" si="79"/>
        <v>2293424.2692988841</v>
      </c>
      <c r="F127" s="1131" t="s">
        <v>2038</v>
      </c>
      <c r="G127" s="575"/>
      <c r="H127" s="663"/>
      <c r="I127" s="661"/>
    </row>
    <row r="128" spans="1:9" ht="13">
      <c r="A128" s="622">
        <f t="shared" si="78"/>
        <v>86</v>
      </c>
      <c r="B128" s="622">
        <v>359</v>
      </c>
      <c r="C128" s="663">
        <f>'17-Depreciation'!L24</f>
        <v>192098212.92509732</v>
      </c>
      <c r="D128" s="874">
        <f>'18-DepRates'!G15</f>
        <v>1.5599999999999999E-2</v>
      </c>
      <c r="E128" s="875">
        <f t="shared" si="79"/>
        <v>2996732.121631518</v>
      </c>
      <c r="F128" s="1131" t="s">
        <v>2039</v>
      </c>
      <c r="G128" s="575"/>
      <c r="H128" s="663"/>
      <c r="I128" s="661"/>
    </row>
    <row r="129" spans="1:9" ht="13">
      <c r="A129" s="622">
        <f t="shared" si="78"/>
        <v>87</v>
      </c>
      <c r="F129" s="575"/>
      <c r="G129" s="575"/>
    </row>
    <row r="130" spans="1:9" ht="13">
      <c r="A130" s="622">
        <f t="shared" si="78"/>
        <v>88</v>
      </c>
      <c r="C130" s="637" t="s">
        <v>1907</v>
      </c>
      <c r="E130" s="664">
        <f>SUM(E119:E128)</f>
        <v>246135506.0530566</v>
      </c>
      <c r="F130" s="575" t="str">
        <f>"Sum of C"&amp;RIGHT(E115)&amp;" Lines "&amp;A119&amp;" to "&amp;A128</f>
        <v>Sum of C4 Lines 77 to 86</v>
      </c>
      <c r="G130" s="575"/>
    </row>
    <row r="131" spans="1:9" ht="13">
      <c r="A131" s="622">
        <f t="shared" si="78"/>
        <v>89</v>
      </c>
      <c r="C131" s="616" t="str">
        <f>"Sum of Dec Prior Year Plant"</f>
        <v>Sum of Dec Prior Year Plant</v>
      </c>
      <c r="E131" s="665">
        <f>SUM(C119:C128)</f>
        <v>9662547990.8865414</v>
      </c>
      <c r="F131" s="575" t="str">
        <f>"Sum of C"&amp;RIGHT(C115)&amp;" Lines "&amp;A119&amp;" to "&amp;A128</f>
        <v>Sum of C2 Lines 77 to 86</v>
      </c>
      <c r="G131" s="575"/>
    </row>
    <row r="132" spans="1:9" ht="13">
      <c r="A132" s="622">
        <f t="shared" si="78"/>
        <v>90</v>
      </c>
    </row>
    <row r="133" spans="1:9" ht="13">
      <c r="A133" s="622">
        <f t="shared" si="78"/>
        <v>91</v>
      </c>
      <c r="C133" s="616" t="s">
        <v>1908</v>
      </c>
      <c r="E133" s="638">
        <f>E130/E131</f>
        <v>2.5473147071062942E-2</v>
      </c>
      <c r="F133" s="575" t="str">
        <f>"Line "&amp;A130&amp;" / Line "&amp;A131</f>
        <v>Line 88 / Line 89</v>
      </c>
    </row>
    <row r="134" spans="1:9" ht="13">
      <c r="A134" s="622"/>
    </row>
    <row r="135" spans="1:9" ht="13">
      <c r="A135" s="622"/>
      <c r="B135" s="615" t="s">
        <v>230</v>
      </c>
      <c r="C135"/>
      <c r="D135"/>
      <c r="E135"/>
      <c r="F135"/>
      <c r="G135"/>
      <c r="H135"/>
      <c r="I135"/>
    </row>
    <row r="136" spans="1:9" ht="13">
      <c r="A136" s="622"/>
      <c r="B136" s="611" t="s">
        <v>2060</v>
      </c>
      <c r="C136" s="645"/>
      <c r="D136" s="645"/>
      <c r="E136" s="645"/>
      <c r="F136" s="645"/>
      <c r="G136" s="645"/>
      <c r="H136" s="645"/>
      <c r="I136" s="645"/>
    </row>
    <row r="137" spans="1:9" ht="13">
      <c r="A137" s="622"/>
      <c r="B137" s="611" t="s">
        <v>2068</v>
      </c>
      <c r="C137"/>
      <c r="D137"/>
      <c r="E137"/>
      <c r="F137"/>
      <c r="G137" s="14"/>
      <c r="H137" s="14"/>
      <c r="I137"/>
    </row>
    <row r="138" spans="1:9" ht="13">
      <c r="A138" s="622"/>
    </row>
    <row r="139" spans="1:9" ht="13">
      <c r="A139" s="622"/>
    </row>
    <row r="140" spans="1:9" ht="13">
      <c r="A140" s="622"/>
    </row>
    <row r="141" spans="1:9" ht="13">
      <c r="A141" s="622"/>
    </row>
    <row r="142" spans="1:9" ht="13">
      <c r="A142" s="622"/>
    </row>
    <row r="143" spans="1:9" ht="13">
      <c r="A143" s="622"/>
    </row>
    <row r="144" spans="1:9" ht="13">
      <c r="A144" s="622"/>
    </row>
    <row r="145" spans="1:1" ht="13">
      <c r="A145" s="622"/>
    </row>
    <row r="146" spans="1:1" ht="13">
      <c r="A146" s="622"/>
    </row>
    <row r="147" spans="1:1" ht="13">
      <c r="A147" s="622"/>
    </row>
    <row r="148" spans="1:1" ht="13">
      <c r="A148" s="622"/>
    </row>
    <row r="149" spans="1:1" ht="13">
      <c r="A149" s="622"/>
    </row>
    <row r="150" spans="1:1" ht="13">
      <c r="A150" s="622"/>
    </row>
    <row r="151" spans="1:1" ht="13">
      <c r="A151" s="622"/>
    </row>
    <row r="152" spans="1:1" ht="13">
      <c r="A152" s="622"/>
    </row>
    <row r="153" spans="1:1" ht="13">
      <c r="A153" s="622"/>
    </row>
    <row r="154" spans="1:1" ht="13">
      <c r="A154" s="622"/>
    </row>
    <row r="155" spans="1:1" ht="13">
      <c r="A155" s="622"/>
    </row>
    <row r="156" spans="1:1" ht="13">
      <c r="A156" s="622"/>
    </row>
    <row r="157" spans="1:1" ht="13">
      <c r="A157" s="622"/>
    </row>
    <row r="158" spans="1:1" ht="13">
      <c r="A158" s="622"/>
    </row>
    <row r="159" spans="1:1" ht="13">
      <c r="A159" s="622"/>
    </row>
    <row r="160" spans="1:1" ht="13">
      <c r="A160" s="622"/>
    </row>
    <row r="161" spans="1:1" ht="13">
      <c r="A161" s="622"/>
    </row>
    <row r="162" spans="1:1" ht="13">
      <c r="A162" s="622"/>
    </row>
    <row r="163" spans="1:1" ht="13">
      <c r="A163" s="622"/>
    </row>
    <row r="164" spans="1:1" ht="13">
      <c r="A164" s="622"/>
    </row>
    <row r="165" spans="1:1" ht="13">
      <c r="A165" s="622"/>
    </row>
    <row r="166" spans="1:1" ht="13">
      <c r="A166" s="622"/>
    </row>
    <row r="167" spans="1:1" ht="13">
      <c r="A167" s="622"/>
    </row>
    <row r="168" spans="1:1" ht="13">
      <c r="A168" s="622"/>
    </row>
    <row r="169" spans="1:1" ht="13">
      <c r="A169" s="622"/>
    </row>
    <row r="170" spans="1:1" ht="13">
      <c r="A170" s="622"/>
    </row>
    <row r="171" spans="1:1" ht="13">
      <c r="A171" s="622"/>
    </row>
    <row r="172" spans="1:1" ht="13">
      <c r="A172" s="622"/>
    </row>
    <row r="173" spans="1:1" ht="13">
      <c r="A173" s="622"/>
    </row>
    <row r="174" spans="1:1" ht="13">
      <c r="A174" s="622"/>
    </row>
    <row r="175" spans="1:1" ht="13">
      <c r="A175" s="622"/>
    </row>
    <row r="176" spans="1:1" ht="13">
      <c r="A176" s="622"/>
    </row>
    <row r="177" spans="1:1" ht="13">
      <c r="A177" s="622"/>
    </row>
    <row r="178" spans="1:1" ht="13">
      <c r="A178" s="622"/>
    </row>
    <row r="179" spans="1:1" ht="13">
      <c r="A179" s="622"/>
    </row>
    <row r="180" spans="1:1" ht="13">
      <c r="A180" s="622"/>
    </row>
    <row r="181" spans="1:1" ht="13">
      <c r="A181" s="622"/>
    </row>
    <row r="182" spans="1:1" ht="13">
      <c r="A182" s="622"/>
    </row>
    <row r="183" spans="1:1" ht="13">
      <c r="A183" s="622"/>
    </row>
    <row r="184" spans="1:1" ht="13">
      <c r="A184" s="622"/>
    </row>
    <row r="185" spans="1:1" ht="13">
      <c r="A185" s="622"/>
    </row>
    <row r="186" spans="1:1" ht="13">
      <c r="A186" s="622"/>
    </row>
    <row r="187" spans="1:1" ht="13">
      <c r="A187" s="622"/>
    </row>
    <row r="188" spans="1:1" ht="13">
      <c r="A188" s="622"/>
    </row>
    <row r="189" spans="1:1" ht="13">
      <c r="A189" s="622"/>
    </row>
    <row r="190" spans="1:1" ht="13">
      <c r="A190" s="622"/>
    </row>
    <row r="191" spans="1:1" ht="13">
      <c r="A191" s="622"/>
    </row>
    <row r="192" spans="1:1" ht="13">
      <c r="A192" s="622"/>
    </row>
    <row r="193" spans="1:1" ht="13">
      <c r="A193" s="622"/>
    </row>
    <row r="194" spans="1:1" ht="13">
      <c r="A194" s="622"/>
    </row>
    <row r="195" spans="1:1" ht="13">
      <c r="A195" s="622"/>
    </row>
    <row r="196" spans="1:1" ht="13">
      <c r="A196" s="622"/>
    </row>
    <row r="197" spans="1:1" ht="13">
      <c r="A197" s="622"/>
    </row>
    <row r="198" spans="1:1" ht="13">
      <c r="A198" s="622"/>
    </row>
    <row r="199" spans="1:1" ht="13">
      <c r="A199" s="622"/>
    </row>
    <row r="200" spans="1:1" ht="13">
      <c r="A200" s="622"/>
    </row>
    <row r="201" spans="1:1" ht="13">
      <c r="A201" s="622"/>
    </row>
    <row r="202" spans="1:1" ht="13">
      <c r="A202" s="622"/>
    </row>
    <row r="203" spans="1:1" ht="13">
      <c r="A203" s="622"/>
    </row>
    <row r="204" spans="1:1" ht="13">
      <c r="A204" s="622"/>
    </row>
  </sheetData>
  <pageMargins left="0.7" right="0.7" top="0.75" bottom="0.75" header="0.3" footer="0.3"/>
  <pageSetup scale="52" orientation="landscape" cellComments="asDisplayed" r:id="rId1"/>
  <headerFooter>
    <oddHeader>&amp;CSchedule 16
Plant Additions
&amp;RTO2022 Annual Update 
Attachment 1</oddHeader>
    <oddFooter>&amp;R16-PlantAdditions</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4"/>
  <sheetViews>
    <sheetView zoomScaleNormal="100" zoomScalePageLayoutView="70" workbookViewId="0"/>
  </sheetViews>
  <sheetFormatPr defaultRowHeight="12.5"/>
  <cols>
    <col min="1" max="1" width="4.54296875" customWidth="1"/>
    <col min="3" max="3" width="15.453125" customWidth="1"/>
    <col min="4" max="5" width="14.54296875" customWidth="1"/>
    <col min="6" max="6" width="15.54296875" customWidth="1"/>
    <col min="7" max="13" width="14.54296875" customWidth="1"/>
  </cols>
  <sheetData>
    <row r="1" spans="1:13" ht="13">
      <c r="A1" s="1" t="s">
        <v>250</v>
      </c>
      <c r="B1" s="227"/>
      <c r="C1" s="227"/>
      <c r="D1" s="227"/>
      <c r="E1" s="227"/>
      <c r="F1" s="227"/>
      <c r="G1" s="227"/>
      <c r="H1" s="227"/>
      <c r="I1" s="501" t="s">
        <v>446</v>
      </c>
      <c r="J1" s="183"/>
      <c r="K1" s="227"/>
      <c r="L1" s="227"/>
      <c r="M1" s="227"/>
    </row>
    <row r="2" spans="1:13">
      <c r="A2" s="227"/>
      <c r="B2" s="227"/>
      <c r="C2" s="227"/>
      <c r="D2" s="227"/>
      <c r="E2" s="227"/>
      <c r="F2" s="227"/>
      <c r="G2" s="227"/>
      <c r="H2" s="227"/>
      <c r="K2" s="227"/>
      <c r="L2" s="227"/>
      <c r="M2" s="227"/>
    </row>
    <row r="3" spans="1:13" ht="13">
      <c r="A3" s="227"/>
      <c r="B3" s="1" t="s">
        <v>963</v>
      </c>
      <c r="C3" s="227"/>
      <c r="D3" s="227"/>
      <c r="E3" s="227"/>
      <c r="F3" s="227"/>
      <c r="G3" s="227"/>
      <c r="H3" s="235"/>
      <c r="I3" s="858" t="s">
        <v>1713</v>
      </c>
      <c r="J3" s="1481">
        <v>2020</v>
      </c>
      <c r="K3" s="227"/>
      <c r="L3" s="227"/>
      <c r="M3" s="227"/>
    </row>
    <row r="4" spans="1:13">
      <c r="A4" s="227"/>
      <c r="B4" s="227"/>
      <c r="C4" s="227"/>
      <c r="D4" s="227"/>
      <c r="E4" s="227"/>
      <c r="F4" s="227"/>
      <c r="G4" s="227"/>
      <c r="H4" s="235"/>
      <c r="I4" s="235"/>
      <c r="J4" s="227"/>
      <c r="K4" s="227"/>
      <c r="L4" s="227"/>
      <c r="M4" s="227"/>
    </row>
    <row r="5" spans="1:13" ht="13">
      <c r="A5" s="227"/>
      <c r="B5" s="463" t="s">
        <v>966</v>
      </c>
      <c r="C5" s="227"/>
      <c r="D5" s="227"/>
      <c r="E5" s="227"/>
      <c r="F5" s="227"/>
      <c r="G5" s="227"/>
      <c r="H5" s="465" t="s">
        <v>1765</v>
      </c>
      <c r="I5" s="235"/>
      <c r="J5" s="227"/>
      <c r="K5" s="227"/>
      <c r="L5" s="227"/>
      <c r="M5" s="227"/>
    </row>
    <row r="6" spans="1:13">
      <c r="A6" s="227"/>
      <c r="B6" s="227"/>
      <c r="C6" s="227"/>
      <c r="D6" s="227"/>
      <c r="E6" s="227"/>
      <c r="F6" s="227"/>
      <c r="G6" s="227"/>
      <c r="H6" s="227"/>
      <c r="I6" s="227"/>
      <c r="J6" s="227"/>
      <c r="K6" s="227"/>
      <c r="L6" s="227"/>
      <c r="M6" s="227"/>
    </row>
    <row r="7" spans="1:13" ht="13">
      <c r="A7" s="227"/>
      <c r="B7" s="84" t="s">
        <v>358</v>
      </c>
      <c r="C7" s="84" t="s">
        <v>342</v>
      </c>
      <c r="D7" s="84" t="s">
        <v>343</v>
      </c>
      <c r="E7" s="84" t="s">
        <v>344</v>
      </c>
      <c r="F7" s="84" t="s">
        <v>345</v>
      </c>
      <c r="G7" s="84" t="s">
        <v>346</v>
      </c>
      <c r="H7" s="84" t="s">
        <v>347</v>
      </c>
      <c r="I7" s="84" t="s">
        <v>534</v>
      </c>
      <c r="J7" s="84" t="s">
        <v>949</v>
      </c>
      <c r="K7" s="84" t="s">
        <v>961</v>
      </c>
      <c r="L7" s="84" t="s">
        <v>964</v>
      </c>
      <c r="M7" s="84" t="s">
        <v>982</v>
      </c>
    </row>
    <row r="8" spans="1:13">
      <c r="A8" s="227"/>
      <c r="B8" s="243"/>
      <c r="C8" s="227"/>
      <c r="D8" s="227"/>
      <c r="E8" s="227"/>
      <c r="F8" s="227"/>
      <c r="G8" s="227"/>
      <c r="H8" s="227"/>
      <c r="I8" s="227"/>
      <c r="J8" s="227"/>
      <c r="K8" s="227"/>
      <c r="L8" s="227"/>
      <c r="M8" s="227"/>
    </row>
    <row r="9" spans="1:13" ht="13">
      <c r="A9" s="227"/>
      <c r="B9" s="109"/>
      <c r="C9" s="502" t="s">
        <v>12</v>
      </c>
      <c r="D9" s="227"/>
      <c r="E9" s="227"/>
      <c r="F9" s="227"/>
      <c r="G9" s="227"/>
      <c r="H9" s="227"/>
      <c r="I9" s="227"/>
      <c r="J9" s="227"/>
      <c r="K9" s="227"/>
      <c r="L9" s="227"/>
      <c r="M9" s="227"/>
    </row>
    <row r="10" spans="1:13" ht="13">
      <c r="A10" s="227"/>
      <c r="B10" s="109"/>
      <c r="C10" s="502" t="s">
        <v>962</v>
      </c>
      <c r="D10" s="227"/>
      <c r="E10" s="227"/>
      <c r="F10" s="227"/>
      <c r="G10" s="227"/>
      <c r="H10" s="227"/>
      <c r="I10" s="227"/>
      <c r="J10" s="227"/>
      <c r="K10" s="227"/>
      <c r="L10" s="227"/>
      <c r="M10" s="227"/>
    </row>
    <row r="11" spans="1:13" ht="13">
      <c r="A11" s="51" t="s">
        <v>329</v>
      </c>
      <c r="B11" s="122" t="s">
        <v>1748</v>
      </c>
      <c r="C11" s="351">
        <v>350.1</v>
      </c>
      <c r="D11" s="351">
        <v>350.2</v>
      </c>
      <c r="E11" s="351">
        <v>352</v>
      </c>
      <c r="F11" s="351">
        <v>353</v>
      </c>
      <c r="G11" s="351">
        <v>354</v>
      </c>
      <c r="H11" s="351">
        <v>355</v>
      </c>
      <c r="I11" s="351">
        <v>356</v>
      </c>
      <c r="J11" s="351">
        <v>357</v>
      </c>
      <c r="K11" s="351">
        <v>358</v>
      </c>
      <c r="L11" s="351">
        <v>359</v>
      </c>
      <c r="M11" s="122" t="s">
        <v>196</v>
      </c>
    </row>
    <row r="12" spans="1:13" ht="13">
      <c r="A12" s="549">
        <v>1</v>
      </c>
      <c r="B12" s="1436" t="s">
        <v>2712</v>
      </c>
      <c r="C12" s="229">
        <f>'6-PlantInService'!C12</f>
        <v>88722950.062386677</v>
      </c>
      <c r="D12" s="229">
        <f>'6-PlantInService'!D12</f>
        <v>165732566.05861396</v>
      </c>
      <c r="E12" s="229">
        <f>'6-PlantInService'!E12</f>
        <v>741230571.25435066</v>
      </c>
      <c r="F12" s="229">
        <f>'6-PlantInService'!F12</f>
        <v>3714934155.6737089</v>
      </c>
      <c r="G12" s="229">
        <f>'6-PlantInService'!G12</f>
        <v>2305124777.8401799</v>
      </c>
      <c r="H12" s="229">
        <f>'6-PlantInService'!H12</f>
        <v>408001019.08888364</v>
      </c>
      <c r="I12" s="229">
        <f>'6-PlantInService'!I12</f>
        <v>1408013215.7482004</v>
      </c>
      <c r="J12" s="229">
        <f>'6-PlantInService'!J12</f>
        <v>215368701.52640039</v>
      </c>
      <c r="K12" s="229">
        <f>'6-PlantInService'!K12</f>
        <v>59251565.606308758</v>
      </c>
      <c r="L12" s="229">
        <f>'6-PlantInService'!L12</f>
        <v>179151598.49303469</v>
      </c>
      <c r="M12" s="229">
        <f>'6-PlantInService'!M12</f>
        <v>9285531121.352066</v>
      </c>
    </row>
    <row r="13" spans="1:13" ht="13">
      <c r="A13" s="549">
        <f>A12+1</f>
        <v>2</v>
      </c>
      <c r="B13" s="1436" t="s">
        <v>2713</v>
      </c>
      <c r="C13" s="229">
        <f>'6-PlantInService'!C13</f>
        <v>88741307.183015674</v>
      </c>
      <c r="D13" s="229">
        <f>'6-PlantInService'!D13</f>
        <v>166962652.99982244</v>
      </c>
      <c r="E13" s="229">
        <f>'6-PlantInService'!E13</f>
        <v>743980989.8689419</v>
      </c>
      <c r="F13" s="229">
        <f>'6-PlantInService'!F13</f>
        <v>3719890313.5156889</v>
      </c>
      <c r="G13" s="229">
        <f>'6-PlantInService'!G13</f>
        <v>2304291127.0573182</v>
      </c>
      <c r="H13" s="229">
        <f>'6-PlantInService'!H13</f>
        <v>409647374.61278379</v>
      </c>
      <c r="I13" s="229">
        <f>'6-PlantInService'!I13</f>
        <v>1409926314.7974291</v>
      </c>
      <c r="J13" s="229">
        <f>'6-PlantInService'!J13</f>
        <v>215372650.83183208</v>
      </c>
      <c r="K13" s="229">
        <f>'6-PlantInService'!K13</f>
        <v>59252614.940755896</v>
      </c>
      <c r="L13" s="229">
        <f>'6-PlantInService'!L13</f>
        <v>178878476.00365421</v>
      </c>
      <c r="M13" s="229">
        <f>'6-PlantInService'!M13</f>
        <v>9296943821.8112431</v>
      </c>
    </row>
    <row r="14" spans="1:13" ht="13">
      <c r="A14" s="549">
        <f t="shared" ref="A14:A76" si="0">A13+1</f>
        <v>3</v>
      </c>
      <c r="B14" s="1436" t="s">
        <v>2714</v>
      </c>
      <c r="C14" s="229">
        <f>'6-PlantInService'!C14</f>
        <v>88740719.363015622</v>
      </c>
      <c r="D14" s="229">
        <f>'6-PlantInService'!D14</f>
        <v>166963240.81982243</v>
      </c>
      <c r="E14" s="229">
        <f>'6-PlantInService'!E14</f>
        <v>748061976.02673197</v>
      </c>
      <c r="F14" s="229">
        <f>'6-PlantInService'!F14</f>
        <v>3748148586.8118367</v>
      </c>
      <c r="G14" s="229">
        <f>'6-PlantInService'!G14</f>
        <v>2304241449.6258683</v>
      </c>
      <c r="H14" s="229">
        <f>'6-PlantInService'!H14</f>
        <v>411512894.32204264</v>
      </c>
      <c r="I14" s="229">
        <f>'6-PlantInService'!I14</f>
        <v>1410792034.8643653</v>
      </c>
      <c r="J14" s="229">
        <f>'6-PlantInService'!J14</f>
        <v>215377094.81208503</v>
      </c>
      <c r="K14" s="229">
        <f>'6-PlantInService'!K14</f>
        <v>59253758.121466726</v>
      </c>
      <c r="L14" s="229">
        <f>'6-PlantInService'!L14</f>
        <v>178986015.38301054</v>
      </c>
      <c r="M14" s="229">
        <f>'6-PlantInService'!M14</f>
        <v>9332077770.1502457</v>
      </c>
    </row>
    <row r="15" spans="1:13" ht="13">
      <c r="A15" s="549">
        <f t="shared" si="0"/>
        <v>4</v>
      </c>
      <c r="B15" s="1436" t="s">
        <v>2715</v>
      </c>
      <c r="C15" s="229">
        <f>'6-PlantInService'!C15</f>
        <v>88749426.501645014</v>
      </c>
      <c r="D15" s="229">
        <f>'6-PlantInService'!D15</f>
        <v>166968727.27847999</v>
      </c>
      <c r="E15" s="229">
        <f>'6-PlantInService'!E15</f>
        <v>750916146.14378583</v>
      </c>
      <c r="F15" s="229">
        <f>'6-PlantInService'!F15</f>
        <v>3758782092.8721948</v>
      </c>
      <c r="G15" s="229">
        <f>'6-PlantInService'!G15</f>
        <v>2304999312.5660019</v>
      </c>
      <c r="H15" s="229">
        <f>'6-PlantInService'!H15</f>
        <v>413785511.70263821</v>
      </c>
      <c r="I15" s="229">
        <f>'6-PlantInService'!I15</f>
        <v>1411877248.8816786</v>
      </c>
      <c r="J15" s="229">
        <f>'6-PlantInService'!J15</f>
        <v>215385546.78872225</v>
      </c>
      <c r="K15" s="229">
        <f>'6-PlantInService'!K15</f>
        <v>59260382.175048292</v>
      </c>
      <c r="L15" s="229">
        <f>'6-PlantInService'!L15</f>
        <v>178953130.43827477</v>
      </c>
      <c r="M15" s="229">
        <f>'6-PlantInService'!M15</f>
        <v>9349677525.3484707</v>
      </c>
    </row>
    <row r="16" spans="1:13" ht="13">
      <c r="A16" s="549">
        <f t="shared" si="0"/>
        <v>5</v>
      </c>
      <c r="B16" s="1436" t="s">
        <v>2716</v>
      </c>
      <c r="C16" s="229">
        <f>'6-PlantInService'!C16</f>
        <v>88831816.93421562</v>
      </c>
      <c r="D16" s="229">
        <f>'6-PlantInService'!D16</f>
        <v>166969595.14555198</v>
      </c>
      <c r="E16" s="229">
        <f>'6-PlantInService'!E16</f>
        <v>758183935.76359642</v>
      </c>
      <c r="F16" s="229">
        <f>'6-PlantInService'!F16</f>
        <v>3768702225.5028944</v>
      </c>
      <c r="G16" s="229">
        <f>'6-PlantInService'!G16</f>
        <v>2308741647.4917316</v>
      </c>
      <c r="H16" s="229">
        <f>'6-PlantInService'!H16</f>
        <v>414860803.19063449</v>
      </c>
      <c r="I16" s="229">
        <f>'6-PlantInService'!I16</f>
        <v>1413157075.2171009</v>
      </c>
      <c r="J16" s="229">
        <f>'6-PlantInService'!J16</f>
        <v>215395001.08338583</v>
      </c>
      <c r="K16" s="229">
        <f>'6-PlantInService'!K16</f>
        <v>59258323.314141169</v>
      </c>
      <c r="L16" s="229">
        <f>'6-PlantInService'!L16</f>
        <v>178922566.42889923</v>
      </c>
      <c r="M16" s="229">
        <f>'6-PlantInService'!M16</f>
        <v>9373022990.0721512</v>
      </c>
    </row>
    <row r="17" spans="1:14" ht="13">
      <c r="A17" s="549">
        <f t="shared" si="0"/>
        <v>6</v>
      </c>
      <c r="B17" s="1436" t="s">
        <v>2717</v>
      </c>
      <c r="C17" s="229">
        <f>'6-PlantInService'!C17</f>
        <v>88896465.59750697</v>
      </c>
      <c r="D17" s="229">
        <f>'6-PlantInService'!D17</f>
        <v>166967707.30750874</v>
      </c>
      <c r="E17" s="229">
        <f>'6-PlantInService'!E17</f>
        <v>776958875.65458</v>
      </c>
      <c r="F17" s="229">
        <f>'6-PlantInService'!F17</f>
        <v>3798012794.2677789</v>
      </c>
      <c r="G17" s="229">
        <f>'6-PlantInService'!G17</f>
        <v>2308858363.2807703</v>
      </c>
      <c r="H17" s="229">
        <f>'6-PlantInService'!H17</f>
        <v>415441322.25277275</v>
      </c>
      <c r="I17" s="229">
        <f>'6-PlantInService'!I17</f>
        <v>1413442371.1347528</v>
      </c>
      <c r="J17" s="229">
        <f>'6-PlantInService'!J17</f>
        <v>215396423.13163251</v>
      </c>
      <c r="K17" s="229">
        <f>'6-PlantInService'!K17</f>
        <v>59258755.452746741</v>
      </c>
      <c r="L17" s="229">
        <f>'6-PlantInService'!L17</f>
        <v>178932930.34611958</v>
      </c>
      <c r="M17" s="229">
        <f>'6-PlantInService'!M17</f>
        <v>9422166008.4261684</v>
      </c>
    </row>
    <row r="18" spans="1:14" ht="13">
      <c r="A18" s="549">
        <f t="shared" si="0"/>
        <v>7</v>
      </c>
      <c r="B18" s="1436" t="s">
        <v>2718</v>
      </c>
      <c r="C18" s="229">
        <f>'6-PlantInService'!C18</f>
        <v>88910180.127506971</v>
      </c>
      <c r="D18" s="229">
        <f>'6-PlantInService'!D18</f>
        <v>166968401.0510698</v>
      </c>
      <c r="E18" s="229">
        <f>'6-PlantInService'!E18</f>
        <v>769760702.89704275</v>
      </c>
      <c r="F18" s="229">
        <f>'6-PlantInService'!F18</f>
        <v>3835575955.8590183</v>
      </c>
      <c r="G18" s="229">
        <f>'6-PlantInService'!G18</f>
        <v>2312716597.8183851</v>
      </c>
      <c r="H18" s="229">
        <f>'6-PlantInService'!H18</f>
        <v>424312247.26588607</v>
      </c>
      <c r="I18" s="229">
        <f>'6-PlantInService'!I18</f>
        <v>1413488437.2343235</v>
      </c>
      <c r="J18" s="229">
        <f>'6-PlantInService'!J18</f>
        <v>215400742.10586932</v>
      </c>
      <c r="K18" s="229">
        <f>'6-PlantInService'!K18</f>
        <v>59263830.266900092</v>
      </c>
      <c r="L18" s="229">
        <f>'6-PlantInService'!L18</f>
        <v>179183039.93185785</v>
      </c>
      <c r="M18" s="229">
        <f>'6-PlantInService'!M18</f>
        <v>9465580134.5578613</v>
      </c>
    </row>
    <row r="19" spans="1:14" ht="13">
      <c r="A19" s="549">
        <f t="shared" si="0"/>
        <v>8</v>
      </c>
      <c r="B19" s="1436" t="s">
        <v>2719</v>
      </c>
      <c r="C19" s="229">
        <f>'6-PlantInService'!C19</f>
        <v>88920673.787506893</v>
      </c>
      <c r="D19" s="229">
        <f>'6-PlantInService'!D19</f>
        <v>166969169.49106979</v>
      </c>
      <c r="E19" s="229">
        <f>'6-PlantInService'!E19</f>
        <v>794178462.83732998</v>
      </c>
      <c r="F19" s="229">
        <f>'6-PlantInService'!F19</f>
        <v>3845663688.413105</v>
      </c>
      <c r="G19" s="229">
        <f>'6-PlantInService'!G19</f>
        <v>2313723786.4311733</v>
      </c>
      <c r="H19" s="229">
        <f>'6-PlantInService'!H19</f>
        <v>425343146.44567668</v>
      </c>
      <c r="I19" s="229">
        <f>'6-PlantInService'!I19</f>
        <v>1414833019.4271023</v>
      </c>
      <c r="J19" s="229">
        <f>'6-PlantInService'!J19</f>
        <v>215403423.10418692</v>
      </c>
      <c r="K19" s="229">
        <f>'6-PlantInService'!K19</f>
        <v>59264176.487589054</v>
      </c>
      <c r="L19" s="229">
        <f>'6-PlantInService'!L19</f>
        <v>179250903.424485</v>
      </c>
      <c r="M19" s="229">
        <f>'6-PlantInService'!M19</f>
        <v>9503550449.8492241</v>
      </c>
    </row>
    <row r="20" spans="1:14" ht="13">
      <c r="A20" s="549">
        <f t="shared" si="0"/>
        <v>9</v>
      </c>
      <c r="B20" s="1436" t="s">
        <v>2720</v>
      </c>
      <c r="C20" s="229">
        <f>'6-PlantInService'!C20</f>
        <v>88920071.507506892</v>
      </c>
      <c r="D20" s="229">
        <f>'6-PlantInService'!D20</f>
        <v>166970879.58900836</v>
      </c>
      <c r="E20" s="229">
        <f>'6-PlantInService'!E20</f>
        <v>796501378.22452569</v>
      </c>
      <c r="F20" s="229">
        <f>'6-PlantInService'!F20</f>
        <v>3898562810.6727595</v>
      </c>
      <c r="G20" s="229">
        <f>'6-PlantInService'!G20</f>
        <v>2321211368.6332693</v>
      </c>
      <c r="H20" s="229">
        <f>'6-PlantInService'!H20</f>
        <v>424863667.44904679</v>
      </c>
      <c r="I20" s="229">
        <f>'6-PlantInService'!I20</f>
        <v>1414052510.9152007</v>
      </c>
      <c r="J20" s="229">
        <f>'6-PlantInService'!J20</f>
        <v>215406132.01264757</v>
      </c>
      <c r="K20" s="229">
        <f>'6-PlantInService'!K20</f>
        <v>59265582.683329627</v>
      </c>
      <c r="L20" s="229">
        <f>'6-PlantInService'!L20</f>
        <v>179209604.88069525</v>
      </c>
      <c r="M20" s="229">
        <f>'6-PlantInService'!M20</f>
        <v>9564964006.5679913</v>
      </c>
    </row>
    <row r="21" spans="1:14" ht="13">
      <c r="A21" s="549">
        <f t="shared" si="0"/>
        <v>10</v>
      </c>
      <c r="B21" s="1436" t="s">
        <v>2721</v>
      </c>
      <c r="C21" s="229">
        <f>'6-PlantInService'!C21</f>
        <v>88920071.617506891</v>
      </c>
      <c r="D21" s="229">
        <f>'6-PlantInService'!D21</f>
        <v>166982524.89501318</v>
      </c>
      <c r="E21" s="229">
        <f>'6-PlantInService'!E21</f>
        <v>799901216.59626353</v>
      </c>
      <c r="F21" s="229">
        <f>'6-PlantInService'!F21</f>
        <v>3912169017.295743</v>
      </c>
      <c r="G21" s="229">
        <f>'6-PlantInService'!G21</f>
        <v>2318768399.5329771</v>
      </c>
      <c r="H21" s="229">
        <f>'6-PlantInService'!H21</f>
        <v>426262752.07681221</v>
      </c>
      <c r="I21" s="229">
        <f>'6-PlantInService'!I21</f>
        <v>1413709717.7686784</v>
      </c>
      <c r="J21" s="229">
        <f>'6-PlantInService'!J21</f>
        <v>215410617.62585068</v>
      </c>
      <c r="K21" s="229">
        <f>'6-PlantInService'!K21</f>
        <v>59267114.308641575</v>
      </c>
      <c r="L21" s="229">
        <f>'6-PlantInService'!L21</f>
        <v>179111943.78944454</v>
      </c>
      <c r="M21" s="229">
        <f>'6-PlantInService'!M21</f>
        <v>9580503375.5069294</v>
      </c>
    </row>
    <row r="22" spans="1:14" ht="13">
      <c r="A22" s="549">
        <f t="shared" si="0"/>
        <v>11</v>
      </c>
      <c r="B22" s="1436" t="s">
        <v>2722</v>
      </c>
      <c r="C22" s="229">
        <f>'6-PlantInService'!C22</f>
        <v>88942153.917506918</v>
      </c>
      <c r="D22" s="229">
        <f>'6-PlantInService'!D22</f>
        <v>167007304.38528082</v>
      </c>
      <c r="E22" s="229">
        <f>'6-PlantInService'!E22</f>
        <v>802239738.13924849</v>
      </c>
      <c r="F22" s="229">
        <f>'6-PlantInService'!F22</f>
        <v>3917286472.4661717</v>
      </c>
      <c r="G22" s="229">
        <f>'6-PlantInService'!G22</f>
        <v>2298693752.5199437</v>
      </c>
      <c r="H22" s="229">
        <f>'6-PlantInService'!H22</f>
        <v>428529287.45462382</v>
      </c>
      <c r="I22" s="229">
        <f>'6-PlantInService'!I22</f>
        <v>1424762592.3306279</v>
      </c>
      <c r="J22" s="229">
        <f>'6-PlantInService'!J22</f>
        <v>215417102.26480165</v>
      </c>
      <c r="K22" s="229">
        <f>'6-PlantInService'!K22</f>
        <v>59270552.079089716</v>
      </c>
      <c r="L22" s="229">
        <f>'6-PlantInService'!L22</f>
        <v>192283678.2933422</v>
      </c>
      <c r="M22" s="229">
        <f>'6-PlantInService'!M22</f>
        <v>9594432633.8506374</v>
      </c>
    </row>
    <row r="23" spans="1:14" ht="13">
      <c r="A23" s="549">
        <f t="shared" si="0"/>
        <v>12</v>
      </c>
      <c r="B23" s="1436" t="s">
        <v>2723</v>
      </c>
      <c r="C23" s="229">
        <f>'6-PlantInService'!C23</f>
        <v>88945939.08750692</v>
      </c>
      <c r="D23" s="229">
        <f>'6-PlantInService'!D23</f>
        <v>167008481.21528083</v>
      </c>
      <c r="E23" s="229">
        <f>'6-PlantInService'!E23</f>
        <v>804793718.97257936</v>
      </c>
      <c r="F23" s="229">
        <f>'6-PlantInService'!F23</f>
        <v>3944218834.4683685</v>
      </c>
      <c r="G23" s="229">
        <f>'6-PlantInService'!G23</f>
        <v>2299336562.8785391</v>
      </c>
      <c r="H23" s="229">
        <f>'6-PlantInService'!H23</f>
        <v>429179961.39067507</v>
      </c>
      <c r="I23" s="229">
        <f>'6-PlantInService'!I23</f>
        <v>1425243572.5835612</v>
      </c>
      <c r="J23" s="229">
        <f>'6-PlantInService'!J23</f>
        <v>215420918.98423791</v>
      </c>
      <c r="K23" s="229">
        <f>'6-PlantInService'!K23</f>
        <v>59269675.758342721</v>
      </c>
      <c r="L23" s="229">
        <f>'6-PlantInService'!L23</f>
        <v>192079367.22132963</v>
      </c>
      <c r="M23" s="229">
        <f>'6-PlantInService'!M23</f>
        <v>9625497032.5604191</v>
      </c>
    </row>
    <row r="24" spans="1:14" ht="13">
      <c r="A24" s="549">
        <f t="shared" si="0"/>
        <v>13</v>
      </c>
      <c r="B24" s="1436" t="s">
        <v>2724</v>
      </c>
      <c r="C24" s="229">
        <f>'6-PlantInService'!C24</f>
        <v>88947677.147506893</v>
      </c>
      <c r="D24" s="229">
        <f>'6-PlantInService'!D24</f>
        <v>166997788.6995331</v>
      </c>
      <c r="E24" s="229">
        <f>'6-PlantInService'!E24</f>
        <v>804153066.44668055</v>
      </c>
      <c r="F24" s="229">
        <f>'6-PlantInService'!F24</f>
        <v>3951945554.2101927</v>
      </c>
      <c r="G24" s="229">
        <f>'6-PlantInService'!G24</f>
        <v>2302122819.4770331</v>
      </c>
      <c r="H24" s="229">
        <f>'6-PlantInService'!H24</f>
        <v>431972729.20086581</v>
      </c>
      <c r="I24" s="229">
        <f>'6-PlantInService'!I24</f>
        <v>1449635757.7995038</v>
      </c>
      <c r="J24" s="229">
        <f>'6-PlantInService'!J24</f>
        <v>215412775.95431966</v>
      </c>
      <c r="K24" s="229">
        <f>'6-PlantInService'!K24</f>
        <v>59261609.025810957</v>
      </c>
      <c r="L24" s="229">
        <f>'6-PlantInService'!L24</f>
        <v>192098212.92509732</v>
      </c>
      <c r="M24" s="229">
        <f>'6-PlantInService'!M24</f>
        <v>9662547990.8865414</v>
      </c>
    </row>
    <row r="25" spans="1:14" ht="13">
      <c r="A25" s="549">
        <f t="shared" si="0"/>
        <v>14</v>
      </c>
      <c r="B25" s="227"/>
      <c r="C25" s="227"/>
      <c r="D25" s="227"/>
      <c r="E25" s="227"/>
      <c r="F25" s="227"/>
      <c r="G25" s="227"/>
      <c r="H25" s="227"/>
      <c r="I25" s="227"/>
      <c r="J25" s="227"/>
      <c r="K25" s="227"/>
      <c r="L25" s="227"/>
      <c r="M25" s="227"/>
    </row>
    <row r="26" spans="1:14" ht="13">
      <c r="A26" s="549">
        <f t="shared" si="0"/>
        <v>15</v>
      </c>
      <c r="B26" s="611" t="s">
        <v>2454</v>
      </c>
      <c r="C26" s="235"/>
      <c r="D26" s="235"/>
      <c r="E26" s="235"/>
      <c r="F26" s="235"/>
      <c r="G26" s="235"/>
      <c r="H26" s="235"/>
      <c r="I26" s="227"/>
      <c r="J26" s="227"/>
      <c r="K26" s="227"/>
      <c r="L26" s="227"/>
      <c r="M26" s="227"/>
    </row>
    <row r="27" spans="1:14" ht="13">
      <c r="A27" s="549"/>
      <c r="B27" s="109"/>
      <c r="C27" s="235"/>
      <c r="D27" s="235"/>
      <c r="E27" s="235"/>
      <c r="F27" s="235"/>
      <c r="G27" s="227"/>
      <c r="H27" s="227"/>
      <c r="I27" s="227"/>
      <c r="J27" s="227"/>
      <c r="K27" s="227"/>
      <c r="L27" s="227"/>
      <c r="M27" s="227"/>
    </row>
    <row r="28" spans="1:14" ht="13">
      <c r="A28" s="549">
        <f>A26+1</f>
        <v>16</v>
      </c>
      <c r="B28" s="122" t="s">
        <v>1748</v>
      </c>
      <c r="C28" s="351">
        <v>350.1</v>
      </c>
      <c r="D28" s="351">
        <v>350.2</v>
      </c>
      <c r="E28" s="351">
        <v>352</v>
      </c>
      <c r="F28" s="351">
        <v>353</v>
      </c>
      <c r="G28" s="84">
        <v>354</v>
      </c>
      <c r="H28" s="84">
        <v>355</v>
      </c>
      <c r="I28" s="84">
        <v>356</v>
      </c>
      <c r="J28" s="84">
        <v>357</v>
      </c>
      <c r="K28" s="84">
        <v>358</v>
      </c>
      <c r="L28" s="84">
        <v>359</v>
      </c>
      <c r="M28" s="3"/>
    </row>
    <row r="29" spans="1:14" ht="13">
      <c r="A29" s="549" t="s">
        <v>2010</v>
      </c>
      <c r="B29" s="1436" t="s">
        <v>2712</v>
      </c>
      <c r="C29" s="1452">
        <v>0</v>
      </c>
      <c r="D29" s="1452">
        <v>1.66E-2</v>
      </c>
      <c r="E29" s="1452">
        <v>2.5700000000000001E-2</v>
      </c>
      <c r="F29" s="1452">
        <v>2.47E-2</v>
      </c>
      <c r="G29" s="1452">
        <v>2.4400000000000002E-2</v>
      </c>
      <c r="H29" s="1452">
        <v>3.6700000000000003E-2</v>
      </c>
      <c r="I29" s="1452">
        <v>3.0499999999999999E-2</v>
      </c>
      <c r="J29" s="1452">
        <v>1.6500000000000001E-2</v>
      </c>
      <c r="K29" s="1452">
        <v>3.8699999999999998E-2</v>
      </c>
      <c r="L29" s="1452">
        <v>1.5599999999999999E-2</v>
      </c>
      <c r="M29" s="227"/>
      <c r="N29" s="500"/>
    </row>
    <row r="30" spans="1:14" ht="13">
      <c r="A30" s="549" t="s">
        <v>2011</v>
      </c>
      <c r="B30" s="1436" t="s">
        <v>2713</v>
      </c>
      <c r="C30" s="1452">
        <v>0</v>
      </c>
      <c r="D30" s="1452">
        <v>1.66E-2</v>
      </c>
      <c r="E30" s="1452">
        <v>2.5700000000000001E-2</v>
      </c>
      <c r="F30" s="1452">
        <v>2.47E-2</v>
      </c>
      <c r="G30" s="1452">
        <v>2.4400000000000002E-2</v>
      </c>
      <c r="H30" s="1452">
        <v>3.6700000000000003E-2</v>
      </c>
      <c r="I30" s="1452">
        <v>3.0499999999999999E-2</v>
      </c>
      <c r="J30" s="1452">
        <v>1.6500000000000001E-2</v>
      </c>
      <c r="K30" s="1452">
        <v>3.8699999999999998E-2</v>
      </c>
      <c r="L30" s="1452">
        <v>1.5599999999999999E-2</v>
      </c>
      <c r="M30" s="227"/>
      <c r="N30" s="500"/>
    </row>
    <row r="31" spans="1:14" ht="13">
      <c r="A31" s="549" t="s">
        <v>2012</v>
      </c>
      <c r="B31" s="1436" t="s">
        <v>2714</v>
      </c>
      <c r="C31" s="1452">
        <v>0</v>
      </c>
      <c r="D31" s="1452">
        <v>1.66E-2</v>
      </c>
      <c r="E31" s="1452">
        <v>2.5700000000000001E-2</v>
      </c>
      <c r="F31" s="1452">
        <v>2.47E-2</v>
      </c>
      <c r="G31" s="1452">
        <v>2.4400000000000002E-2</v>
      </c>
      <c r="H31" s="1452">
        <v>3.6700000000000003E-2</v>
      </c>
      <c r="I31" s="1452">
        <v>3.0499999999999999E-2</v>
      </c>
      <c r="J31" s="1452">
        <v>1.6500000000000001E-2</v>
      </c>
      <c r="K31" s="1452">
        <v>3.8699999999999998E-2</v>
      </c>
      <c r="L31" s="1452">
        <v>1.5599999999999999E-2</v>
      </c>
      <c r="M31" s="227"/>
      <c r="N31" s="500"/>
    </row>
    <row r="32" spans="1:14" ht="13">
      <c r="A32" s="549" t="s">
        <v>2013</v>
      </c>
      <c r="B32" s="1436" t="s">
        <v>2715</v>
      </c>
      <c r="C32" s="1452">
        <v>0</v>
      </c>
      <c r="D32" s="1452">
        <v>1.66E-2</v>
      </c>
      <c r="E32" s="1452">
        <v>2.5700000000000001E-2</v>
      </c>
      <c r="F32" s="1452">
        <v>2.47E-2</v>
      </c>
      <c r="G32" s="1452">
        <v>2.4400000000000002E-2</v>
      </c>
      <c r="H32" s="1452">
        <v>3.6700000000000003E-2</v>
      </c>
      <c r="I32" s="1452">
        <v>3.0499999999999999E-2</v>
      </c>
      <c r="J32" s="1452">
        <v>1.6500000000000001E-2</v>
      </c>
      <c r="K32" s="1452">
        <v>3.8699999999999998E-2</v>
      </c>
      <c r="L32" s="1452">
        <v>1.5599999999999999E-2</v>
      </c>
      <c r="M32" s="227"/>
      <c r="N32" s="500"/>
    </row>
    <row r="33" spans="1:14" ht="13">
      <c r="A33" s="549" t="s">
        <v>2014</v>
      </c>
      <c r="B33" s="1436" t="s">
        <v>2716</v>
      </c>
      <c r="C33" s="1452">
        <v>0</v>
      </c>
      <c r="D33" s="1452">
        <v>1.66E-2</v>
      </c>
      <c r="E33" s="1452">
        <v>2.5700000000000001E-2</v>
      </c>
      <c r="F33" s="1452">
        <v>2.47E-2</v>
      </c>
      <c r="G33" s="1452">
        <v>2.4400000000000002E-2</v>
      </c>
      <c r="H33" s="1452">
        <v>3.6700000000000003E-2</v>
      </c>
      <c r="I33" s="1452">
        <v>3.0499999999999999E-2</v>
      </c>
      <c r="J33" s="1452">
        <v>1.6500000000000001E-2</v>
      </c>
      <c r="K33" s="1452">
        <v>3.8699999999999998E-2</v>
      </c>
      <c r="L33" s="1452">
        <v>1.5599999999999999E-2</v>
      </c>
      <c r="M33" s="227"/>
      <c r="N33" s="500"/>
    </row>
    <row r="34" spans="1:14" ht="13">
      <c r="A34" s="549" t="s">
        <v>2015</v>
      </c>
      <c r="B34" s="1436" t="s">
        <v>2717</v>
      </c>
      <c r="C34" s="1452">
        <v>0</v>
      </c>
      <c r="D34" s="1452">
        <v>1.66E-2</v>
      </c>
      <c r="E34" s="1452">
        <v>2.5700000000000001E-2</v>
      </c>
      <c r="F34" s="1452">
        <v>2.47E-2</v>
      </c>
      <c r="G34" s="1452">
        <v>2.4400000000000002E-2</v>
      </c>
      <c r="H34" s="1452">
        <v>3.6700000000000003E-2</v>
      </c>
      <c r="I34" s="1452">
        <v>3.0499999999999999E-2</v>
      </c>
      <c r="J34" s="1452">
        <v>1.6500000000000001E-2</v>
      </c>
      <c r="K34" s="1452">
        <v>3.8699999999999998E-2</v>
      </c>
      <c r="L34" s="1452">
        <v>1.5599999999999999E-2</v>
      </c>
      <c r="M34" s="227"/>
      <c r="N34" s="500"/>
    </row>
    <row r="35" spans="1:14" ht="13">
      <c r="A35" s="549" t="s">
        <v>2016</v>
      </c>
      <c r="B35" s="1436" t="s">
        <v>2718</v>
      </c>
      <c r="C35" s="1452">
        <v>0</v>
      </c>
      <c r="D35" s="1452">
        <v>1.66E-2</v>
      </c>
      <c r="E35" s="1452">
        <v>2.5700000000000001E-2</v>
      </c>
      <c r="F35" s="1452">
        <v>2.47E-2</v>
      </c>
      <c r="G35" s="1452">
        <v>2.4400000000000002E-2</v>
      </c>
      <c r="H35" s="1452">
        <v>3.6700000000000003E-2</v>
      </c>
      <c r="I35" s="1452">
        <v>3.0499999999999999E-2</v>
      </c>
      <c r="J35" s="1452">
        <v>1.6500000000000001E-2</v>
      </c>
      <c r="K35" s="1452">
        <v>3.8699999999999998E-2</v>
      </c>
      <c r="L35" s="1452">
        <v>1.5599999999999999E-2</v>
      </c>
      <c r="M35" s="227"/>
      <c r="N35" s="500"/>
    </row>
    <row r="36" spans="1:14" ht="13">
      <c r="A36" s="549" t="s">
        <v>2017</v>
      </c>
      <c r="B36" s="1436" t="s">
        <v>2719</v>
      </c>
      <c r="C36" s="1452">
        <v>0</v>
      </c>
      <c r="D36" s="1452">
        <v>1.66E-2</v>
      </c>
      <c r="E36" s="1452">
        <v>2.5700000000000001E-2</v>
      </c>
      <c r="F36" s="1452">
        <v>2.47E-2</v>
      </c>
      <c r="G36" s="1452">
        <v>2.4400000000000002E-2</v>
      </c>
      <c r="H36" s="1452">
        <v>3.6700000000000003E-2</v>
      </c>
      <c r="I36" s="1452">
        <v>3.0499999999999999E-2</v>
      </c>
      <c r="J36" s="1452">
        <v>1.6500000000000001E-2</v>
      </c>
      <c r="K36" s="1452">
        <v>3.8699999999999998E-2</v>
      </c>
      <c r="L36" s="1452">
        <v>1.5599999999999999E-2</v>
      </c>
      <c r="M36" s="227"/>
      <c r="N36" s="500"/>
    </row>
    <row r="37" spans="1:14" ht="13">
      <c r="A37" s="549" t="s">
        <v>2018</v>
      </c>
      <c r="B37" s="1436" t="s">
        <v>2720</v>
      </c>
      <c r="C37" s="1452">
        <v>0</v>
      </c>
      <c r="D37" s="1452">
        <v>1.66E-2</v>
      </c>
      <c r="E37" s="1452">
        <v>2.5700000000000001E-2</v>
      </c>
      <c r="F37" s="1452">
        <v>2.47E-2</v>
      </c>
      <c r="G37" s="1452">
        <v>2.4400000000000002E-2</v>
      </c>
      <c r="H37" s="1452">
        <v>3.6700000000000003E-2</v>
      </c>
      <c r="I37" s="1452">
        <v>3.0499999999999999E-2</v>
      </c>
      <c r="J37" s="1452">
        <v>1.6500000000000001E-2</v>
      </c>
      <c r="K37" s="1452">
        <v>3.8699999999999998E-2</v>
      </c>
      <c r="L37" s="1452">
        <v>1.5599999999999999E-2</v>
      </c>
      <c r="M37" s="227"/>
      <c r="N37" s="500"/>
    </row>
    <row r="38" spans="1:14" ht="13">
      <c r="A38" s="549" t="s">
        <v>2019</v>
      </c>
      <c r="B38" s="1436" t="s">
        <v>2721</v>
      </c>
      <c r="C38" s="1452">
        <v>0</v>
      </c>
      <c r="D38" s="1452">
        <v>1.66E-2</v>
      </c>
      <c r="E38" s="1452">
        <v>2.5700000000000001E-2</v>
      </c>
      <c r="F38" s="1452">
        <v>2.47E-2</v>
      </c>
      <c r="G38" s="1452">
        <v>2.4400000000000002E-2</v>
      </c>
      <c r="H38" s="1452">
        <v>3.6700000000000003E-2</v>
      </c>
      <c r="I38" s="1452">
        <v>3.0499999999999999E-2</v>
      </c>
      <c r="J38" s="1452">
        <v>1.6500000000000001E-2</v>
      </c>
      <c r="K38" s="1452">
        <v>3.8699999999999998E-2</v>
      </c>
      <c r="L38" s="1452">
        <v>1.5599999999999999E-2</v>
      </c>
      <c r="M38" s="227"/>
      <c r="N38" s="500"/>
    </row>
    <row r="39" spans="1:14" ht="13">
      <c r="A39" s="549" t="s">
        <v>2020</v>
      </c>
      <c r="B39" s="1436" t="s">
        <v>2722</v>
      </c>
      <c r="C39" s="1452">
        <v>0</v>
      </c>
      <c r="D39" s="1452">
        <v>1.66E-2</v>
      </c>
      <c r="E39" s="1452">
        <v>2.5700000000000001E-2</v>
      </c>
      <c r="F39" s="1452">
        <v>2.47E-2</v>
      </c>
      <c r="G39" s="1452">
        <v>2.4400000000000002E-2</v>
      </c>
      <c r="H39" s="1452">
        <v>3.6700000000000003E-2</v>
      </c>
      <c r="I39" s="1452">
        <v>3.0499999999999999E-2</v>
      </c>
      <c r="J39" s="1452">
        <v>1.6500000000000001E-2</v>
      </c>
      <c r="K39" s="1452">
        <v>3.8699999999999998E-2</v>
      </c>
      <c r="L39" s="1452">
        <v>1.5599999999999999E-2</v>
      </c>
      <c r="M39" s="227"/>
    </row>
    <row r="40" spans="1:14" ht="13">
      <c r="A40" s="549" t="s">
        <v>2021</v>
      </c>
      <c r="B40" s="1436" t="s">
        <v>2723</v>
      </c>
      <c r="C40" s="1452">
        <v>0</v>
      </c>
      <c r="D40" s="1452">
        <v>1.66E-2</v>
      </c>
      <c r="E40" s="1452">
        <v>2.5700000000000001E-2</v>
      </c>
      <c r="F40" s="1452">
        <v>2.47E-2</v>
      </c>
      <c r="G40" s="1452">
        <v>2.4400000000000002E-2</v>
      </c>
      <c r="H40" s="1452">
        <v>3.6700000000000003E-2</v>
      </c>
      <c r="I40" s="1452">
        <v>3.0499999999999999E-2</v>
      </c>
      <c r="J40" s="1452">
        <v>1.6500000000000001E-2</v>
      </c>
      <c r="K40" s="1452">
        <v>3.8699999999999998E-2</v>
      </c>
      <c r="L40" s="1452">
        <v>1.5599999999999999E-2</v>
      </c>
      <c r="M40" s="227"/>
    </row>
    <row r="41" spans="1:14" ht="13">
      <c r="A41" s="549" t="s">
        <v>2022</v>
      </c>
      <c r="B41" s="1436" t="s">
        <v>2724</v>
      </c>
      <c r="C41" s="1452">
        <v>0</v>
      </c>
      <c r="D41" s="1452">
        <v>1.66E-2</v>
      </c>
      <c r="E41" s="1452">
        <v>2.5700000000000001E-2</v>
      </c>
      <c r="F41" s="1452">
        <v>2.47E-2</v>
      </c>
      <c r="G41" s="1452">
        <v>2.4400000000000002E-2</v>
      </c>
      <c r="H41" s="1452">
        <v>3.6700000000000003E-2</v>
      </c>
      <c r="I41" s="1452">
        <v>3.0499999999999999E-2</v>
      </c>
      <c r="J41" s="1452">
        <v>1.6500000000000001E-2</v>
      </c>
      <c r="K41" s="1452">
        <v>3.8699999999999998E-2</v>
      </c>
      <c r="L41" s="1452">
        <v>1.5599999999999999E-2</v>
      </c>
      <c r="M41" s="227"/>
    </row>
    <row r="42" spans="1:14" ht="13">
      <c r="A42" s="549">
        <v>18</v>
      </c>
      <c r="C42" s="359"/>
      <c r="D42" s="359"/>
      <c r="E42" s="359"/>
      <c r="F42" s="359"/>
      <c r="G42" s="359"/>
      <c r="H42" s="359"/>
      <c r="I42" s="359"/>
      <c r="J42" s="359"/>
      <c r="K42" s="359"/>
      <c r="L42" s="359"/>
      <c r="M42" s="227"/>
    </row>
    <row r="43" spans="1:14" ht="13">
      <c r="A43" s="549">
        <f t="shared" si="0"/>
        <v>19</v>
      </c>
      <c r="B43" s="465" t="s">
        <v>965</v>
      </c>
      <c r="C43" s="236"/>
      <c r="D43" s="236"/>
      <c r="E43" s="236"/>
      <c r="F43" s="236"/>
      <c r="G43" s="500" t="s">
        <v>1683</v>
      </c>
      <c r="H43" s="236"/>
      <c r="I43" s="359"/>
      <c r="J43" s="359"/>
      <c r="K43" s="359"/>
      <c r="L43" s="359"/>
      <c r="M43" s="227"/>
    </row>
    <row r="44" spans="1:14" ht="13">
      <c r="A44" s="549">
        <f t="shared" si="0"/>
        <v>20</v>
      </c>
      <c r="B44" s="235"/>
      <c r="C44" s="235"/>
      <c r="D44" s="235"/>
      <c r="E44" s="235"/>
      <c r="F44" s="235"/>
      <c r="G44" s="235"/>
      <c r="H44" s="235"/>
      <c r="I44" s="227"/>
      <c r="J44" s="227"/>
      <c r="K44" s="227"/>
      <c r="L44" s="227"/>
      <c r="M44" s="227"/>
    </row>
    <row r="45" spans="1:14" ht="13">
      <c r="A45" s="549">
        <f t="shared" si="0"/>
        <v>21</v>
      </c>
      <c r="B45" s="109"/>
      <c r="C45" s="816" t="s">
        <v>12</v>
      </c>
      <c r="D45" s="235"/>
      <c r="E45" s="235"/>
      <c r="F45" s="235"/>
      <c r="G45" s="235"/>
      <c r="H45" s="235"/>
      <c r="I45" s="227"/>
      <c r="J45" s="227"/>
      <c r="K45" s="227"/>
      <c r="L45" s="227"/>
      <c r="M45" s="227"/>
    </row>
    <row r="46" spans="1:14" ht="13">
      <c r="A46" s="549">
        <f t="shared" si="0"/>
        <v>22</v>
      </c>
      <c r="B46" s="109"/>
      <c r="C46" s="816" t="s">
        <v>962</v>
      </c>
      <c r="D46" s="235"/>
      <c r="E46" s="235"/>
      <c r="F46" s="235"/>
      <c r="G46" s="235"/>
      <c r="H46" s="235"/>
      <c r="I46" s="227"/>
      <c r="J46" s="227"/>
      <c r="K46" s="227"/>
      <c r="L46" s="227"/>
      <c r="M46" s="549" t="s">
        <v>192</v>
      </c>
    </row>
    <row r="47" spans="1:14" ht="13">
      <c r="A47" s="549">
        <f t="shared" si="0"/>
        <v>23</v>
      </c>
      <c r="B47" s="122" t="s">
        <v>1748</v>
      </c>
      <c r="C47" s="351">
        <v>350.1</v>
      </c>
      <c r="D47" s="351">
        <v>350.2</v>
      </c>
      <c r="E47" s="351">
        <v>352</v>
      </c>
      <c r="F47" s="351">
        <v>353</v>
      </c>
      <c r="G47" s="351">
        <v>354</v>
      </c>
      <c r="H47" s="351">
        <v>355</v>
      </c>
      <c r="I47" s="351">
        <v>356</v>
      </c>
      <c r="J47" s="351">
        <v>357</v>
      </c>
      <c r="K47" s="351">
        <v>358</v>
      </c>
      <c r="L47" s="351">
        <v>359</v>
      </c>
      <c r="M47" s="122" t="s">
        <v>196</v>
      </c>
    </row>
    <row r="48" spans="1:14" ht="13">
      <c r="A48" s="549">
        <f t="shared" si="0"/>
        <v>24</v>
      </c>
      <c r="B48" s="1436" t="s">
        <v>2713</v>
      </c>
      <c r="C48" s="231">
        <f>C12*$C$30/12</f>
        <v>0</v>
      </c>
      <c r="D48" s="231">
        <f t="shared" ref="D48:D59" si="1">D12*$D30/12</f>
        <v>229263.38304774932</v>
      </c>
      <c r="E48" s="231">
        <f t="shared" ref="E48:E59" si="2">E12*$E30/12</f>
        <v>1587468.8067697342</v>
      </c>
      <c r="F48" s="231">
        <f t="shared" ref="F48:F59" si="3">F12*$F30/12</f>
        <v>7646572.8037617169</v>
      </c>
      <c r="G48" s="231">
        <f t="shared" ref="G48:G59" si="4">G12*$G30/12</f>
        <v>4687087.048275033</v>
      </c>
      <c r="H48" s="231">
        <f t="shared" ref="H48:H59" si="5">H12*$H30/12</f>
        <v>1247803.1167135027</v>
      </c>
      <c r="I48" s="231">
        <f t="shared" ref="I48:I59" si="6">I12*$I30/12</f>
        <v>3578700.2566933427</v>
      </c>
      <c r="J48" s="231">
        <f t="shared" ref="J48:J59" si="7">J12*$J30/12</f>
        <v>296131.96459880058</v>
      </c>
      <c r="K48" s="231">
        <f t="shared" ref="K48:K59" si="8">K12*$K30/12</f>
        <v>191086.29908034575</v>
      </c>
      <c r="L48" s="231">
        <f t="shared" ref="L48:L59" si="9">L12*$L30/12</f>
        <v>232897.07804094508</v>
      </c>
      <c r="M48" s="229">
        <f>SUM(C48:L48)</f>
        <v>19697010.756981175</v>
      </c>
    </row>
    <row r="49" spans="1:13" ht="13">
      <c r="A49" s="549">
        <f t="shared" si="0"/>
        <v>25</v>
      </c>
      <c r="B49" s="1436" t="s">
        <v>2714</v>
      </c>
      <c r="C49" s="231">
        <f>C13*$C$31/12</f>
        <v>0</v>
      </c>
      <c r="D49" s="231">
        <f t="shared" si="1"/>
        <v>230965.00331642103</v>
      </c>
      <c r="E49" s="231">
        <f t="shared" si="2"/>
        <v>1593359.286635984</v>
      </c>
      <c r="F49" s="231">
        <f t="shared" si="3"/>
        <v>7656774.2286531264</v>
      </c>
      <c r="G49" s="231">
        <f t="shared" si="4"/>
        <v>4685391.9583498808</v>
      </c>
      <c r="H49" s="231">
        <f t="shared" si="5"/>
        <v>1252838.2206907638</v>
      </c>
      <c r="I49" s="231">
        <f t="shared" si="6"/>
        <v>3583562.7167767989</v>
      </c>
      <c r="J49" s="231">
        <f t="shared" si="7"/>
        <v>296137.39489376912</v>
      </c>
      <c r="K49" s="231">
        <f t="shared" si="8"/>
        <v>191089.68318393777</v>
      </c>
      <c r="L49" s="231">
        <f t="shared" si="9"/>
        <v>232542.01880475049</v>
      </c>
      <c r="M49" s="229">
        <f t="shared" ref="M49:M59" si="10">SUM(C49:L49)</f>
        <v>19722660.511305436</v>
      </c>
    </row>
    <row r="50" spans="1:13" ht="13">
      <c r="A50" s="549">
        <f t="shared" si="0"/>
        <v>26</v>
      </c>
      <c r="B50" s="1436" t="s">
        <v>2715</v>
      </c>
      <c r="C50" s="231">
        <f>C14*$C$32/12</f>
        <v>0</v>
      </c>
      <c r="D50" s="231">
        <f t="shared" si="1"/>
        <v>230965.81646742101</v>
      </c>
      <c r="E50" s="231">
        <f t="shared" si="2"/>
        <v>1602099.3986572511</v>
      </c>
      <c r="F50" s="231">
        <f t="shared" si="3"/>
        <v>7714939.1745210299</v>
      </c>
      <c r="G50" s="231">
        <f t="shared" si="4"/>
        <v>4685290.9475725992</v>
      </c>
      <c r="H50" s="231">
        <f t="shared" si="5"/>
        <v>1258543.6018015805</v>
      </c>
      <c r="I50" s="231">
        <f t="shared" si="6"/>
        <v>3585763.0886135953</v>
      </c>
      <c r="J50" s="231">
        <f t="shared" si="7"/>
        <v>296143.50536661694</v>
      </c>
      <c r="K50" s="231">
        <f t="shared" si="8"/>
        <v>191093.36994173017</v>
      </c>
      <c r="L50" s="231">
        <f t="shared" si="9"/>
        <v>232681.81999791367</v>
      </c>
      <c r="M50" s="229">
        <f t="shared" si="10"/>
        <v>19797520.722939737</v>
      </c>
    </row>
    <row r="51" spans="1:13" ht="13">
      <c r="A51" s="549">
        <f t="shared" si="0"/>
        <v>27</v>
      </c>
      <c r="B51" s="1436" t="s">
        <v>2716</v>
      </c>
      <c r="C51" s="231">
        <f>C15*$C$33/12</f>
        <v>0</v>
      </c>
      <c r="D51" s="231">
        <f t="shared" si="1"/>
        <v>230973.40606856401</v>
      </c>
      <c r="E51" s="231">
        <f t="shared" si="2"/>
        <v>1608212.0796579414</v>
      </c>
      <c r="F51" s="231">
        <f t="shared" si="3"/>
        <v>7736826.4744952666</v>
      </c>
      <c r="G51" s="231">
        <f t="shared" si="4"/>
        <v>4686831.9355508713</v>
      </c>
      <c r="H51" s="231">
        <f t="shared" si="5"/>
        <v>1265494.0232905687</v>
      </c>
      <c r="I51" s="231">
        <f t="shared" si="6"/>
        <v>3588521.3409075998</v>
      </c>
      <c r="J51" s="231">
        <f t="shared" si="7"/>
        <v>296155.12683449307</v>
      </c>
      <c r="K51" s="231">
        <f t="shared" si="8"/>
        <v>191114.73251453074</v>
      </c>
      <c r="L51" s="231">
        <f t="shared" si="9"/>
        <v>232639.06956975721</v>
      </c>
      <c r="M51" s="229">
        <f t="shared" si="10"/>
        <v>19836768.188889593</v>
      </c>
    </row>
    <row r="52" spans="1:13" ht="13">
      <c r="A52" s="549">
        <f t="shared" si="0"/>
        <v>28</v>
      </c>
      <c r="B52" s="1436" t="s">
        <v>2717</v>
      </c>
      <c r="C52" s="231">
        <f>C16*$C$34/12</f>
        <v>0</v>
      </c>
      <c r="D52" s="231">
        <f t="shared" si="1"/>
        <v>230974.60661801358</v>
      </c>
      <c r="E52" s="231">
        <f t="shared" si="2"/>
        <v>1623777.2624270357</v>
      </c>
      <c r="F52" s="231">
        <f t="shared" si="3"/>
        <v>7757245.414160124</v>
      </c>
      <c r="G52" s="231">
        <f t="shared" si="4"/>
        <v>4694441.3498998545</v>
      </c>
      <c r="H52" s="231">
        <f t="shared" si="5"/>
        <v>1268782.6230913573</v>
      </c>
      <c r="I52" s="231">
        <f t="shared" si="6"/>
        <v>3591774.2328434647</v>
      </c>
      <c r="J52" s="231">
        <f t="shared" si="7"/>
        <v>296168.12648965552</v>
      </c>
      <c r="K52" s="231">
        <f t="shared" si="8"/>
        <v>191108.09268810527</v>
      </c>
      <c r="L52" s="231">
        <f t="shared" si="9"/>
        <v>232599.33635756897</v>
      </c>
      <c r="M52" s="229">
        <f t="shared" si="10"/>
        <v>19886871.044575177</v>
      </c>
    </row>
    <row r="53" spans="1:13" ht="13">
      <c r="A53" s="549">
        <f t="shared" si="0"/>
        <v>29</v>
      </c>
      <c r="B53" s="1436" t="s">
        <v>2718</v>
      </c>
      <c r="C53" s="231">
        <f>C17*$C$35/12</f>
        <v>0</v>
      </c>
      <c r="D53" s="231">
        <f t="shared" si="1"/>
        <v>230971.99510872041</v>
      </c>
      <c r="E53" s="231">
        <f t="shared" si="2"/>
        <v>1663986.9253602254</v>
      </c>
      <c r="F53" s="231">
        <f t="shared" si="3"/>
        <v>7817576.3348678453</v>
      </c>
      <c r="G53" s="231">
        <f t="shared" si="4"/>
        <v>4694678.6720042331</v>
      </c>
      <c r="H53" s="231">
        <f t="shared" si="5"/>
        <v>1270558.04388973</v>
      </c>
      <c r="I53" s="231">
        <f t="shared" si="6"/>
        <v>3592499.3599674962</v>
      </c>
      <c r="J53" s="231">
        <f t="shared" si="7"/>
        <v>296170.08180599468</v>
      </c>
      <c r="K53" s="231">
        <f t="shared" si="8"/>
        <v>191109.48633510826</v>
      </c>
      <c r="L53" s="231">
        <f t="shared" si="9"/>
        <v>232612.80944995544</v>
      </c>
      <c r="M53" s="229">
        <f t="shared" si="10"/>
        <v>19990163.708789311</v>
      </c>
    </row>
    <row r="54" spans="1:13" ht="13">
      <c r="A54" s="549">
        <f t="shared" si="0"/>
        <v>30</v>
      </c>
      <c r="B54" s="1436" t="s">
        <v>2719</v>
      </c>
      <c r="C54" s="231">
        <f>C18*$C$36/12</f>
        <v>0</v>
      </c>
      <c r="D54" s="231">
        <f t="shared" si="1"/>
        <v>230972.95478731324</v>
      </c>
      <c r="E54" s="231">
        <f t="shared" si="2"/>
        <v>1648570.8387045001</v>
      </c>
      <c r="F54" s="231">
        <f t="shared" si="3"/>
        <v>7894893.8424764797</v>
      </c>
      <c r="G54" s="231">
        <f t="shared" si="4"/>
        <v>4702523.7488973839</v>
      </c>
      <c r="H54" s="231">
        <f t="shared" si="5"/>
        <v>1297688.2895548351</v>
      </c>
      <c r="I54" s="231">
        <f t="shared" si="6"/>
        <v>3592616.444637239</v>
      </c>
      <c r="J54" s="231">
        <f t="shared" si="7"/>
        <v>296176.02039557032</v>
      </c>
      <c r="K54" s="231">
        <f t="shared" si="8"/>
        <v>191125.8526107528</v>
      </c>
      <c r="L54" s="231">
        <f t="shared" si="9"/>
        <v>232937.95191141521</v>
      </c>
      <c r="M54" s="229">
        <f t="shared" si="10"/>
        <v>20087505.94397549</v>
      </c>
    </row>
    <row r="55" spans="1:13" ht="13">
      <c r="A55" s="549">
        <f t="shared" si="0"/>
        <v>31</v>
      </c>
      <c r="B55" s="1436" t="s">
        <v>2720</v>
      </c>
      <c r="C55" s="231">
        <f>C19*$C$37/12</f>
        <v>0</v>
      </c>
      <c r="D55" s="231">
        <f t="shared" si="1"/>
        <v>230974.01779597989</v>
      </c>
      <c r="E55" s="231">
        <f t="shared" si="2"/>
        <v>1700865.5412432819</v>
      </c>
      <c r="F55" s="231">
        <f t="shared" si="3"/>
        <v>7915657.7586503075</v>
      </c>
      <c r="G55" s="231">
        <f t="shared" si="4"/>
        <v>4704571.6990767196</v>
      </c>
      <c r="H55" s="231">
        <f t="shared" si="5"/>
        <v>1300841.1228796947</v>
      </c>
      <c r="I55" s="231">
        <f t="shared" si="6"/>
        <v>3596033.9243772184</v>
      </c>
      <c r="J55" s="231">
        <f t="shared" si="7"/>
        <v>296179.70676825702</v>
      </c>
      <c r="K55" s="231">
        <f t="shared" si="8"/>
        <v>191126.9691724747</v>
      </c>
      <c r="L55" s="231">
        <f t="shared" si="9"/>
        <v>233026.17445183048</v>
      </c>
      <c r="M55" s="229">
        <f t="shared" si="10"/>
        <v>20169276.914415766</v>
      </c>
    </row>
    <row r="56" spans="1:13" ht="13">
      <c r="A56" s="549">
        <f t="shared" si="0"/>
        <v>32</v>
      </c>
      <c r="B56" s="1436" t="s">
        <v>2721</v>
      </c>
      <c r="C56" s="231">
        <f>C20*$C$38/12</f>
        <v>0</v>
      </c>
      <c r="D56" s="231">
        <f t="shared" si="1"/>
        <v>230976.38343146155</v>
      </c>
      <c r="E56" s="231">
        <f t="shared" si="2"/>
        <v>1705840.4516975258</v>
      </c>
      <c r="F56" s="231">
        <f t="shared" si="3"/>
        <v>8024541.7853014292</v>
      </c>
      <c r="G56" s="231">
        <f t="shared" si="4"/>
        <v>4719796.4495543148</v>
      </c>
      <c r="H56" s="231">
        <f t="shared" si="5"/>
        <v>1299374.7162816683</v>
      </c>
      <c r="I56" s="231">
        <f t="shared" si="6"/>
        <v>3594050.1319094687</v>
      </c>
      <c r="J56" s="231">
        <f t="shared" si="7"/>
        <v>296183.43151739042</v>
      </c>
      <c r="K56" s="231">
        <f t="shared" si="8"/>
        <v>191131.50415373803</v>
      </c>
      <c r="L56" s="231">
        <f t="shared" si="9"/>
        <v>232972.48634490382</v>
      </c>
      <c r="M56" s="229">
        <f t="shared" si="10"/>
        <v>20294867.340191901</v>
      </c>
    </row>
    <row r="57" spans="1:13" ht="13">
      <c r="A57" s="549">
        <f t="shared" si="0"/>
        <v>33</v>
      </c>
      <c r="B57" s="1436" t="s">
        <v>2722</v>
      </c>
      <c r="C57" s="231">
        <f>C21*$C$39/12</f>
        <v>0</v>
      </c>
      <c r="D57" s="231">
        <f t="shared" si="1"/>
        <v>230992.49277143492</v>
      </c>
      <c r="E57" s="231">
        <f t="shared" si="2"/>
        <v>1713121.7722103309</v>
      </c>
      <c r="F57" s="231">
        <f t="shared" si="3"/>
        <v>8052547.8939337367</v>
      </c>
      <c r="G57" s="231">
        <f t="shared" si="4"/>
        <v>4714829.0790503873</v>
      </c>
      <c r="H57" s="231">
        <f t="shared" si="5"/>
        <v>1303653.5834349175</v>
      </c>
      <c r="I57" s="231">
        <f t="shared" si="6"/>
        <v>3593178.8659953908</v>
      </c>
      <c r="J57" s="231">
        <f t="shared" si="7"/>
        <v>296189.59923554468</v>
      </c>
      <c r="K57" s="231">
        <f t="shared" si="8"/>
        <v>191136.44364536906</v>
      </c>
      <c r="L57" s="231">
        <f t="shared" si="9"/>
        <v>232845.5269262779</v>
      </c>
      <c r="M57" s="229">
        <f t="shared" si="10"/>
        <v>20328495.257203393</v>
      </c>
    </row>
    <row r="58" spans="1:13" ht="13">
      <c r="A58" s="549">
        <f t="shared" si="0"/>
        <v>34</v>
      </c>
      <c r="B58" s="1436" t="s">
        <v>2723</v>
      </c>
      <c r="C58" s="231">
        <f>C22*$C$40/12</f>
        <v>0</v>
      </c>
      <c r="D58" s="231">
        <f t="shared" si="1"/>
        <v>231026.77106630514</v>
      </c>
      <c r="E58" s="231">
        <f t="shared" si="2"/>
        <v>1718130.1058482239</v>
      </c>
      <c r="F58" s="231">
        <f t="shared" si="3"/>
        <v>8063081.3224928705</v>
      </c>
      <c r="G58" s="231">
        <f t="shared" si="4"/>
        <v>4674010.6301238863</v>
      </c>
      <c r="H58" s="231">
        <f t="shared" si="5"/>
        <v>1310585.4041320579</v>
      </c>
      <c r="I58" s="231">
        <f t="shared" si="6"/>
        <v>3621271.5888403463</v>
      </c>
      <c r="J58" s="231">
        <f t="shared" si="7"/>
        <v>296198.5156141023</v>
      </c>
      <c r="K58" s="231">
        <f t="shared" si="8"/>
        <v>191147.53045506435</v>
      </c>
      <c r="L58" s="231">
        <f t="shared" si="9"/>
        <v>249968.78178134488</v>
      </c>
      <c r="M58" s="229">
        <f t="shared" si="10"/>
        <v>20355420.650354203</v>
      </c>
    </row>
    <row r="59" spans="1:13" ht="13">
      <c r="A59" s="549">
        <f t="shared" si="0"/>
        <v>35</v>
      </c>
      <c r="B59" s="1436" t="s">
        <v>2724</v>
      </c>
      <c r="C59" s="445">
        <f>C23*$C$41/12</f>
        <v>0</v>
      </c>
      <c r="D59" s="445">
        <f t="shared" si="1"/>
        <v>231028.39901447183</v>
      </c>
      <c r="E59" s="445">
        <f t="shared" si="2"/>
        <v>1723599.8814662741</v>
      </c>
      <c r="F59" s="445">
        <f t="shared" si="3"/>
        <v>8118517.1009473912</v>
      </c>
      <c r="G59" s="445">
        <f t="shared" si="4"/>
        <v>4675317.6778530302</v>
      </c>
      <c r="H59" s="445">
        <f t="shared" si="5"/>
        <v>1312575.3819198147</v>
      </c>
      <c r="I59" s="445">
        <f t="shared" si="6"/>
        <v>3622494.080316551</v>
      </c>
      <c r="J59" s="445">
        <f t="shared" si="7"/>
        <v>296203.76360332716</v>
      </c>
      <c r="K59" s="445">
        <f t="shared" si="8"/>
        <v>191144.70432065529</v>
      </c>
      <c r="L59" s="445">
        <f t="shared" si="9"/>
        <v>249703.1773877285</v>
      </c>
      <c r="M59" s="91">
        <f t="shared" si="10"/>
        <v>20420584.16682924</v>
      </c>
    </row>
    <row r="60" spans="1:13" ht="13">
      <c r="A60" s="549">
        <f t="shared" si="0"/>
        <v>36</v>
      </c>
      <c r="B60" s="228" t="s">
        <v>197</v>
      </c>
      <c r="C60" s="229">
        <f>SUM(C48:C59)</f>
        <v>0</v>
      </c>
      <c r="D60" s="229">
        <f t="shared" ref="D60:K60" si="11">SUM(D48:D59)</f>
        <v>2770085.2294938564</v>
      </c>
      <c r="E60" s="229">
        <f t="shared" si="11"/>
        <v>19889032.35067831</v>
      </c>
      <c r="F60" s="229">
        <f t="shared" si="11"/>
        <v>94399174.134261325</v>
      </c>
      <c r="G60" s="229">
        <f t="shared" si="11"/>
        <v>56324771.196208194</v>
      </c>
      <c r="H60" s="229">
        <f>SUM(H48:H59)</f>
        <v>15388738.12768049</v>
      </c>
      <c r="I60" s="229">
        <f t="shared" si="11"/>
        <v>43140466.031878509</v>
      </c>
      <c r="J60" s="229">
        <f t="shared" si="11"/>
        <v>3554037.237123522</v>
      </c>
      <c r="K60" s="229">
        <f t="shared" si="11"/>
        <v>2293414.6681018118</v>
      </c>
      <c r="L60" s="229">
        <f>SUM(L48:L59)</f>
        <v>2827426.231024391</v>
      </c>
      <c r="M60" s="7"/>
    </row>
    <row r="61" spans="1:13" ht="13">
      <c r="A61" s="549">
        <f t="shared" si="0"/>
        <v>37</v>
      </c>
      <c r="B61" s="227"/>
      <c r="C61" s="227"/>
      <c r="D61" s="227"/>
      <c r="E61" s="227"/>
      <c r="F61" s="227"/>
      <c r="G61" s="227"/>
      <c r="H61" s="227"/>
      <c r="I61" s="227"/>
      <c r="J61" s="227"/>
      <c r="K61" s="227"/>
      <c r="L61" s="461" t="s">
        <v>967</v>
      </c>
      <c r="M61" s="229">
        <f>SUM(M48:M59)</f>
        <v>240587145.20645043</v>
      </c>
    </row>
    <row r="62" spans="1:13" ht="13">
      <c r="A62" s="549">
        <f t="shared" si="0"/>
        <v>38</v>
      </c>
      <c r="B62" s="227"/>
      <c r="C62" s="227"/>
      <c r="D62" s="227"/>
      <c r="E62" s="227"/>
      <c r="F62" s="227"/>
      <c r="G62" s="227"/>
      <c r="H62" s="227"/>
      <c r="I62" s="227"/>
      <c r="J62" s="227"/>
      <c r="K62" s="227"/>
      <c r="L62" s="701" t="s">
        <v>968</v>
      </c>
      <c r="M62" s="227"/>
    </row>
    <row r="63" spans="1:13" ht="13">
      <c r="A63" s="549">
        <f t="shared" si="0"/>
        <v>39</v>
      </c>
      <c r="B63" s="1" t="s">
        <v>1004</v>
      </c>
      <c r="C63" s="227"/>
      <c r="D63" s="227"/>
      <c r="E63" s="227"/>
      <c r="F63" s="227"/>
      <c r="G63" s="227"/>
      <c r="H63" s="227"/>
      <c r="I63" s="227"/>
      <c r="J63" s="227"/>
      <c r="K63" s="227"/>
      <c r="L63" s="227"/>
      <c r="M63" s="227"/>
    </row>
    <row r="64" spans="1:13" ht="13">
      <c r="A64" s="549">
        <f t="shared" si="0"/>
        <v>40</v>
      </c>
      <c r="B64" s="227"/>
      <c r="C64" s="227"/>
      <c r="D64" s="227"/>
      <c r="E64" s="227"/>
      <c r="F64" s="227"/>
      <c r="G64" s="227"/>
      <c r="H64" s="227"/>
      <c r="I64" s="227"/>
      <c r="J64" s="227"/>
      <c r="K64" s="227"/>
      <c r="L64" s="227"/>
      <c r="M64" s="227"/>
    </row>
    <row r="65" spans="1:13" ht="13">
      <c r="A65" s="549">
        <f t="shared" si="0"/>
        <v>41</v>
      </c>
      <c r="B65" s="227"/>
      <c r="C65" s="227"/>
      <c r="D65" s="84">
        <v>360</v>
      </c>
      <c r="E65" s="84">
        <v>361</v>
      </c>
      <c r="F65" s="84">
        <v>362</v>
      </c>
      <c r="G65" s="227"/>
      <c r="H65" s="51" t="s">
        <v>179</v>
      </c>
      <c r="I65" s="3"/>
      <c r="J65" s="227"/>
      <c r="K65" s="227"/>
      <c r="L65" s="227"/>
      <c r="M65" s="227"/>
    </row>
    <row r="66" spans="1:13" ht="13">
      <c r="A66" s="549">
        <f t="shared" si="0"/>
        <v>42</v>
      </c>
      <c r="B66" s="463" t="s">
        <v>1005</v>
      </c>
      <c r="C66" s="227"/>
      <c r="D66" s="231">
        <f>'6-PlantInService'!C35</f>
        <v>0</v>
      </c>
      <c r="E66" s="231">
        <f>'6-PlantInService'!D35</f>
        <v>0</v>
      </c>
      <c r="F66" s="231">
        <f>'6-PlantInService'!E35</f>
        <v>0</v>
      </c>
      <c r="G66" s="235"/>
      <c r="H66" s="465" t="s">
        <v>2171</v>
      </c>
      <c r="I66" s="462"/>
      <c r="J66" s="227"/>
      <c r="K66" s="227"/>
      <c r="L66" s="227"/>
      <c r="M66" s="227"/>
    </row>
    <row r="67" spans="1:13" ht="13">
      <c r="A67" s="549">
        <f t="shared" si="0"/>
        <v>43</v>
      </c>
      <c r="B67" s="463" t="s">
        <v>1006</v>
      </c>
      <c r="C67" s="227"/>
      <c r="D67" s="445">
        <f>'6-PlantInService'!C36</f>
        <v>0</v>
      </c>
      <c r="E67" s="445">
        <f>'6-PlantInService'!D36</f>
        <v>0</v>
      </c>
      <c r="F67" s="445">
        <f>'6-PlantInService'!E36</f>
        <v>0</v>
      </c>
      <c r="G67" s="235"/>
      <c r="H67" s="465" t="s">
        <v>2172</v>
      </c>
      <c r="I67" s="235"/>
      <c r="J67" s="227"/>
      <c r="K67" s="227"/>
      <c r="M67" s="227"/>
    </row>
    <row r="68" spans="1:13" ht="13">
      <c r="A68" s="549">
        <f t="shared" si="0"/>
        <v>44</v>
      </c>
      <c r="B68" s="463" t="s">
        <v>1007</v>
      </c>
      <c r="C68" s="227"/>
      <c r="D68" s="231">
        <f>AVERAGE(D66:D67)</f>
        <v>0</v>
      </c>
      <c r="E68" s="231">
        <f>AVERAGE(E66:E67)</f>
        <v>0</v>
      </c>
      <c r="F68" s="231">
        <f>AVERAGE(F66:F67)</f>
        <v>0</v>
      </c>
      <c r="G68" s="235"/>
      <c r="H68" s="876"/>
      <c r="I68" s="467"/>
      <c r="J68" s="227"/>
      <c r="K68" s="227"/>
      <c r="M68" s="227"/>
    </row>
    <row r="69" spans="1:13" ht="13">
      <c r="A69" s="549">
        <f t="shared" si="0"/>
        <v>45</v>
      </c>
      <c r="D69" s="14"/>
      <c r="E69" s="14"/>
      <c r="F69" s="14"/>
      <c r="G69" s="14"/>
      <c r="H69" s="14"/>
      <c r="J69" s="227"/>
      <c r="K69" s="227"/>
      <c r="M69" s="227"/>
    </row>
    <row r="70" spans="1:13" ht="13">
      <c r="A70" s="549">
        <f t="shared" si="0"/>
        <v>46</v>
      </c>
      <c r="B70" s="611" t="s">
        <v>1766</v>
      </c>
      <c r="C70" s="227"/>
      <c r="D70" s="235"/>
      <c r="E70" s="235"/>
      <c r="F70" s="14"/>
      <c r="G70" s="14"/>
      <c r="H70" s="14"/>
      <c r="J70" s="235"/>
      <c r="K70" s="235"/>
      <c r="L70" s="231"/>
      <c r="M70" s="227"/>
    </row>
    <row r="71" spans="1:13" ht="13">
      <c r="A71" s="549">
        <f t="shared" si="0"/>
        <v>47</v>
      </c>
      <c r="B71" s="227"/>
      <c r="D71" s="351">
        <v>360</v>
      </c>
      <c r="E71" s="351">
        <v>361</v>
      </c>
      <c r="F71" s="351">
        <v>362</v>
      </c>
      <c r="G71" s="14"/>
      <c r="H71" s="14"/>
      <c r="J71" s="235"/>
      <c r="K71" s="235"/>
      <c r="L71" s="231"/>
      <c r="M71" s="227"/>
    </row>
    <row r="72" spans="1:13" ht="13">
      <c r="A72" s="549">
        <f t="shared" si="0"/>
        <v>48</v>
      </c>
      <c r="D72" s="236">
        <f>'18-DepRates'!$G20</f>
        <v>1.67E-2</v>
      </c>
      <c r="E72" s="236">
        <f>'18-DepRates'!$G21</f>
        <v>2.2700000000000001E-2</v>
      </c>
      <c r="F72" s="236">
        <f>'18-DepRates'!$G22</f>
        <v>1.9E-2</v>
      </c>
      <c r="G72" s="14"/>
      <c r="H72" s="14"/>
      <c r="J72" s="235"/>
      <c r="K72" s="235"/>
      <c r="L72" s="231"/>
      <c r="M72" s="227"/>
    </row>
    <row r="73" spans="1:13" ht="13">
      <c r="A73" s="549">
        <f t="shared" si="0"/>
        <v>49</v>
      </c>
      <c r="D73" s="14"/>
      <c r="E73" s="14"/>
      <c r="F73" s="14"/>
      <c r="G73" s="14"/>
      <c r="H73" s="14"/>
      <c r="J73" s="235"/>
      <c r="K73" s="235"/>
      <c r="L73" s="110"/>
      <c r="M73" s="227"/>
    </row>
    <row r="74" spans="1:13" ht="13">
      <c r="A74" s="549">
        <f t="shared" si="0"/>
        <v>50</v>
      </c>
      <c r="B74" t="s">
        <v>361</v>
      </c>
      <c r="D74" s="14"/>
      <c r="E74" s="14"/>
      <c r="F74" s="465" t="s">
        <v>1684</v>
      </c>
      <c r="G74" s="14"/>
      <c r="H74" s="14"/>
      <c r="J74" s="235"/>
      <c r="K74" s="235"/>
      <c r="L74" s="236"/>
      <c r="M74" s="227"/>
    </row>
    <row r="75" spans="1:13" ht="13">
      <c r="A75" s="549">
        <f t="shared" si="0"/>
        <v>51</v>
      </c>
      <c r="J75" s="235"/>
      <c r="K75" s="235"/>
      <c r="L75" s="236"/>
      <c r="M75" s="227"/>
    </row>
    <row r="76" spans="1:13" ht="13">
      <c r="A76" s="549">
        <f t="shared" si="0"/>
        <v>52</v>
      </c>
      <c r="D76" s="84">
        <v>360</v>
      </c>
      <c r="E76" s="84">
        <v>361</v>
      </c>
      <c r="F76" s="84">
        <v>362</v>
      </c>
      <c r="G76" s="361" t="s">
        <v>196</v>
      </c>
      <c r="J76" s="235"/>
      <c r="K76" s="235"/>
      <c r="L76" s="236"/>
      <c r="M76" s="227"/>
    </row>
    <row r="77" spans="1:13" ht="13">
      <c r="A77" s="549">
        <f t="shared" ref="A77:A90" si="12">A76+1</f>
        <v>53</v>
      </c>
      <c r="D77" s="7">
        <f xml:space="preserve"> D68*D72</f>
        <v>0</v>
      </c>
      <c r="E77" s="7">
        <f xml:space="preserve"> E68*E72</f>
        <v>0</v>
      </c>
      <c r="F77" s="7">
        <f xml:space="preserve"> F68*F72</f>
        <v>0</v>
      </c>
      <c r="G77" s="7">
        <f>SUM(D77:F77)</f>
        <v>0</v>
      </c>
      <c r="H77" s="16" t="s">
        <v>1008</v>
      </c>
      <c r="J77" s="235"/>
      <c r="K77" s="235"/>
      <c r="L77" s="231"/>
      <c r="M77" s="227"/>
    </row>
    <row r="78" spans="1:13" ht="13">
      <c r="A78" s="549">
        <f t="shared" si="12"/>
        <v>54</v>
      </c>
      <c r="H78" s="16" t="s">
        <v>1009</v>
      </c>
      <c r="J78" s="235"/>
      <c r="K78" s="235"/>
      <c r="L78" s="235"/>
      <c r="M78" s="227"/>
    </row>
    <row r="79" spans="1:13" ht="13">
      <c r="A79" s="549">
        <f t="shared" si="12"/>
        <v>55</v>
      </c>
      <c r="J79" s="235"/>
      <c r="K79" s="235"/>
      <c r="L79" s="235"/>
      <c r="M79" s="227"/>
    </row>
    <row r="80" spans="1:13" ht="13">
      <c r="A80" s="549">
        <f t="shared" si="12"/>
        <v>56</v>
      </c>
      <c r="B80" s="1" t="s">
        <v>1010</v>
      </c>
      <c r="J80" s="235"/>
      <c r="K80" s="235"/>
      <c r="L80" s="235"/>
      <c r="M80" s="227"/>
    </row>
    <row r="81" spans="1:13" ht="13">
      <c r="A81" s="549">
        <f t="shared" si="12"/>
        <v>57</v>
      </c>
      <c r="B81" s="227"/>
      <c r="C81" s="227"/>
      <c r="D81" s="227"/>
      <c r="E81" s="227"/>
      <c r="F81" s="227"/>
      <c r="G81" s="227"/>
      <c r="H81" s="227"/>
      <c r="I81" s="227"/>
      <c r="J81" s="227"/>
      <c r="K81" s="227"/>
      <c r="L81" s="227"/>
      <c r="M81" s="227"/>
    </row>
    <row r="82" spans="1:13" ht="13">
      <c r="A82" s="549">
        <f t="shared" si="12"/>
        <v>58</v>
      </c>
      <c r="B82" s="533" t="s">
        <v>969</v>
      </c>
      <c r="C82" s="227"/>
      <c r="D82" s="227"/>
      <c r="E82" s="227"/>
      <c r="F82" s="227"/>
      <c r="G82" s="227"/>
      <c r="H82" s="362">
        <v>260971645</v>
      </c>
      <c r="I82" s="467" t="s">
        <v>971</v>
      </c>
      <c r="J82" s="227"/>
      <c r="K82" s="227"/>
      <c r="L82" s="227"/>
      <c r="M82" s="227"/>
    </row>
    <row r="83" spans="1:13" ht="13">
      <c r="A83" s="549">
        <f t="shared" si="12"/>
        <v>59</v>
      </c>
      <c r="B83" s="463" t="s">
        <v>970</v>
      </c>
      <c r="C83" s="227"/>
      <c r="D83" s="227"/>
      <c r="E83" s="227"/>
      <c r="F83" s="227"/>
      <c r="G83" s="227"/>
      <c r="H83" s="99">
        <v>223300352</v>
      </c>
      <c r="I83" s="467" t="s">
        <v>972</v>
      </c>
      <c r="J83" s="227"/>
      <c r="K83" s="227"/>
      <c r="L83" s="227"/>
      <c r="M83" s="227"/>
    </row>
    <row r="84" spans="1:13" ht="13">
      <c r="A84" s="549">
        <f t="shared" si="12"/>
        <v>60</v>
      </c>
      <c r="B84" s="533" t="s">
        <v>973</v>
      </c>
      <c r="C84" s="227"/>
      <c r="D84" s="227"/>
      <c r="E84" s="227"/>
      <c r="F84" s="227"/>
      <c r="G84" s="227"/>
      <c r="H84" s="229">
        <f>SUM(H82:H83)</f>
        <v>484271997</v>
      </c>
      <c r="I84" s="462" t="str">
        <f>"Line "&amp;A82&amp;" + Line "&amp;A83&amp;""</f>
        <v>Line 58 + Line 59</v>
      </c>
      <c r="J84" s="235"/>
      <c r="K84" s="227"/>
      <c r="L84" s="227"/>
      <c r="M84" s="227"/>
    </row>
    <row r="85" spans="1:13" ht="13">
      <c r="A85" s="549">
        <f t="shared" si="12"/>
        <v>61</v>
      </c>
      <c r="B85" s="533" t="s">
        <v>93</v>
      </c>
      <c r="C85" s="227"/>
      <c r="D85" s="227"/>
      <c r="E85" s="227"/>
      <c r="F85" s="227"/>
      <c r="G85" s="227"/>
      <c r="H85" s="242">
        <f>'27-Allocators'!G15</f>
        <v>6.982260642173875E-2</v>
      </c>
      <c r="I85" s="112" t="str">
        <f>"27-Allocators, Line "&amp;'27-Allocators'!A15&amp;""</f>
        <v>27-Allocators, Line 9</v>
      </c>
      <c r="J85" s="235"/>
      <c r="K85" s="227"/>
      <c r="L85" s="227"/>
      <c r="M85" s="227"/>
    </row>
    <row r="86" spans="1:13" ht="13">
      <c r="A86" s="549">
        <f t="shared" si="12"/>
        <v>62</v>
      </c>
      <c r="B86" s="533" t="s">
        <v>974</v>
      </c>
      <c r="C86" s="227"/>
      <c r="D86" s="227"/>
      <c r="E86" s="227"/>
      <c r="F86" s="227"/>
      <c r="G86" s="227"/>
      <c r="H86" s="229">
        <f>H84*H85</f>
        <v>33813133.047600448</v>
      </c>
      <c r="I86" s="462" t="str">
        <f>"Line "&amp;A84&amp;" * Line "&amp;A85&amp;""</f>
        <v>Line 60 * Line 61</v>
      </c>
      <c r="J86" s="235"/>
      <c r="K86" s="227"/>
      <c r="L86" s="227"/>
      <c r="M86" s="227"/>
    </row>
    <row r="87" spans="1:13" ht="13">
      <c r="A87" s="549">
        <f t="shared" si="12"/>
        <v>63</v>
      </c>
      <c r="B87" s="533"/>
      <c r="C87" s="463"/>
      <c r="D87" s="227"/>
      <c r="E87" s="227"/>
      <c r="F87" s="227"/>
      <c r="G87" s="227"/>
      <c r="H87" s="227"/>
      <c r="I87" s="227"/>
      <c r="J87" s="227"/>
      <c r="K87" s="227"/>
      <c r="L87" s="227"/>
      <c r="M87" s="227"/>
    </row>
    <row r="88" spans="1:13" ht="13">
      <c r="A88" s="549">
        <f t="shared" si="12"/>
        <v>64</v>
      </c>
      <c r="B88" s="83" t="s">
        <v>1653</v>
      </c>
      <c r="C88" s="227"/>
      <c r="D88" s="227"/>
      <c r="E88" s="227"/>
      <c r="F88" s="227"/>
      <c r="G88" s="227"/>
      <c r="H88" s="227"/>
      <c r="I88" s="227"/>
      <c r="J88" s="227"/>
      <c r="K88" s="227"/>
      <c r="L88" s="227"/>
      <c r="M88" s="227"/>
    </row>
    <row r="89" spans="1:13" ht="13">
      <c r="A89" s="549">
        <f t="shared" si="12"/>
        <v>65</v>
      </c>
      <c r="B89" s="533"/>
      <c r="C89" s="463"/>
      <c r="D89" s="227"/>
      <c r="E89" s="227"/>
      <c r="F89" s="227"/>
      <c r="G89" s="227"/>
      <c r="H89" s="227"/>
      <c r="I89" s="227"/>
      <c r="J89" s="227"/>
      <c r="K89" s="227"/>
      <c r="L89" s="227"/>
      <c r="M89" s="227"/>
    </row>
    <row r="90" spans="1:13" ht="13">
      <c r="A90" s="549">
        <f t="shared" si="12"/>
        <v>66</v>
      </c>
      <c r="B90" s="533" t="s">
        <v>1652</v>
      </c>
      <c r="C90" s="227"/>
      <c r="D90" s="227"/>
      <c r="E90" s="227"/>
      <c r="F90" s="3" t="s">
        <v>175</v>
      </c>
      <c r="G90" s="3" t="s">
        <v>179</v>
      </c>
      <c r="H90" s="227"/>
      <c r="I90" s="227"/>
    </row>
    <row r="91" spans="1:13" ht="13">
      <c r="A91" s="549">
        <f>A90+1</f>
        <v>67</v>
      </c>
      <c r="B91" s="467" t="s">
        <v>960</v>
      </c>
      <c r="C91" s="227"/>
      <c r="D91" s="227"/>
      <c r="E91" s="227"/>
      <c r="F91" s="229">
        <f>M61</f>
        <v>240587145.20645043</v>
      </c>
      <c r="G91" s="467" t="str">
        <f>"Line "&amp;A61&amp;", Col 12"</f>
        <v>Line 37, Col 12</v>
      </c>
      <c r="H91" s="227"/>
      <c r="I91" s="227"/>
    </row>
    <row r="92" spans="1:13" ht="13">
      <c r="A92" s="549">
        <f>A91+1</f>
        <v>68</v>
      </c>
      <c r="B92" s="467" t="s">
        <v>976</v>
      </c>
      <c r="C92" s="227"/>
      <c r="D92" s="227"/>
      <c r="E92" s="227"/>
      <c r="F92" s="229">
        <f>G77</f>
        <v>0</v>
      </c>
      <c r="G92" s="467" t="str">
        <f>"Line "&amp;A77&amp;""</f>
        <v>Line 53</v>
      </c>
      <c r="H92" s="227"/>
      <c r="I92" s="227"/>
    </row>
    <row r="93" spans="1:13" ht="13">
      <c r="A93" s="549">
        <f>A92+1</f>
        <v>69</v>
      </c>
      <c r="B93" s="467" t="s">
        <v>975</v>
      </c>
      <c r="C93" s="227"/>
      <c r="D93" s="227"/>
      <c r="E93" s="227"/>
      <c r="F93" s="91">
        <f>H86</f>
        <v>33813133.047600448</v>
      </c>
      <c r="G93" s="467" t="str">
        <f>"Line "&amp;A86&amp;""</f>
        <v>Line 62</v>
      </c>
      <c r="H93" s="227"/>
      <c r="I93" s="227"/>
    </row>
    <row r="94" spans="1:13" ht="13">
      <c r="A94" s="549">
        <f>A93+1</f>
        <v>70</v>
      </c>
      <c r="B94" s="227"/>
      <c r="C94" s="227"/>
      <c r="D94" s="227"/>
      <c r="E94" s="228" t="s">
        <v>1011</v>
      </c>
      <c r="F94" s="229">
        <f>SUM(F91:F93)</f>
        <v>274400278.25405085</v>
      </c>
      <c r="G94" s="467" t="str">
        <f>"Line "&amp;A91&amp;" + Line "&amp;A92&amp;" + Line "&amp;A93&amp;""</f>
        <v>Line 67 + Line 68 + Line 69</v>
      </c>
      <c r="H94" s="227"/>
      <c r="I94" s="227"/>
    </row>
    <row r="95" spans="1:13" ht="13">
      <c r="A95" s="227"/>
      <c r="B95" s="1" t="s">
        <v>230</v>
      </c>
      <c r="C95" s="227"/>
      <c r="D95" s="227"/>
      <c r="E95" s="227"/>
      <c r="F95" s="227"/>
      <c r="G95" s="227"/>
      <c r="H95" s="227"/>
      <c r="I95" s="227"/>
    </row>
    <row r="96" spans="1:13">
      <c r="A96" s="227"/>
      <c r="B96" s="463" t="s">
        <v>1418</v>
      </c>
      <c r="C96" s="227"/>
      <c r="D96" s="227"/>
      <c r="E96" s="227"/>
      <c r="F96" s="227"/>
      <c r="G96" s="227"/>
      <c r="H96" s="227"/>
      <c r="I96" s="227"/>
    </row>
    <row r="97" spans="1:10">
      <c r="A97" s="227"/>
      <c r="B97" s="465" t="str">
        <f>"same account, times the Monthly Depreciation Rate for that account.  Monthly rate = annual rates on Line "&amp;A29&amp;" etc. divided by 12."</f>
        <v>same account, times the Monthly Depreciation Rate for that account.  Monthly rate = annual rates on Line 17a etc. divided by 12.</v>
      </c>
      <c r="C97" s="235"/>
      <c r="D97" s="235"/>
      <c r="E97" s="235"/>
      <c r="F97" s="235"/>
      <c r="G97" s="235"/>
      <c r="H97" s="235"/>
      <c r="I97" s="235"/>
      <c r="J97" s="14"/>
    </row>
    <row r="98" spans="1:10">
      <c r="A98" s="227"/>
      <c r="B98" s="465" t="str">
        <f>"2) Depreciation Expense for each account is equal to the Average BOY/EOY value on Line "&amp;A68&amp;" times the"</f>
        <v>2) Depreciation Expense for each account is equal to the Average BOY/EOY value on Line 44 times the</v>
      </c>
      <c r="C98" s="235"/>
      <c r="D98" s="235"/>
      <c r="E98" s="235"/>
      <c r="F98" s="235"/>
      <c r="G98" s="235"/>
      <c r="H98" s="235"/>
      <c r="I98" s="235"/>
      <c r="J98" s="14"/>
    </row>
    <row r="99" spans="1:10">
      <c r="B99" s="465" t="str">
        <f>"Depreciation Rate on Line "&amp;A72&amp;"."</f>
        <v>Depreciation Rate on Line 48.</v>
      </c>
      <c r="C99" s="14"/>
      <c r="D99" s="14"/>
      <c r="E99" s="14"/>
      <c r="F99" s="14"/>
      <c r="G99" s="14"/>
      <c r="H99" s="14"/>
      <c r="I99" s="14"/>
      <c r="J99" s="14"/>
    </row>
    <row r="100" spans="1:10" ht="13">
      <c r="B100" s="44" t="s">
        <v>377</v>
      </c>
      <c r="C100" s="14"/>
      <c r="D100" s="14"/>
      <c r="E100" s="14"/>
      <c r="F100" s="14"/>
      <c r="G100" s="14"/>
      <c r="H100" s="14"/>
      <c r="I100" s="14"/>
      <c r="J100" s="14"/>
    </row>
    <row r="101" spans="1:10">
      <c r="B101" s="463" t="s">
        <v>2455</v>
      </c>
      <c r="C101" s="14"/>
      <c r="D101" s="14"/>
      <c r="E101" s="14"/>
      <c r="F101" s="14"/>
      <c r="G101" s="14"/>
      <c r="H101" s="14"/>
      <c r="I101" s="14"/>
      <c r="J101" s="14"/>
    </row>
    <row r="102" spans="1:10">
      <c r="B102" s="463" t="s">
        <v>2453</v>
      </c>
      <c r="C102" s="14"/>
      <c r="D102" s="14"/>
      <c r="E102" s="14"/>
      <c r="F102" s="14"/>
      <c r="G102" s="14"/>
      <c r="H102" s="14"/>
      <c r="I102" s="14"/>
      <c r="J102" s="14"/>
    </row>
    <row r="103" spans="1:10">
      <c r="B103" s="465" t="s">
        <v>1753</v>
      </c>
      <c r="C103" s="14"/>
      <c r="D103" s="14"/>
      <c r="E103" s="14"/>
      <c r="F103" s="14"/>
      <c r="G103" s="14"/>
      <c r="H103" s="14"/>
      <c r="I103" s="14"/>
      <c r="J103" s="14"/>
    </row>
    <row r="104" spans="1:10">
      <c r="B104" s="465"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c r="C104" s="14"/>
      <c r="D104" s="14"/>
      <c r="E104" s="14"/>
      <c r="F104" s="14"/>
      <c r="G104" s="14"/>
      <c r="H104" s="14"/>
      <c r="I104" s="14"/>
      <c r="J104" s="14"/>
    </row>
  </sheetData>
  <pageMargins left="0.7" right="0.7" top="0.75" bottom="0.75" header="0.3" footer="0.3"/>
  <pageSetup scale="63" orientation="landscape" cellComments="asDisplayed" r:id="rId1"/>
  <headerFooter>
    <oddHeader>&amp;CSchedule 17
Depreciation Expense
&amp;RTO2022 Annual Update 
Attachment 1</oddHeader>
    <oddFooter>&amp;R17-Depreciation</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66"/>
  <sheetViews>
    <sheetView zoomScaleNormal="100" workbookViewId="0"/>
  </sheetViews>
  <sheetFormatPr defaultColWidth="8.54296875" defaultRowHeight="12.5"/>
  <cols>
    <col min="1" max="1" width="4.54296875" style="955" customWidth="1"/>
    <col min="2" max="3" width="8.54296875" style="955"/>
    <col min="4" max="4" width="38.54296875" style="955" customWidth="1"/>
    <col min="5" max="7" width="8.54296875" style="463"/>
    <col min="8" max="16384" width="8.54296875" style="955"/>
  </cols>
  <sheetData>
    <row r="1" spans="1:11" ht="13">
      <c r="A1" s="382" t="s">
        <v>1012</v>
      </c>
      <c r="B1" s="463"/>
      <c r="C1" s="463"/>
      <c r="D1" s="463"/>
      <c r="K1" s="955" t="s">
        <v>2437</v>
      </c>
    </row>
    <row r="2" spans="1:11">
      <c r="A2" s="463"/>
      <c r="B2" s="463"/>
      <c r="C2" s="463"/>
      <c r="D2" s="463"/>
    </row>
    <row r="3" spans="1:11" ht="13">
      <c r="A3" s="463"/>
      <c r="B3" s="382" t="s">
        <v>320</v>
      </c>
      <c r="C3" s="463"/>
      <c r="D3" s="463"/>
      <c r="E3" s="549" t="s">
        <v>371</v>
      </c>
      <c r="F3" s="549"/>
      <c r="G3" s="549"/>
    </row>
    <row r="4" spans="1:11" ht="13">
      <c r="A4" s="463"/>
      <c r="B4" s="463"/>
      <c r="C4" s="230" t="s">
        <v>12</v>
      </c>
      <c r="D4" s="463"/>
      <c r="E4" s="549" t="s">
        <v>1013</v>
      </c>
      <c r="F4" s="4" t="s">
        <v>1014</v>
      </c>
      <c r="G4" s="4"/>
    </row>
    <row r="5" spans="1:11" ht="13">
      <c r="A5" s="51" t="s">
        <v>329</v>
      </c>
      <c r="B5" s="463"/>
      <c r="C5" s="361" t="s">
        <v>99</v>
      </c>
      <c r="D5" s="361" t="s">
        <v>100</v>
      </c>
      <c r="E5" s="3" t="s">
        <v>1015</v>
      </c>
      <c r="F5" s="3" t="s">
        <v>1016</v>
      </c>
      <c r="G5" s="3" t="s">
        <v>196</v>
      </c>
    </row>
    <row r="6" spans="1:11" ht="15" customHeight="1">
      <c r="A6" s="549">
        <v>1</v>
      </c>
      <c r="B6" s="463"/>
      <c r="C6" s="701">
        <v>350.1</v>
      </c>
      <c r="D6" s="467" t="s">
        <v>1017</v>
      </c>
      <c r="E6" s="500">
        <v>0</v>
      </c>
      <c r="F6" s="500">
        <v>0</v>
      </c>
      <c r="G6" s="500">
        <v>0</v>
      </c>
    </row>
    <row r="7" spans="1:11" ht="15" customHeight="1">
      <c r="A7" s="549">
        <f>A6+1</f>
        <v>2</v>
      </c>
      <c r="B7" s="463"/>
      <c r="C7" s="701">
        <v>350.2</v>
      </c>
      <c r="D7" s="467" t="s">
        <v>1018</v>
      </c>
      <c r="E7" s="500">
        <v>1.66E-2</v>
      </c>
      <c r="F7" s="500">
        <v>0</v>
      </c>
      <c r="G7" s="500">
        <v>1.66E-2</v>
      </c>
    </row>
    <row r="8" spans="1:11" ht="13">
      <c r="A8" s="549">
        <f t="shared" ref="A8:A16" si="0">A7+1</f>
        <v>3</v>
      </c>
      <c r="B8" s="463"/>
      <c r="C8" s="701">
        <v>352</v>
      </c>
      <c r="D8" s="467" t="s">
        <v>1019</v>
      </c>
      <c r="E8" s="500">
        <v>1.7999999999999999E-2</v>
      </c>
      <c r="F8" s="500">
        <v>7.7000000000000002E-3</v>
      </c>
      <c r="G8" s="500">
        <v>2.5700000000000001E-2</v>
      </c>
    </row>
    <row r="9" spans="1:11" ht="13">
      <c r="A9" s="549">
        <f t="shared" si="0"/>
        <v>4</v>
      </c>
      <c r="B9" s="463"/>
      <c r="C9" s="701">
        <v>353</v>
      </c>
      <c r="D9" s="467" t="s">
        <v>1020</v>
      </c>
      <c r="E9" s="500">
        <v>2.1999999999999999E-2</v>
      </c>
      <c r="F9" s="500">
        <v>2.7000000000000001E-3</v>
      </c>
      <c r="G9" s="500">
        <v>2.47E-2</v>
      </c>
    </row>
    <row r="10" spans="1:11" ht="13">
      <c r="A10" s="549">
        <f t="shared" si="0"/>
        <v>5</v>
      </c>
      <c r="B10" s="463"/>
      <c r="C10" s="701">
        <v>354</v>
      </c>
      <c r="D10" s="467" t="s">
        <v>1187</v>
      </c>
      <c r="E10" s="500">
        <v>1.35E-2</v>
      </c>
      <c r="F10" s="500">
        <v>1.09E-2</v>
      </c>
      <c r="G10" s="500">
        <v>2.4400000000000002E-2</v>
      </c>
    </row>
    <row r="11" spans="1:11" ht="13">
      <c r="A11" s="549">
        <f t="shared" si="0"/>
        <v>6</v>
      </c>
      <c r="B11" s="463"/>
      <c r="C11" s="701">
        <v>355</v>
      </c>
      <c r="D11" s="467" t="s">
        <v>1021</v>
      </c>
      <c r="E11" s="500">
        <v>0.02</v>
      </c>
      <c r="F11" s="500">
        <v>1.67E-2</v>
      </c>
      <c r="G11" s="500">
        <v>3.6700000000000003E-2</v>
      </c>
    </row>
    <row r="12" spans="1:11" ht="13">
      <c r="A12" s="549">
        <f t="shared" si="0"/>
        <v>7</v>
      </c>
      <c r="B12" s="463"/>
      <c r="C12" s="701">
        <v>356</v>
      </c>
      <c r="D12" s="467" t="s">
        <v>1022</v>
      </c>
      <c r="E12" s="500">
        <v>0.02</v>
      </c>
      <c r="F12" s="500">
        <v>1.0500000000000001E-2</v>
      </c>
      <c r="G12" s="500">
        <v>3.0499999999999999E-2</v>
      </c>
    </row>
    <row r="13" spans="1:11" ht="13">
      <c r="A13" s="549">
        <f t="shared" si="0"/>
        <v>8</v>
      </c>
      <c r="B13" s="463"/>
      <c r="C13" s="701">
        <v>357</v>
      </c>
      <c r="D13" s="467" t="s">
        <v>1023</v>
      </c>
      <c r="E13" s="500">
        <v>1.6500000000000001E-2</v>
      </c>
      <c r="F13" s="500">
        <v>0</v>
      </c>
      <c r="G13" s="500">
        <v>1.6500000000000001E-2</v>
      </c>
    </row>
    <row r="14" spans="1:11" ht="13">
      <c r="A14" s="549">
        <f t="shared" si="0"/>
        <v>9</v>
      </c>
      <c r="B14" s="463"/>
      <c r="C14" s="701">
        <v>358</v>
      </c>
      <c r="D14" s="467" t="s">
        <v>1024</v>
      </c>
      <c r="E14" s="500">
        <v>3.2599999999999997E-2</v>
      </c>
      <c r="F14" s="500">
        <v>6.1000000000000004E-3</v>
      </c>
      <c r="G14" s="500">
        <v>3.8699999999999998E-2</v>
      </c>
    </row>
    <row r="15" spans="1:11" ht="13">
      <c r="A15" s="549">
        <f t="shared" si="0"/>
        <v>10</v>
      </c>
      <c r="B15" s="463"/>
      <c r="C15" s="701">
        <v>359</v>
      </c>
      <c r="D15" s="467" t="s">
        <v>1025</v>
      </c>
      <c r="E15" s="500">
        <v>1.5599999999999999E-2</v>
      </c>
      <c r="F15" s="500">
        <v>0</v>
      </c>
      <c r="G15" s="500">
        <v>1.5599999999999999E-2</v>
      </c>
    </row>
    <row r="16" spans="1:11" ht="13">
      <c r="A16" s="549">
        <f t="shared" si="0"/>
        <v>11</v>
      </c>
      <c r="B16" s="463"/>
      <c r="C16" s="463"/>
      <c r="D16" s="463"/>
    </row>
    <row r="17" spans="1:7" ht="13">
      <c r="A17" s="463"/>
      <c r="B17" s="382" t="s">
        <v>321</v>
      </c>
      <c r="C17" s="463"/>
      <c r="D17" s="463"/>
      <c r="E17" s="549" t="s">
        <v>371</v>
      </c>
      <c r="F17" s="549"/>
      <c r="G17" s="549"/>
    </row>
    <row r="18" spans="1:7" ht="13">
      <c r="A18" s="463"/>
      <c r="B18" s="463"/>
      <c r="C18" s="230" t="s">
        <v>12</v>
      </c>
      <c r="D18" s="463"/>
      <c r="E18" s="549" t="s">
        <v>1013</v>
      </c>
      <c r="F18" s="4" t="s">
        <v>1014</v>
      </c>
      <c r="G18" s="4"/>
    </row>
    <row r="19" spans="1:7" ht="13">
      <c r="A19" s="463"/>
      <c r="B19" s="463"/>
      <c r="C19" s="361" t="s">
        <v>99</v>
      </c>
      <c r="D19" s="361" t="s">
        <v>100</v>
      </c>
      <c r="E19" s="3" t="s">
        <v>1015</v>
      </c>
      <c r="F19" s="3" t="s">
        <v>1016</v>
      </c>
      <c r="G19" s="3" t="s">
        <v>196</v>
      </c>
    </row>
    <row r="20" spans="1:7" ht="13">
      <c r="A20" s="549">
        <f>A16+1</f>
        <v>12</v>
      </c>
      <c r="B20" s="463"/>
      <c r="C20" s="463">
        <v>360</v>
      </c>
      <c r="D20" s="467" t="s">
        <v>1026</v>
      </c>
      <c r="E20" s="500">
        <v>1.67E-2</v>
      </c>
      <c r="F20" s="500">
        <v>0</v>
      </c>
      <c r="G20" s="500">
        <v>1.67E-2</v>
      </c>
    </row>
    <row r="21" spans="1:7" ht="13">
      <c r="A21" s="549">
        <f>A20+1</f>
        <v>13</v>
      </c>
      <c r="B21" s="463"/>
      <c r="C21" s="463">
        <v>361</v>
      </c>
      <c r="D21" s="467" t="s">
        <v>1019</v>
      </c>
      <c r="E21" s="500">
        <v>1.7500000000000002E-2</v>
      </c>
      <c r="F21" s="500">
        <v>5.1999999999999998E-3</v>
      </c>
      <c r="G21" s="500">
        <v>2.2700000000000001E-2</v>
      </c>
    </row>
    <row r="22" spans="1:7" ht="13">
      <c r="A22" s="549">
        <f>A21+1</f>
        <v>14</v>
      </c>
      <c r="B22" s="463"/>
      <c r="C22" s="463">
        <v>362</v>
      </c>
      <c r="D22" s="467" t="s">
        <v>1020</v>
      </c>
      <c r="E22" s="500">
        <v>1.32E-2</v>
      </c>
      <c r="F22" s="500">
        <v>5.7999999999999996E-3</v>
      </c>
      <c r="G22" s="500">
        <v>1.9E-2</v>
      </c>
    </row>
    <row r="23" spans="1:7">
      <c r="A23" s="463"/>
      <c r="B23" s="463"/>
      <c r="C23" s="463"/>
      <c r="D23" s="463"/>
    </row>
    <row r="24" spans="1:7" ht="13">
      <c r="A24" s="463"/>
      <c r="B24" s="382" t="s">
        <v>1027</v>
      </c>
      <c r="C24" s="463"/>
      <c r="D24" s="463"/>
      <c r="E24" s="549" t="s">
        <v>371</v>
      </c>
    </row>
    <row r="25" spans="1:7" ht="13">
      <c r="A25" s="463"/>
      <c r="B25" s="463"/>
      <c r="C25" s="230" t="s">
        <v>12</v>
      </c>
      <c r="D25" s="463"/>
      <c r="E25" s="549" t="s">
        <v>1013</v>
      </c>
      <c r="F25" s="4" t="s">
        <v>1014</v>
      </c>
      <c r="G25" s="4"/>
    </row>
    <row r="26" spans="1:7" ht="13">
      <c r="A26" s="463"/>
      <c r="B26" s="463"/>
      <c r="C26" s="361" t="s">
        <v>99</v>
      </c>
      <c r="D26" s="361" t="s">
        <v>100</v>
      </c>
      <c r="E26" s="3" t="s">
        <v>1015</v>
      </c>
      <c r="F26" s="3" t="s">
        <v>1016</v>
      </c>
      <c r="G26" s="3" t="s">
        <v>196</v>
      </c>
    </row>
    <row r="27" spans="1:7" ht="13">
      <c r="A27" s="549">
        <f>A22+1</f>
        <v>15</v>
      </c>
      <c r="B27" s="463"/>
      <c r="C27" s="463">
        <v>389</v>
      </c>
      <c r="D27" s="467" t="s">
        <v>1026</v>
      </c>
      <c r="E27" s="834">
        <v>1.67E-2</v>
      </c>
      <c r="F27" s="834">
        <v>0</v>
      </c>
      <c r="G27" s="834">
        <v>1.67E-2</v>
      </c>
    </row>
    <row r="28" spans="1:7" ht="13">
      <c r="A28" s="549">
        <f t="shared" ref="A28:A42" si="1">A27+1</f>
        <v>16</v>
      </c>
      <c r="B28" s="463"/>
      <c r="C28" s="463">
        <v>390</v>
      </c>
      <c r="D28" s="467" t="s">
        <v>1019</v>
      </c>
      <c r="E28" s="834">
        <v>1.8099999999999998E-2</v>
      </c>
      <c r="F28" s="834">
        <v>2.7000000000000001E-3</v>
      </c>
      <c r="G28" s="834">
        <v>2.0799999999999999E-2</v>
      </c>
    </row>
    <row r="29" spans="1:7" ht="13">
      <c r="A29" s="549">
        <f t="shared" si="1"/>
        <v>17</v>
      </c>
      <c r="B29" s="463"/>
      <c r="C29" s="463">
        <v>391.1</v>
      </c>
      <c r="D29" s="1483" t="s">
        <v>1028</v>
      </c>
      <c r="E29" s="834">
        <v>0.05</v>
      </c>
      <c r="F29" s="834">
        <v>0</v>
      </c>
      <c r="G29" s="834">
        <v>0.05</v>
      </c>
    </row>
    <row r="30" spans="1:7" ht="13">
      <c r="A30" s="549">
        <f t="shared" si="1"/>
        <v>18</v>
      </c>
      <c r="B30" s="463"/>
      <c r="C30" s="463">
        <v>391.5</v>
      </c>
      <c r="D30" s="1483" t="s">
        <v>1579</v>
      </c>
      <c r="E30" s="834">
        <v>0.2</v>
      </c>
      <c r="F30" s="834">
        <v>0</v>
      </c>
      <c r="G30" s="834">
        <v>0.2</v>
      </c>
    </row>
    <row r="31" spans="1:7" ht="13">
      <c r="A31" s="549">
        <f t="shared" si="1"/>
        <v>19</v>
      </c>
      <c r="B31" s="463"/>
      <c r="C31" s="463">
        <v>391.6</v>
      </c>
      <c r="D31" s="1483" t="s">
        <v>1580</v>
      </c>
      <c r="E31" s="834">
        <v>0.2</v>
      </c>
      <c r="F31" s="834">
        <v>0</v>
      </c>
      <c r="G31" s="834">
        <v>0.2</v>
      </c>
    </row>
    <row r="32" spans="1:7" ht="13">
      <c r="A32" s="549">
        <f t="shared" si="1"/>
        <v>20</v>
      </c>
      <c r="B32" s="463"/>
      <c r="C32" s="463">
        <v>391.2</v>
      </c>
      <c r="D32" s="1483" t="s">
        <v>1581</v>
      </c>
      <c r="E32" s="834">
        <v>0.2</v>
      </c>
      <c r="F32" s="834">
        <v>0</v>
      </c>
      <c r="G32" s="834">
        <v>0.2</v>
      </c>
    </row>
    <row r="33" spans="1:7" ht="13">
      <c r="A33" s="549">
        <f t="shared" si="1"/>
        <v>21</v>
      </c>
      <c r="B33" s="463"/>
      <c r="C33" s="463">
        <v>391.3</v>
      </c>
      <c r="D33" s="1483" t="s">
        <v>1582</v>
      </c>
      <c r="E33" s="834">
        <v>0.2</v>
      </c>
      <c r="F33" s="834">
        <v>0</v>
      </c>
      <c r="G33" s="834">
        <v>0.2</v>
      </c>
    </row>
    <row r="34" spans="1:7" ht="13">
      <c r="A34" s="549">
        <f t="shared" si="1"/>
        <v>22</v>
      </c>
      <c r="B34" s="463"/>
      <c r="C34" s="461">
        <v>391.7</v>
      </c>
      <c r="D34" s="1483" t="s">
        <v>1583</v>
      </c>
      <c r="E34" s="834">
        <v>0.2</v>
      </c>
      <c r="F34" s="834">
        <v>0</v>
      </c>
      <c r="G34" s="834">
        <v>0.2</v>
      </c>
    </row>
    <row r="35" spans="1:7" ht="13">
      <c r="A35" s="549">
        <f t="shared" si="1"/>
        <v>23</v>
      </c>
      <c r="B35" s="463"/>
      <c r="C35" s="461">
        <v>391.4</v>
      </c>
      <c r="D35" s="1483" t="s">
        <v>1584</v>
      </c>
      <c r="E35" s="834">
        <v>0.1429</v>
      </c>
      <c r="F35" s="834">
        <v>0</v>
      </c>
      <c r="G35" s="834">
        <v>0.1429</v>
      </c>
    </row>
    <row r="36" spans="1:7" ht="13">
      <c r="A36" s="549">
        <f t="shared" si="1"/>
        <v>24</v>
      </c>
      <c r="B36" s="463"/>
      <c r="C36" s="463">
        <v>391.4</v>
      </c>
      <c r="D36" s="1483" t="s">
        <v>1585</v>
      </c>
      <c r="E36" s="834">
        <v>0.1</v>
      </c>
      <c r="F36" s="834">
        <v>0</v>
      </c>
      <c r="G36" s="834">
        <v>0.1</v>
      </c>
    </row>
    <row r="37" spans="1:7" ht="13">
      <c r="A37" s="549">
        <f t="shared" si="1"/>
        <v>25</v>
      </c>
      <c r="B37" s="463"/>
      <c r="C37" s="461">
        <v>391.4</v>
      </c>
      <c r="D37" s="1483" t="s">
        <v>1586</v>
      </c>
      <c r="E37" s="834">
        <v>6.6699999999999995E-2</v>
      </c>
      <c r="F37" s="834">
        <v>0</v>
      </c>
      <c r="G37" s="834">
        <v>6.6699999999999995E-2</v>
      </c>
    </row>
    <row r="38" spans="1:7" ht="13">
      <c r="A38" s="549">
        <f t="shared" si="1"/>
        <v>26</v>
      </c>
      <c r="B38" s="463"/>
      <c r="C38" s="461">
        <v>391.4</v>
      </c>
      <c r="D38" s="1483" t="s">
        <v>1587</v>
      </c>
      <c r="E38" s="834">
        <v>0.05</v>
      </c>
      <c r="F38" s="834">
        <v>0</v>
      </c>
      <c r="G38" s="834">
        <v>0.05</v>
      </c>
    </row>
    <row r="39" spans="1:7" ht="13">
      <c r="A39" s="549">
        <f t="shared" si="1"/>
        <v>27</v>
      </c>
      <c r="B39" s="463"/>
      <c r="C39" s="461">
        <v>391.4</v>
      </c>
      <c r="D39" s="1484" t="s">
        <v>2521</v>
      </c>
      <c r="E39" s="500">
        <v>0.2</v>
      </c>
      <c r="F39" s="500">
        <v>0</v>
      </c>
      <c r="G39" s="500">
        <v>0.2</v>
      </c>
    </row>
    <row r="40" spans="1:7" ht="13">
      <c r="A40" s="549">
        <f t="shared" si="1"/>
        <v>28</v>
      </c>
      <c r="B40" s="463"/>
      <c r="C40" s="461">
        <v>393</v>
      </c>
      <c r="D40" s="467" t="s">
        <v>1588</v>
      </c>
      <c r="E40" s="834">
        <v>0.05</v>
      </c>
      <c r="F40" s="834">
        <v>0</v>
      </c>
      <c r="G40" s="834">
        <v>0.05</v>
      </c>
    </row>
    <row r="41" spans="1:7" ht="13">
      <c r="A41" s="549">
        <f t="shared" si="1"/>
        <v>29</v>
      </c>
      <c r="B41" s="463"/>
      <c r="C41" s="461">
        <v>395</v>
      </c>
      <c r="D41" s="467" t="s">
        <v>1589</v>
      </c>
      <c r="E41" s="834">
        <v>6.6699999999999995E-2</v>
      </c>
      <c r="F41" s="834">
        <v>0</v>
      </c>
      <c r="G41" s="834">
        <v>6.6699999999999995E-2</v>
      </c>
    </row>
    <row r="42" spans="1:7" ht="13">
      <c r="A42" s="549">
        <f t="shared" si="1"/>
        <v>30</v>
      </c>
      <c r="B42" s="463"/>
      <c r="C42" s="461">
        <v>398</v>
      </c>
      <c r="D42" s="467" t="s">
        <v>1590</v>
      </c>
      <c r="E42" s="834">
        <v>0.05</v>
      </c>
      <c r="F42" s="834">
        <v>0</v>
      </c>
      <c r="G42" s="834">
        <v>0.05</v>
      </c>
    </row>
    <row r="43" spans="1:7" ht="13">
      <c r="A43" s="549">
        <f>A42+1</f>
        <v>31</v>
      </c>
      <c r="B43" s="463"/>
      <c r="C43" s="461">
        <v>397</v>
      </c>
      <c r="D43" s="467" t="s">
        <v>2182</v>
      </c>
      <c r="E43" s="834">
        <v>0.2</v>
      </c>
      <c r="F43" s="834">
        <v>0</v>
      </c>
      <c r="G43" s="834">
        <v>0.2</v>
      </c>
    </row>
    <row r="44" spans="1:7" ht="13">
      <c r="A44" s="549">
        <f t="shared" ref="A44:A53" si="2">A43+1</f>
        <v>32</v>
      </c>
      <c r="B44" s="463"/>
      <c r="C44" s="461">
        <v>397</v>
      </c>
      <c r="D44" s="467" t="s">
        <v>1591</v>
      </c>
      <c r="E44" s="834">
        <v>0.1429</v>
      </c>
      <c r="F44" s="834">
        <v>0</v>
      </c>
      <c r="G44" s="834">
        <v>0.1429</v>
      </c>
    </row>
    <row r="45" spans="1:7" ht="13">
      <c r="A45" s="549">
        <f t="shared" si="2"/>
        <v>33</v>
      </c>
      <c r="B45" s="463"/>
      <c r="C45" s="461">
        <v>397</v>
      </c>
      <c r="D45" s="467" t="s">
        <v>1592</v>
      </c>
      <c r="E45" s="834">
        <v>0.1</v>
      </c>
      <c r="F45" s="834">
        <v>0</v>
      </c>
      <c r="G45" s="834">
        <v>0.1</v>
      </c>
    </row>
    <row r="46" spans="1:7" ht="13">
      <c r="A46" s="549">
        <f t="shared" si="2"/>
        <v>34</v>
      </c>
      <c r="B46" s="463"/>
      <c r="C46" s="461">
        <v>397</v>
      </c>
      <c r="D46" s="467" t="s">
        <v>1593</v>
      </c>
      <c r="E46" s="834">
        <v>6.6699999999999995E-2</v>
      </c>
      <c r="F46" s="834">
        <v>0</v>
      </c>
      <c r="G46" s="834">
        <v>6.6699999999999995E-2</v>
      </c>
    </row>
    <row r="47" spans="1:7" ht="13">
      <c r="A47" s="549">
        <f t="shared" si="2"/>
        <v>35</v>
      </c>
      <c r="B47" s="463"/>
      <c r="C47" s="461">
        <v>397</v>
      </c>
      <c r="D47" s="467" t="s">
        <v>2183</v>
      </c>
      <c r="E47" s="996">
        <v>0.05</v>
      </c>
      <c r="F47" s="834">
        <v>0</v>
      </c>
      <c r="G47" s="996">
        <v>0.05</v>
      </c>
    </row>
    <row r="48" spans="1:7" ht="13">
      <c r="A48" s="549">
        <f t="shared" si="2"/>
        <v>36</v>
      </c>
      <c r="B48" s="463"/>
      <c r="C48" s="461">
        <v>397</v>
      </c>
      <c r="D48" s="467" t="s">
        <v>1594</v>
      </c>
      <c r="E48" s="834">
        <v>0.04</v>
      </c>
      <c r="F48" s="834">
        <v>0</v>
      </c>
      <c r="G48" s="834">
        <v>0.04</v>
      </c>
    </row>
    <row r="49" spans="1:7" ht="13">
      <c r="A49" s="549">
        <f t="shared" si="2"/>
        <v>37</v>
      </c>
      <c r="B49" s="463"/>
      <c r="C49" s="461">
        <v>397</v>
      </c>
      <c r="D49" s="467" t="s">
        <v>1595</v>
      </c>
      <c r="E49" s="834">
        <v>2.5000000000000001E-2</v>
      </c>
      <c r="F49" s="834">
        <v>0</v>
      </c>
      <c r="G49" s="834">
        <v>2.5000000000000001E-2</v>
      </c>
    </row>
    <row r="50" spans="1:7" ht="13">
      <c r="A50" s="549">
        <f t="shared" si="2"/>
        <v>38</v>
      </c>
      <c r="B50" s="463"/>
      <c r="C50" s="461">
        <v>392</v>
      </c>
      <c r="D50" s="467" t="s">
        <v>1596</v>
      </c>
      <c r="E50" s="834">
        <v>0.1429</v>
      </c>
      <c r="F50" s="834">
        <v>0</v>
      </c>
      <c r="G50" s="834">
        <v>0.1429</v>
      </c>
    </row>
    <row r="51" spans="1:7" ht="13">
      <c r="A51" s="549">
        <f t="shared" si="2"/>
        <v>39</v>
      </c>
      <c r="B51" s="463"/>
      <c r="C51" s="461">
        <v>394.4</v>
      </c>
      <c r="D51" s="467" t="s">
        <v>1597</v>
      </c>
      <c r="E51" s="834">
        <v>0.1</v>
      </c>
      <c r="F51" s="834">
        <v>0</v>
      </c>
      <c r="G51" s="834">
        <v>0.1</v>
      </c>
    </row>
    <row r="52" spans="1:7" ht="13">
      <c r="A52" s="549">
        <f t="shared" si="2"/>
        <v>40</v>
      </c>
      <c r="B52" s="463"/>
      <c r="C52" s="461">
        <v>394.5</v>
      </c>
      <c r="D52" s="467" t="s">
        <v>1598</v>
      </c>
      <c r="E52" s="834">
        <v>0.1</v>
      </c>
      <c r="F52" s="834">
        <v>0</v>
      </c>
      <c r="G52" s="834">
        <v>0.1</v>
      </c>
    </row>
    <row r="53" spans="1:7" ht="13">
      <c r="A53" s="549">
        <f t="shared" si="2"/>
        <v>41</v>
      </c>
      <c r="B53" s="463"/>
      <c r="C53" s="461">
        <v>396</v>
      </c>
      <c r="D53" s="467" t="s">
        <v>1599</v>
      </c>
      <c r="E53" s="834">
        <v>6.6699999999999995E-2</v>
      </c>
      <c r="F53" s="834">
        <v>0</v>
      </c>
      <c r="G53" s="834">
        <v>6.6699999999999995E-2</v>
      </c>
    </row>
    <row r="54" spans="1:7">
      <c r="A54" s="463"/>
      <c r="B54" s="463"/>
      <c r="C54" s="463"/>
      <c r="D54" s="463"/>
    </row>
    <row r="55" spans="1:7" ht="13">
      <c r="A55" s="463"/>
      <c r="B55" s="382" t="s">
        <v>1029</v>
      </c>
      <c r="C55" s="463"/>
      <c r="D55" s="463"/>
      <c r="E55" s="549" t="s">
        <v>371</v>
      </c>
    </row>
    <row r="56" spans="1:7" ht="13">
      <c r="A56" s="463"/>
      <c r="B56" s="463"/>
      <c r="C56" s="230" t="s">
        <v>12</v>
      </c>
      <c r="D56" s="463"/>
      <c r="E56" s="549" t="s">
        <v>1013</v>
      </c>
      <c r="F56" s="4" t="s">
        <v>1014</v>
      </c>
      <c r="G56" s="4"/>
    </row>
    <row r="57" spans="1:7" ht="13">
      <c r="A57" s="463"/>
      <c r="B57" s="463"/>
      <c r="C57" s="361" t="s">
        <v>99</v>
      </c>
      <c r="D57" s="361" t="s">
        <v>100</v>
      </c>
      <c r="E57" s="3" t="s">
        <v>1015</v>
      </c>
      <c r="F57" s="3" t="s">
        <v>1016</v>
      </c>
      <c r="G57" s="3" t="s">
        <v>196</v>
      </c>
    </row>
    <row r="58" spans="1:7" ht="13">
      <c r="A58" s="549">
        <f>A53+1</f>
        <v>42</v>
      </c>
      <c r="B58" s="463"/>
      <c r="C58" s="461">
        <v>302</v>
      </c>
      <c r="D58" s="467" t="s">
        <v>1030</v>
      </c>
      <c r="E58" s="500">
        <v>1.8499999999999999E-2</v>
      </c>
      <c r="F58" s="500">
        <v>0</v>
      </c>
      <c r="G58" s="500">
        <v>1.8499999999999999E-2</v>
      </c>
    </row>
    <row r="59" spans="1:7" ht="13">
      <c r="A59" s="549">
        <f t="shared" ref="A59:A64" si="3">A58+1</f>
        <v>43</v>
      </c>
      <c r="B59" s="463"/>
      <c r="C59" s="461">
        <v>303</v>
      </c>
      <c r="D59" s="467" t="s">
        <v>1031</v>
      </c>
      <c r="E59" s="834">
        <v>2.5000000000000001E-2</v>
      </c>
      <c r="F59" s="834">
        <v>0</v>
      </c>
      <c r="G59" s="834">
        <v>2.5000000000000001E-2</v>
      </c>
    </row>
    <row r="60" spans="1:7" ht="13">
      <c r="A60" s="549">
        <f t="shared" si="3"/>
        <v>44</v>
      </c>
      <c r="B60" s="463"/>
      <c r="C60" s="461">
        <v>301</v>
      </c>
      <c r="D60" s="467" t="s">
        <v>1032</v>
      </c>
      <c r="E60" s="834">
        <v>0.05</v>
      </c>
      <c r="F60" s="834">
        <v>0</v>
      </c>
      <c r="G60" s="834">
        <v>0.05</v>
      </c>
    </row>
    <row r="61" spans="1:7" ht="13">
      <c r="A61" s="549">
        <f t="shared" si="3"/>
        <v>45</v>
      </c>
      <c r="B61" s="463"/>
      <c r="C61" s="461">
        <v>303</v>
      </c>
      <c r="D61" s="467" t="s">
        <v>1033</v>
      </c>
      <c r="E61" s="834">
        <v>0.2031</v>
      </c>
      <c r="F61" s="834">
        <v>0</v>
      </c>
      <c r="G61" s="834">
        <v>0.2031</v>
      </c>
    </row>
    <row r="62" spans="1:7" ht="13">
      <c r="A62" s="549">
        <f t="shared" si="3"/>
        <v>46</v>
      </c>
      <c r="B62" s="463"/>
      <c r="C62" s="461">
        <v>303</v>
      </c>
      <c r="D62" s="467" t="s">
        <v>1034</v>
      </c>
      <c r="E62" s="834">
        <v>0.1462</v>
      </c>
      <c r="F62" s="834">
        <v>0</v>
      </c>
      <c r="G62" s="834">
        <v>0.1462</v>
      </c>
    </row>
    <row r="63" spans="1:7" ht="13">
      <c r="A63" s="549">
        <f t="shared" si="3"/>
        <v>47</v>
      </c>
      <c r="B63" s="463"/>
      <c r="C63" s="461">
        <v>303</v>
      </c>
      <c r="D63" s="467" t="s">
        <v>1035</v>
      </c>
      <c r="E63" s="834">
        <v>0.1293</v>
      </c>
      <c r="F63" s="834">
        <v>0</v>
      </c>
      <c r="G63" s="834">
        <v>0.1293</v>
      </c>
    </row>
    <row r="64" spans="1:7" ht="13">
      <c r="A64" s="549">
        <f t="shared" si="3"/>
        <v>48</v>
      </c>
      <c r="B64" s="463"/>
      <c r="C64" s="461">
        <v>303</v>
      </c>
      <c r="D64" s="467" t="s">
        <v>1036</v>
      </c>
      <c r="E64" s="834">
        <v>8.48E-2</v>
      </c>
      <c r="F64" s="834">
        <v>0</v>
      </c>
      <c r="G64" s="834">
        <v>8.48E-2</v>
      </c>
    </row>
    <row r="65" spans="1:6" ht="13">
      <c r="A65" s="463"/>
      <c r="B65" s="465" t="s">
        <v>1719</v>
      </c>
      <c r="C65" s="465"/>
      <c r="D65" s="465"/>
      <c r="E65" s="465"/>
      <c r="F65" s="465"/>
    </row>
    <row r="66" spans="1:6">
      <c r="A66" s="463"/>
      <c r="B66" s="465" t="s">
        <v>2407</v>
      </c>
      <c r="C66" s="465"/>
      <c r="D66" s="465"/>
      <c r="E66" s="465"/>
      <c r="F66" s="465"/>
    </row>
  </sheetData>
  <pageMargins left="0.7" right="0.7" top="0.75" bottom="0.75" header="0.3" footer="0.3"/>
  <pageSetup scale="75" orientation="portrait" cellComments="asDisplayed" r:id="rId1"/>
  <headerFooter>
    <oddHeader>&amp;CSchedule 18
Depreciation Rates
&amp;RTO2022 Annual Update 
Attachment 1</oddHeader>
    <oddFooter>&amp;R18-DepRates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55"/>
  <sheetViews>
    <sheetView zoomScaleNormal="100" zoomScaleSheetLayoutView="40" zoomScalePageLayoutView="90" workbookViewId="0"/>
  </sheetViews>
  <sheetFormatPr defaultColWidth="9.453125" defaultRowHeight="12.5"/>
  <cols>
    <col min="1" max="1" width="5.54296875" style="476" customWidth="1"/>
    <col min="2" max="2" width="50.54296875" style="476" customWidth="1"/>
    <col min="3" max="3" width="14.54296875" style="474" customWidth="1"/>
    <col min="4" max="4" width="16.453125" style="474" customWidth="1"/>
    <col min="5" max="5" width="14.54296875" style="474" customWidth="1"/>
    <col min="6" max="6" width="12.54296875" style="825" customWidth="1"/>
    <col min="7" max="7" width="16.54296875" style="785" customWidth="1"/>
    <col min="8" max="9" width="14.54296875" style="786" customWidth="1"/>
    <col min="10" max="12" width="14.54296875" style="476" customWidth="1"/>
    <col min="13" max="13" width="9.453125" style="463"/>
    <col min="14" max="14" width="10.54296875" style="463" bestFit="1" customWidth="1"/>
    <col min="15" max="16384" width="9.453125" style="463"/>
  </cols>
  <sheetData>
    <row r="1" spans="1:12" ht="12.75" customHeight="1">
      <c r="A1" s="397" t="s">
        <v>1254</v>
      </c>
      <c r="C1" s="398"/>
      <c r="D1" s="399"/>
      <c r="E1" s="399"/>
      <c r="F1" s="400"/>
      <c r="G1" s="401"/>
      <c r="H1" s="401"/>
      <c r="I1" s="401"/>
      <c r="J1" s="401"/>
      <c r="K1" s="463"/>
      <c r="L1" s="463"/>
    </row>
    <row r="2" spans="1:12" ht="12.75" customHeight="1">
      <c r="A2" s="402"/>
      <c r="B2" s="1247" t="s">
        <v>2531</v>
      </c>
      <c r="C2" s="512" t="s">
        <v>2775</v>
      </c>
      <c r="D2" s="1234"/>
      <c r="E2" s="399"/>
      <c r="F2" s="403"/>
      <c r="G2" s="667" t="s">
        <v>301</v>
      </c>
      <c r="H2" s="473"/>
      <c r="I2" s="399"/>
      <c r="J2" s="401"/>
      <c r="K2" s="401"/>
      <c r="L2" s="401"/>
    </row>
    <row r="3" spans="1:12" ht="12.75" customHeight="1">
      <c r="A3" s="404"/>
      <c r="B3" s="405" t="s">
        <v>1255</v>
      </c>
      <c r="C3" s="407"/>
      <c r="D3" s="407"/>
      <c r="E3" s="407"/>
      <c r="F3" s="408"/>
      <c r="G3" s="406"/>
      <c r="H3" s="406"/>
      <c r="I3" s="406"/>
      <c r="J3" s="406"/>
      <c r="K3" s="406"/>
      <c r="L3" s="409"/>
    </row>
    <row r="4" spans="1:12" ht="12.75" customHeight="1">
      <c r="A4" s="410"/>
      <c r="B4" s="402"/>
      <c r="C4" s="411"/>
      <c r="D4" s="411"/>
      <c r="E4" s="411"/>
      <c r="F4" s="412"/>
      <c r="G4" s="26"/>
      <c r="H4" s="26"/>
      <c r="I4" s="26"/>
      <c r="J4" s="26"/>
      <c r="K4" s="26"/>
      <c r="L4" s="401"/>
    </row>
    <row r="5" spans="1:12" ht="12.75" customHeight="1">
      <c r="A5" s="406"/>
      <c r="B5" s="413" t="s">
        <v>358</v>
      </c>
      <c r="C5" s="413" t="s">
        <v>342</v>
      </c>
      <c r="D5" s="413" t="s">
        <v>343</v>
      </c>
      <c r="E5" s="413" t="s">
        <v>344</v>
      </c>
      <c r="F5" s="414" t="s">
        <v>345</v>
      </c>
      <c r="G5" s="413" t="s">
        <v>346</v>
      </c>
      <c r="H5" s="413" t="s">
        <v>347</v>
      </c>
      <c r="I5" s="413" t="s">
        <v>534</v>
      </c>
      <c r="J5" s="413" t="s">
        <v>949</v>
      </c>
      <c r="K5" s="413" t="s">
        <v>961</v>
      </c>
      <c r="L5" s="413" t="s">
        <v>964</v>
      </c>
    </row>
    <row r="6" spans="1:12" ht="12.75" customHeight="1">
      <c r="A6" s="410"/>
      <c r="B6" s="402"/>
      <c r="C6" s="1153" t="s">
        <v>1256</v>
      </c>
      <c r="D6" s="411"/>
      <c r="E6" s="411"/>
      <c r="F6" s="781" t="s">
        <v>360</v>
      </c>
      <c r="G6" s="1153" t="s">
        <v>1257</v>
      </c>
      <c r="H6" s="1160"/>
      <c r="I6" s="1160"/>
      <c r="J6" s="1153" t="s">
        <v>1258</v>
      </c>
      <c r="K6" s="1153" t="s">
        <v>1259</v>
      </c>
      <c r="L6" s="1154" t="s">
        <v>1260</v>
      </c>
    </row>
    <row r="7" spans="1:12" ht="12.75" customHeight="1">
      <c r="C7" s="782"/>
      <c r="D7" s="783"/>
      <c r="E7" s="783"/>
      <c r="F7" s="784"/>
      <c r="J7" s="787"/>
    </row>
    <row r="8" spans="1:12" ht="13">
      <c r="A8" s="416"/>
      <c r="B8" s="1519" t="s">
        <v>1261</v>
      </c>
      <c r="C8" s="1521" t="s">
        <v>1262</v>
      </c>
      <c r="D8" s="1521"/>
      <c r="E8" s="1521"/>
      <c r="F8" s="417"/>
      <c r="G8" s="1522" t="s">
        <v>1263</v>
      </c>
      <c r="H8" s="1522"/>
      <c r="I8" s="1523"/>
      <c r="J8" s="1525" t="s">
        <v>1264</v>
      </c>
      <c r="K8" s="1522"/>
      <c r="L8" s="1523"/>
    </row>
    <row r="9" spans="1:12" ht="13">
      <c r="A9" s="51"/>
      <c r="B9" s="1520"/>
      <c r="C9" s="780" t="s">
        <v>196</v>
      </c>
      <c r="D9" s="780" t="s">
        <v>1265</v>
      </c>
      <c r="E9" s="418" t="s">
        <v>1266</v>
      </c>
      <c r="F9" s="419" t="s">
        <v>1208</v>
      </c>
      <c r="G9" s="418" t="s">
        <v>196</v>
      </c>
      <c r="H9" s="418" t="s">
        <v>1265</v>
      </c>
      <c r="I9" s="418" t="s">
        <v>1266</v>
      </c>
      <c r="J9" s="780" t="s">
        <v>196</v>
      </c>
      <c r="K9" s="418" t="s">
        <v>1265</v>
      </c>
      <c r="L9" s="418" t="s">
        <v>1266</v>
      </c>
    </row>
    <row r="10" spans="1:12" ht="13">
      <c r="A10" s="51" t="s">
        <v>329</v>
      </c>
      <c r="B10" s="420" t="s">
        <v>1267</v>
      </c>
      <c r="C10" s="250"/>
      <c r="D10" s="250"/>
      <c r="E10" s="421"/>
      <c r="F10" s="422"/>
      <c r="G10" s="421"/>
      <c r="H10" s="421"/>
      <c r="I10" s="421"/>
      <c r="J10" s="250"/>
      <c r="K10" s="421"/>
      <c r="L10" s="421"/>
    </row>
    <row r="11" spans="1:12" ht="13">
      <c r="A11" s="549">
        <v>1</v>
      </c>
      <c r="B11" s="478" t="s">
        <v>2313</v>
      </c>
      <c r="C11" s="788">
        <f>SUM(D11:E11)</f>
        <v>8721014.5099999998</v>
      </c>
      <c r="D11" s="950">
        <v>2947582.1800000006</v>
      </c>
      <c r="E11" s="950">
        <v>5773432.3299999991</v>
      </c>
      <c r="F11" s="1043"/>
      <c r="G11" s="789">
        <f t="shared" ref="G11:G42" si="0">SUM(H11:I11)</f>
        <v>0</v>
      </c>
      <c r="H11" s="950"/>
      <c r="I11" s="950"/>
      <c r="J11" s="572">
        <f>SUM(K11:L11)</f>
        <v>8721014.5099999998</v>
      </c>
      <c r="K11" s="572">
        <f>D11+H11</f>
        <v>2947582.1800000006</v>
      </c>
      <c r="L11" s="572">
        <f>E11+I11</f>
        <v>5773432.3299999991</v>
      </c>
    </row>
    <row r="12" spans="1:12" ht="13">
      <c r="A12" s="549">
        <f>A11+1</f>
        <v>2</v>
      </c>
      <c r="B12" s="478" t="s">
        <v>1268</v>
      </c>
      <c r="C12" s="788">
        <f>SUM(D12:E12)</f>
        <v>251031.09</v>
      </c>
      <c r="D12" s="950">
        <v>0</v>
      </c>
      <c r="E12" s="950">
        <v>251031.09</v>
      </c>
      <c r="F12" s="1043"/>
      <c r="G12" s="789">
        <f t="shared" si="0"/>
        <v>0</v>
      </c>
      <c r="H12" s="950"/>
      <c r="I12" s="950"/>
      <c r="J12" s="572">
        <f t="shared" ref="J12:J42" si="1">SUM(K12:L12)</f>
        <v>251031.09</v>
      </c>
      <c r="K12" s="572">
        <f t="shared" ref="K12:K21" si="2">D12+H12</f>
        <v>0</v>
      </c>
      <c r="L12" s="572">
        <f t="shared" ref="K12:L27" si="3">E12+I12</f>
        <v>251031.09</v>
      </c>
    </row>
    <row r="13" spans="1:12" ht="13">
      <c r="A13" s="549">
        <f t="shared" ref="A13:A44" si="4">A12+1</f>
        <v>3</v>
      </c>
      <c r="B13" s="570" t="s">
        <v>2314</v>
      </c>
      <c r="C13" s="788">
        <f t="shared" ref="C13:C40" si="5">SUM(D13:E13)</f>
        <v>13229581</v>
      </c>
      <c r="D13" s="950">
        <v>10842257.360000001</v>
      </c>
      <c r="E13" s="950">
        <v>2387323.6399999992</v>
      </c>
      <c r="F13" s="1043"/>
      <c r="G13" s="789">
        <f t="shared" si="0"/>
        <v>0</v>
      </c>
      <c r="H13" s="950"/>
      <c r="I13" s="950"/>
      <c r="J13" s="572">
        <f t="shared" si="1"/>
        <v>13229581</v>
      </c>
      <c r="K13" s="572">
        <f t="shared" si="2"/>
        <v>10842257.360000001</v>
      </c>
      <c r="L13" s="572">
        <f t="shared" si="3"/>
        <v>2387323.6399999992</v>
      </c>
    </row>
    <row r="14" spans="1:12" ht="13">
      <c r="A14" s="549">
        <f t="shared" si="4"/>
        <v>4</v>
      </c>
      <c r="B14" s="570" t="s">
        <v>1269</v>
      </c>
      <c r="C14" s="788">
        <f t="shared" si="5"/>
        <v>30727206.439999998</v>
      </c>
      <c r="D14" s="950">
        <v>0</v>
      </c>
      <c r="E14" s="950">
        <v>30727206.439999998</v>
      </c>
      <c r="F14" s="1043" t="s">
        <v>551</v>
      </c>
      <c r="G14" s="789">
        <f t="shared" si="0"/>
        <v>-30727206.440000001</v>
      </c>
      <c r="H14" s="950">
        <v>0</v>
      </c>
      <c r="I14" s="950">
        <v>-30727206.440000001</v>
      </c>
      <c r="J14" s="572">
        <f t="shared" si="1"/>
        <v>0</v>
      </c>
      <c r="K14" s="572">
        <f t="shared" si="2"/>
        <v>0</v>
      </c>
      <c r="L14" s="572">
        <f t="shared" si="3"/>
        <v>0</v>
      </c>
    </row>
    <row r="15" spans="1:12" ht="13">
      <c r="A15" s="549">
        <f t="shared" si="4"/>
        <v>5</v>
      </c>
      <c r="B15" s="570" t="s">
        <v>2315</v>
      </c>
      <c r="C15" s="788">
        <f t="shared" si="5"/>
        <v>4828525.6500000004</v>
      </c>
      <c r="D15" s="950">
        <v>4235346.790000001</v>
      </c>
      <c r="E15" s="950">
        <v>593178.85999999987</v>
      </c>
      <c r="F15" s="1043"/>
      <c r="G15" s="789">
        <f t="shared" si="0"/>
        <v>0</v>
      </c>
      <c r="H15" s="950"/>
      <c r="I15" s="950"/>
      <c r="J15" s="572">
        <f t="shared" si="1"/>
        <v>4828525.6500000004</v>
      </c>
      <c r="K15" s="572">
        <f t="shared" si="2"/>
        <v>4235346.790000001</v>
      </c>
      <c r="L15" s="572">
        <f t="shared" si="3"/>
        <v>593178.85999999987</v>
      </c>
    </row>
    <row r="16" spans="1:12" ht="13">
      <c r="A16" s="549">
        <f t="shared" si="4"/>
        <v>6</v>
      </c>
      <c r="B16" s="570" t="s">
        <v>2316</v>
      </c>
      <c r="C16" s="788">
        <f t="shared" si="5"/>
        <v>32343719.699999999</v>
      </c>
      <c r="D16" s="950">
        <v>26968567.499999996</v>
      </c>
      <c r="E16" s="950">
        <v>5375152.2000000039</v>
      </c>
      <c r="F16" s="1043"/>
      <c r="G16" s="789">
        <f t="shared" si="0"/>
        <v>0</v>
      </c>
      <c r="H16" s="950"/>
      <c r="I16" s="950"/>
      <c r="J16" s="572">
        <f t="shared" si="1"/>
        <v>32343719.699999999</v>
      </c>
      <c r="K16" s="572">
        <f t="shared" si="2"/>
        <v>26968567.499999996</v>
      </c>
      <c r="L16" s="572">
        <f t="shared" si="3"/>
        <v>5375152.2000000039</v>
      </c>
    </row>
    <row r="17" spans="1:12" ht="13">
      <c r="A17" s="549">
        <f t="shared" si="4"/>
        <v>7</v>
      </c>
      <c r="B17" s="570" t="s">
        <v>1270</v>
      </c>
      <c r="C17" s="788">
        <f t="shared" si="5"/>
        <v>0</v>
      </c>
      <c r="D17" s="950">
        <v>0</v>
      </c>
      <c r="E17" s="950">
        <v>0</v>
      </c>
      <c r="F17" s="1043" t="s">
        <v>552</v>
      </c>
      <c r="G17" s="789">
        <f t="shared" si="0"/>
        <v>0</v>
      </c>
      <c r="H17" s="950">
        <v>0</v>
      </c>
      <c r="I17" s="950">
        <v>0</v>
      </c>
      <c r="J17" s="572">
        <f t="shared" si="1"/>
        <v>0</v>
      </c>
      <c r="K17" s="572">
        <f t="shared" si="2"/>
        <v>0</v>
      </c>
      <c r="L17" s="572">
        <f t="shared" si="3"/>
        <v>0</v>
      </c>
    </row>
    <row r="18" spans="1:12" ht="13">
      <c r="A18" s="549">
        <f t="shared" si="4"/>
        <v>8</v>
      </c>
      <c r="B18" s="570" t="s">
        <v>1271</v>
      </c>
      <c r="C18" s="788">
        <f t="shared" si="5"/>
        <v>950815.02</v>
      </c>
      <c r="D18" s="950">
        <v>0</v>
      </c>
      <c r="E18" s="950">
        <v>950815.02</v>
      </c>
      <c r="F18" s="1043"/>
      <c r="G18" s="789">
        <f t="shared" si="0"/>
        <v>0</v>
      </c>
      <c r="H18" s="950"/>
      <c r="I18" s="950"/>
      <c r="J18" s="572">
        <f t="shared" si="1"/>
        <v>950815.02</v>
      </c>
      <c r="K18" s="572">
        <f t="shared" si="2"/>
        <v>0</v>
      </c>
      <c r="L18" s="572">
        <f t="shared" si="3"/>
        <v>950815.02</v>
      </c>
    </row>
    <row r="19" spans="1:12" ht="13">
      <c r="A19" s="549">
        <f t="shared" si="4"/>
        <v>9</v>
      </c>
      <c r="B19" s="570" t="s">
        <v>2317</v>
      </c>
      <c r="C19" s="788">
        <f t="shared" si="5"/>
        <v>40209181.039999999</v>
      </c>
      <c r="D19" s="950">
        <v>12092709.940000001</v>
      </c>
      <c r="E19" s="950">
        <v>28116471.099999998</v>
      </c>
      <c r="F19" s="1043"/>
      <c r="G19" s="789">
        <f t="shared" si="0"/>
        <v>0</v>
      </c>
      <c r="H19" s="950"/>
      <c r="I19" s="950"/>
      <c r="J19" s="572">
        <f t="shared" si="1"/>
        <v>40209181.039999999</v>
      </c>
      <c r="K19" s="572">
        <f t="shared" si="2"/>
        <v>12092709.940000001</v>
      </c>
      <c r="L19" s="572">
        <f t="shared" si="3"/>
        <v>28116471.099999998</v>
      </c>
    </row>
    <row r="20" spans="1:12" ht="13">
      <c r="A20" s="549">
        <f t="shared" si="4"/>
        <v>10</v>
      </c>
      <c r="B20" s="570" t="s">
        <v>2318</v>
      </c>
      <c r="C20" s="788">
        <f t="shared" si="5"/>
        <v>2410542.2000000002</v>
      </c>
      <c r="D20" s="950">
        <v>2105995.4700000002</v>
      </c>
      <c r="E20" s="950">
        <v>304546.73</v>
      </c>
      <c r="F20" s="1043"/>
      <c r="G20" s="789">
        <f t="shared" si="0"/>
        <v>0</v>
      </c>
      <c r="H20" s="950"/>
      <c r="I20" s="950"/>
      <c r="J20" s="572">
        <f t="shared" si="1"/>
        <v>2410542.2000000002</v>
      </c>
      <c r="K20" s="572">
        <f t="shared" si="2"/>
        <v>2105995.4700000002</v>
      </c>
      <c r="L20" s="572">
        <f t="shared" si="3"/>
        <v>304546.73</v>
      </c>
    </row>
    <row r="21" spans="1:12" ht="13">
      <c r="A21" s="549">
        <f t="shared" si="4"/>
        <v>11</v>
      </c>
      <c r="B21" s="570" t="s">
        <v>2319</v>
      </c>
      <c r="C21" s="788">
        <f t="shared" si="5"/>
        <v>0</v>
      </c>
      <c r="D21" s="950">
        <v>0</v>
      </c>
      <c r="E21" s="950">
        <v>0</v>
      </c>
      <c r="F21" s="1043"/>
      <c r="G21" s="789">
        <f t="shared" si="0"/>
        <v>0</v>
      </c>
      <c r="H21" s="950"/>
      <c r="I21" s="950"/>
      <c r="J21" s="572">
        <f t="shared" si="1"/>
        <v>0</v>
      </c>
      <c r="K21" s="572">
        <f t="shared" si="2"/>
        <v>0</v>
      </c>
      <c r="L21" s="572">
        <f t="shared" si="3"/>
        <v>0</v>
      </c>
    </row>
    <row r="22" spans="1:12" ht="13">
      <c r="A22" s="549">
        <f t="shared" si="4"/>
        <v>12</v>
      </c>
      <c r="B22" s="570" t="s">
        <v>1273</v>
      </c>
      <c r="C22" s="788">
        <f t="shared" si="5"/>
        <v>20617564.539999999</v>
      </c>
      <c r="D22" s="950">
        <v>0</v>
      </c>
      <c r="E22" s="950">
        <v>20617564.539999999</v>
      </c>
      <c r="F22" s="1043" t="s">
        <v>553</v>
      </c>
      <c r="G22" s="790">
        <f t="shared" si="0"/>
        <v>-20617564.539999999</v>
      </c>
      <c r="H22" s="950">
        <v>0</v>
      </c>
      <c r="I22" s="950">
        <v>-20617564.539999999</v>
      </c>
      <c r="J22" s="572">
        <f t="shared" si="1"/>
        <v>0</v>
      </c>
      <c r="K22" s="572">
        <f t="shared" si="3"/>
        <v>0</v>
      </c>
      <c r="L22" s="572">
        <f t="shared" si="3"/>
        <v>0</v>
      </c>
    </row>
    <row r="23" spans="1:12" ht="13">
      <c r="A23" s="549">
        <f t="shared" si="4"/>
        <v>13</v>
      </c>
      <c r="B23" s="570" t="s">
        <v>1274</v>
      </c>
      <c r="C23" s="788">
        <f t="shared" si="5"/>
        <v>371081.75</v>
      </c>
      <c r="D23" s="950">
        <v>0</v>
      </c>
      <c r="E23" s="950">
        <v>371081.75</v>
      </c>
      <c r="F23" s="1043"/>
      <c r="G23" s="789">
        <f t="shared" si="0"/>
        <v>0</v>
      </c>
      <c r="H23" s="950"/>
      <c r="I23" s="950"/>
      <c r="J23" s="572">
        <f t="shared" si="1"/>
        <v>371081.75</v>
      </c>
      <c r="K23" s="572">
        <f t="shared" si="3"/>
        <v>0</v>
      </c>
      <c r="L23" s="572">
        <f t="shared" si="3"/>
        <v>371081.75</v>
      </c>
    </row>
    <row r="24" spans="1:12" ht="13">
      <c r="A24" s="549">
        <f t="shared" si="4"/>
        <v>14</v>
      </c>
      <c r="B24" s="570" t="s">
        <v>2320</v>
      </c>
      <c r="C24" s="788">
        <f t="shared" si="5"/>
        <v>67394161.549999982</v>
      </c>
      <c r="D24" s="950">
        <v>30999596.229999986</v>
      </c>
      <c r="E24" s="950">
        <v>36394565.32</v>
      </c>
      <c r="F24" s="1043" t="s">
        <v>556</v>
      </c>
      <c r="G24" s="789">
        <f>SUM(H24:I24)</f>
        <v>-15597736.129999999</v>
      </c>
      <c r="H24" s="950">
        <v>-1095252.7</v>
      </c>
      <c r="I24" s="950">
        <v>-14502483.43</v>
      </c>
      <c r="J24" s="572">
        <f>SUM(K24:L24)</f>
        <v>51796425.419999987</v>
      </c>
      <c r="K24" s="572">
        <f t="shared" si="3"/>
        <v>29904343.529999986</v>
      </c>
      <c r="L24" s="572">
        <f t="shared" si="3"/>
        <v>21892081.890000001</v>
      </c>
    </row>
    <row r="25" spans="1:12" ht="13">
      <c r="A25" s="549">
        <f t="shared" si="4"/>
        <v>15</v>
      </c>
      <c r="B25" s="570" t="s">
        <v>1275</v>
      </c>
      <c r="C25" s="788">
        <f t="shared" si="5"/>
        <v>151904731.54000002</v>
      </c>
      <c r="D25" s="950">
        <v>0</v>
      </c>
      <c r="E25" s="950">
        <v>151904731.54000002</v>
      </c>
      <c r="F25" s="1043" t="s">
        <v>554</v>
      </c>
      <c r="G25" s="789">
        <f>SUM(H25:I25)</f>
        <v>-151904731.60999998</v>
      </c>
      <c r="H25" s="950">
        <v>0</v>
      </c>
      <c r="I25" s="950">
        <v>-151904731.60999998</v>
      </c>
      <c r="J25" s="572">
        <f t="shared" si="1"/>
        <v>-6.9999963045120239E-2</v>
      </c>
      <c r="K25" s="572">
        <f t="shared" si="3"/>
        <v>0</v>
      </c>
      <c r="L25" s="572">
        <f t="shared" si="3"/>
        <v>-6.9999963045120239E-2</v>
      </c>
    </row>
    <row r="26" spans="1:12" ht="13">
      <c r="A26" s="549">
        <f t="shared" si="4"/>
        <v>16</v>
      </c>
      <c r="B26" s="570" t="s">
        <v>1276</v>
      </c>
      <c r="C26" s="788">
        <f t="shared" si="5"/>
        <v>842622.43</v>
      </c>
      <c r="D26" s="950">
        <v>0</v>
      </c>
      <c r="E26" s="950">
        <v>842622.43</v>
      </c>
      <c r="F26" s="1043"/>
      <c r="G26" s="789">
        <f t="shared" si="0"/>
        <v>0</v>
      </c>
      <c r="H26" s="950"/>
      <c r="I26" s="950"/>
      <c r="J26" s="572">
        <f t="shared" si="1"/>
        <v>842622.43</v>
      </c>
      <c r="K26" s="572">
        <f t="shared" si="3"/>
        <v>0</v>
      </c>
      <c r="L26" s="572">
        <f t="shared" si="3"/>
        <v>842622.43</v>
      </c>
    </row>
    <row r="27" spans="1:12" ht="13">
      <c r="A27" s="549">
        <f t="shared" si="4"/>
        <v>17</v>
      </c>
      <c r="B27" s="570" t="s">
        <v>2308</v>
      </c>
      <c r="C27" s="788">
        <f t="shared" si="5"/>
        <v>18516862.59</v>
      </c>
      <c r="D27" s="950">
        <v>68787.360000000015</v>
      </c>
      <c r="E27" s="950">
        <v>18448075.23</v>
      </c>
      <c r="F27" s="1043" t="s">
        <v>556</v>
      </c>
      <c r="G27" s="790">
        <f t="shared" si="0"/>
        <v>0</v>
      </c>
      <c r="H27" s="950">
        <v>0</v>
      </c>
      <c r="I27" s="950">
        <v>0</v>
      </c>
      <c r="J27" s="572">
        <f t="shared" si="1"/>
        <v>18516862.59</v>
      </c>
      <c r="K27" s="572">
        <f t="shared" si="3"/>
        <v>68787.360000000015</v>
      </c>
      <c r="L27" s="572">
        <f t="shared" si="3"/>
        <v>18448075.23</v>
      </c>
    </row>
    <row r="28" spans="1:12" ht="13">
      <c r="A28" s="109">
        <f t="shared" si="4"/>
        <v>18</v>
      </c>
      <c r="B28" s="570" t="s">
        <v>1277</v>
      </c>
      <c r="C28" s="788">
        <f t="shared" si="5"/>
        <v>-7234.65</v>
      </c>
      <c r="D28" s="950">
        <v>0</v>
      </c>
      <c r="E28" s="950">
        <v>-7234.65</v>
      </c>
      <c r="F28" s="1043"/>
      <c r="G28" s="789">
        <f t="shared" si="0"/>
        <v>0</v>
      </c>
      <c r="H28" s="950"/>
      <c r="I28" s="950"/>
      <c r="J28" s="806">
        <f t="shared" si="1"/>
        <v>-7234.65</v>
      </c>
      <c r="K28" s="806">
        <f t="shared" ref="K28:L40" si="6">D28+H28</f>
        <v>0</v>
      </c>
      <c r="L28" s="806">
        <f t="shared" si="6"/>
        <v>-7234.65</v>
      </c>
    </row>
    <row r="29" spans="1:12" ht="13">
      <c r="A29" s="109">
        <f t="shared" si="4"/>
        <v>19</v>
      </c>
      <c r="B29" s="570" t="s">
        <v>1278</v>
      </c>
      <c r="C29" s="788">
        <f t="shared" si="5"/>
        <v>438002.55000000005</v>
      </c>
      <c r="D29" s="950">
        <v>0</v>
      </c>
      <c r="E29" s="950">
        <v>438002.55000000005</v>
      </c>
      <c r="F29" s="1043"/>
      <c r="G29" s="790">
        <f t="shared" si="0"/>
        <v>0</v>
      </c>
      <c r="H29" s="950"/>
      <c r="I29" s="950"/>
      <c r="J29" s="806">
        <f t="shared" ref="J29" si="7">SUM(K29:L29)</f>
        <v>438002.55000000005</v>
      </c>
      <c r="K29" s="806">
        <f t="shared" ref="K29" si="8">D29+H29</f>
        <v>0</v>
      </c>
      <c r="L29" s="806">
        <f t="shared" ref="L29" si="9">E29+I29</f>
        <v>438002.55000000005</v>
      </c>
    </row>
    <row r="30" spans="1:12" ht="13">
      <c r="A30" s="109">
        <f t="shared" si="4"/>
        <v>20</v>
      </c>
      <c r="B30" s="570" t="s">
        <v>2321</v>
      </c>
      <c r="C30" s="788">
        <f t="shared" si="5"/>
        <v>1802989.81</v>
      </c>
      <c r="D30" s="950">
        <v>1567136.62</v>
      </c>
      <c r="E30" s="950">
        <v>235853.18999999997</v>
      </c>
      <c r="F30" s="1043"/>
      <c r="G30" s="789">
        <f t="shared" si="0"/>
        <v>0</v>
      </c>
      <c r="H30" s="950"/>
      <c r="I30" s="950"/>
      <c r="J30" s="572">
        <f t="shared" si="1"/>
        <v>1802989.81</v>
      </c>
      <c r="K30" s="572">
        <f t="shared" si="6"/>
        <v>1567136.62</v>
      </c>
      <c r="L30" s="572">
        <f t="shared" si="6"/>
        <v>235853.18999999997</v>
      </c>
    </row>
    <row r="31" spans="1:12" ht="13">
      <c r="A31" s="109">
        <f t="shared" si="4"/>
        <v>21</v>
      </c>
      <c r="B31" s="570" t="s">
        <v>1279</v>
      </c>
      <c r="C31" s="788">
        <f t="shared" si="5"/>
        <v>365991.53</v>
      </c>
      <c r="D31" s="950">
        <v>0</v>
      </c>
      <c r="E31" s="950">
        <v>365991.53</v>
      </c>
      <c r="F31" s="1043"/>
      <c r="G31" s="789">
        <f t="shared" si="0"/>
        <v>0</v>
      </c>
      <c r="H31" s="950"/>
      <c r="I31" s="950"/>
      <c r="J31" s="572">
        <f t="shared" si="1"/>
        <v>365991.53</v>
      </c>
      <c r="K31" s="572">
        <f t="shared" si="6"/>
        <v>0</v>
      </c>
      <c r="L31" s="572">
        <f t="shared" si="6"/>
        <v>365991.53</v>
      </c>
    </row>
    <row r="32" spans="1:12" ht="13">
      <c r="A32" s="109">
        <f t="shared" si="4"/>
        <v>22</v>
      </c>
      <c r="B32" s="570" t="s">
        <v>2322</v>
      </c>
      <c r="C32" s="788">
        <f t="shared" si="5"/>
        <v>39115214.539999999</v>
      </c>
      <c r="D32" s="950">
        <v>7644.800000000002</v>
      </c>
      <c r="E32" s="950">
        <v>39107569.740000002</v>
      </c>
      <c r="F32" s="1043" t="s">
        <v>555</v>
      </c>
      <c r="G32" s="789">
        <f t="shared" si="0"/>
        <v>-36711547</v>
      </c>
      <c r="H32" s="950">
        <v>0</v>
      </c>
      <c r="I32" s="950">
        <v>-36711547</v>
      </c>
      <c r="J32" s="572">
        <f t="shared" si="1"/>
        <v>2403667.5400000019</v>
      </c>
      <c r="K32" s="572">
        <f t="shared" si="6"/>
        <v>7644.800000000002</v>
      </c>
      <c r="L32" s="572">
        <f t="shared" si="6"/>
        <v>2396022.7400000021</v>
      </c>
    </row>
    <row r="33" spans="1:12" ht="13">
      <c r="A33" s="109">
        <f t="shared" si="4"/>
        <v>23</v>
      </c>
      <c r="B33" s="570" t="s">
        <v>1280</v>
      </c>
      <c r="C33" s="788">
        <f t="shared" si="5"/>
        <v>2440888.5499999998</v>
      </c>
      <c r="D33" s="950">
        <v>0</v>
      </c>
      <c r="E33" s="950">
        <v>2440888.5499999998</v>
      </c>
      <c r="F33" s="1043"/>
      <c r="G33" s="789">
        <f t="shared" si="0"/>
        <v>0</v>
      </c>
      <c r="H33" s="950"/>
      <c r="I33" s="950"/>
      <c r="J33" s="572">
        <f t="shared" si="1"/>
        <v>2440888.5499999998</v>
      </c>
      <c r="K33" s="572">
        <f t="shared" si="6"/>
        <v>0</v>
      </c>
      <c r="L33" s="572">
        <f t="shared" si="6"/>
        <v>2440888.5499999998</v>
      </c>
    </row>
    <row r="34" spans="1:12" ht="13">
      <c r="A34" s="109">
        <f t="shared" si="4"/>
        <v>24</v>
      </c>
      <c r="B34" s="570" t="s">
        <v>2323</v>
      </c>
      <c r="C34" s="788">
        <f t="shared" si="5"/>
        <v>8050840.4100000011</v>
      </c>
      <c r="D34" s="950">
        <v>3312956.6800000006</v>
      </c>
      <c r="E34" s="950">
        <v>4737883.7300000004</v>
      </c>
      <c r="F34" s="1043"/>
      <c r="G34" s="789">
        <f t="shared" si="0"/>
        <v>0</v>
      </c>
      <c r="H34" s="950"/>
      <c r="I34" s="950"/>
      <c r="J34" s="572">
        <f t="shared" si="1"/>
        <v>8050840.4100000011</v>
      </c>
      <c r="K34" s="572">
        <f t="shared" si="6"/>
        <v>3312956.6800000006</v>
      </c>
      <c r="L34" s="572">
        <f t="shared" si="6"/>
        <v>4737883.7300000004</v>
      </c>
    </row>
    <row r="35" spans="1:12" ht="13">
      <c r="A35" s="109">
        <f t="shared" si="4"/>
        <v>25</v>
      </c>
      <c r="B35" s="570" t="s">
        <v>1281</v>
      </c>
      <c r="C35" s="788">
        <f t="shared" si="5"/>
        <v>1301046.3800000001</v>
      </c>
      <c r="D35" s="950">
        <v>0</v>
      </c>
      <c r="E35" s="950">
        <v>1301046.3800000001</v>
      </c>
      <c r="F35" s="1043"/>
      <c r="G35" s="789">
        <f t="shared" si="0"/>
        <v>0</v>
      </c>
      <c r="H35" s="950"/>
      <c r="I35" s="950"/>
      <c r="J35" s="572">
        <f t="shared" si="1"/>
        <v>1301046.3800000001</v>
      </c>
      <c r="K35" s="572">
        <f t="shared" si="6"/>
        <v>0</v>
      </c>
      <c r="L35" s="572">
        <f t="shared" si="6"/>
        <v>1301046.3800000001</v>
      </c>
    </row>
    <row r="36" spans="1:12" ht="13">
      <c r="A36" s="109">
        <f t="shared" si="4"/>
        <v>26</v>
      </c>
      <c r="B36" s="570" t="s">
        <v>2324</v>
      </c>
      <c r="C36" s="788">
        <f t="shared" si="5"/>
        <v>86145175.479999959</v>
      </c>
      <c r="D36" s="950">
        <v>14331006.829999994</v>
      </c>
      <c r="E36" s="950">
        <v>71814168.649999961</v>
      </c>
      <c r="F36" s="1043" t="s">
        <v>556</v>
      </c>
      <c r="G36" s="789">
        <f t="shared" si="0"/>
        <v>-671453.29</v>
      </c>
      <c r="H36" s="950">
        <v>1.98</v>
      </c>
      <c r="I36" s="950">
        <v>-671455.27</v>
      </c>
      <c r="J36" s="572">
        <f t="shared" si="1"/>
        <v>85473722.189999968</v>
      </c>
      <c r="K36" s="572">
        <f t="shared" si="6"/>
        <v>14331008.809999995</v>
      </c>
      <c r="L36" s="572">
        <f t="shared" si="6"/>
        <v>71142713.379999965</v>
      </c>
    </row>
    <row r="37" spans="1:12" ht="13">
      <c r="A37" s="109">
        <f t="shared" si="4"/>
        <v>27</v>
      </c>
      <c r="B37" s="570" t="s">
        <v>1282</v>
      </c>
      <c r="C37" s="788">
        <f t="shared" si="5"/>
        <v>671146.64</v>
      </c>
      <c r="D37" s="950">
        <v>0</v>
      </c>
      <c r="E37" s="950">
        <v>671146.64</v>
      </c>
      <c r="F37" s="1043"/>
      <c r="G37" s="789">
        <f t="shared" si="0"/>
        <v>0</v>
      </c>
      <c r="H37" s="950"/>
      <c r="I37" s="950"/>
      <c r="J37" s="572">
        <f t="shared" si="1"/>
        <v>671146.64</v>
      </c>
      <c r="K37" s="572">
        <f t="shared" si="6"/>
        <v>0</v>
      </c>
      <c r="L37" s="572">
        <f t="shared" si="6"/>
        <v>671146.64</v>
      </c>
    </row>
    <row r="38" spans="1:12" ht="13">
      <c r="A38" s="109">
        <f t="shared" si="4"/>
        <v>28</v>
      </c>
      <c r="B38" s="570" t="s">
        <v>2325</v>
      </c>
      <c r="C38" s="788">
        <f t="shared" si="5"/>
        <v>453295.91000000003</v>
      </c>
      <c r="D38" s="950">
        <v>138453.72</v>
      </c>
      <c r="E38" s="950">
        <v>314842.19</v>
      </c>
      <c r="F38" s="1043"/>
      <c r="G38" s="789">
        <f t="shared" si="0"/>
        <v>0</v>
      </c>
      <c r="H38" s="950"/>
      <c r="I38" s="950"/>
      <c r="J38" s="572">
        <f t="shared" si="1"/>
        <v>453295.91000000003</v>
      </c>
      <c r="K38" s="572">
        <f t="shared" si="6"/>
        <v>138453.72</v>
      </c>
      <c r="L38" s="572">
        <f t="shared" si="6"/>
        <v>314842.19</v>
      </c>
    </row>
    <row r="39" spans="1:12" ht="13">
      <c r="A39" s="109">
        <f t="shared" si="4"/>
        <v>29</v>
      </c>
      <c r="B39" s="570" t="s">
        <v>1284</v>
      </c>
      <c r="C39" s="788">
        <f t="shared" si="5"/>
        <v>13727.48</v>
      </c>
      <c r="D39" s="950">
        <v>0</v>
      </c>
      <c r="E39" s="950">
        <v>13727.48</v>
      </c>
      <c r="F39" s="1043"/>
      <c r="G39" s="789">
        <f t="shared" si="0"/>
        <v>0</v>
      </c>
      <c r="H39" s="950"/>
      <c r="I39" s="950"/>
      <c r="J39" s="572">
        <f t="shared" si="1"/>
        <v>13727.48</v>
      </c>
      <c r="K39" s="572">
        <f t="shared" si="6"/>
        <v>0</v>
      </c>
      <c r="L39" s="572">
        <f t="shared" si="6"/>
        <v>13727.48</v>
      </c>
    </row>
    <row r="40" spans="1:12" ht="13">
      <c r="A40" s="109">
        <f t="shared" si="4"/>
        <v>30</v>
      </c>
      <c r="B40" s="570" t="s">
        <v>2326</v>
      </c>
      <c r="C40" s="788">
        <f t="shared" si="5"/>
        <v>1583990.81</v>
      </c>
      <c r="D40" s="950">
        <v>1119461.1000000001</v>
      </c>
      <c r="E40" s="950">
        <v>464529.71</v>
      </c>
      <c r="F40" s="1043"/>
      <c r="G40" s="789">
        <f t="shared" si="0"/>
        <v>0</v>
      </c>
      <c r="H40" s="950"/>
      <c r="I40" s="950"/>
      <c r="J40" s="572">
        <f t="shared" si="1"/>
        <v>1583990.81</v>
      </c>
      <c r="K40" s="572">
        <f t="shared" si="6"/>
        <v>1119461.1000000001</v>
      </c>
      <c r="L40" s="572">
        <f t="shared" si="6"/>
        <v>464529.71</v>
      </c>
    </row>
    <row r="41" spans="1:12" ht="14">
      <c r="A41" s="109">
        <f t="shared" si="4"/>
        <v>31</v>
      </c>
      <c r="B41" s="514" t="s">
        <v>504</v>
      </c>
      <c r="C41" s="792" t="s">
        <v>76</v>
      </c>
      <c r="D41" s="792" t="s">
        <v>76</v>
      </c>
      <c r="E41" s="792" t="s">
        <v>76</v>
      </c>
      <c r="F41" s="792" t="s">
        <v>76</v>
      </c>
      <c r="G41" s="790">
        <f t="shared" si="0"/>
        <v>0</v>
      </c>
      <c r="H41" s="792" t="s">
        <v>76</v>
      </c>
      <c r="I41" s="792" t="s">
        <v>76</v>
      </c>
      <c r="J41" s="423"/>
      <c r="K41" s="423"/>
      <c r="L41" s="423"/>
    </row>
    <row r="42" spans="1:12" ht="13">
      <c r="A42" s="109">
        <f t="shared" si="4"/>
        <v>32</v>
      </c>
      <c r="B42" s="570" t="s">
        <v>1992</v>
      </c>
      <c r="C42" s="793">
        <v>0</v>
      </c>
      <c r="D42" s="793">
        <v>0</v>
      </c>
      <c r="E42" s="793">
        <v>0</v>
      </c>
      <c r="F42" s="808"/>
      <c r="G42" s="794">
        <f t="shared" si="0"/>
        <v>-2519815.004202622</v>
      </c>
      <c r="H42" s="795">
        <f>+C64*C144</f>
        <v>-2519815.004202622</v>
      </c>
      <c r="I42" s="795">
        <v>0</v>
      </c>
      <c r="J42" s="796">
        <f t="shared" si="1"/>
        <v>-2519815.004202622</v>
      </c>
      <c r="K42" s="796">
        <f>D42+H42</f>
        <v>-2519815.004202622</v>
      </c>
      <c r="L42" s="796">
        <f>E42+I42</f>
        <v>0</v>
      </c>
    </row>
    <row r="43" spans="1:12" ht="13">
      <c r="A43" s="109">
        <f t="shared" si="4"/>
        <v>33</v>
      </c>
      <c r="B43" s="424" t="s">
        <v>1285</v>
      </c>
      <c r="C43" s="788">
        <f>SUM(C11:C42)</f>
        <v>535693716.49000001</v>
      </c>
      <c r="D43" s="797">
        <f>SUM(D11:D42)</f>
        <v>110737502.57999998</v>
      </c>
      <c r="E43" s="797">
        <f>SUM(E11:E42)</f>
        <v>424956213.91000009</v>
      </c>
      <c r="F43" s="798"/>
      <c r="G43" s="798">
        <f t="shared" ref="G43:L43" si="10">SUM(G11:G42)</f>
        <v>-258750054.01420259</v>
      </c>
      <c r="H43" s="799">
        <f t="shared" si="10"/>
        <v>-3615065.7242026217</v>
      </c>
      <c r="I43" s="799">
        <f t="shared" si="10"/>
        <v>-255134988.28999999</v>
      </c>
      <c r="J43" s="799">
        <f t="shared" si="10"/>
        <v>276943662.47579741</v>
      </c>
      <c r="K43" s="799">
        <f t="shared" si="10"/>
        <v>107122436.85579737</v>
      </c>
      <c r="L43" s="799">
        <f t="shared" si="10"/>
        <v>169821225.61999997</v>
      </c>
    </row>
    <row r="44" spans="1:12" ht="13">
      <c r="A44" s="109">
        <f t="shared" si="4"/>
        <v>34</v>
      </c>
      <c r="B44" s="496"/>
      <c r="C44" s="800"/>
      <c r="D44" s="801"/>
      <c r="E44" s="801"/>
      <c r="F44" s="802"/>
      <c r="G44" s="803"/>
      <c r="H44" s="804"/>
      <c r="I44" s="804"/>
      <c r="J44" s="572"/>
      <c r="K44" s="572"/>
      <c r="L44" s="572"/>
    </row>
    <row r="45" spans="1:12" ht="13">
      <c r="A45" s="549"/>
      <c r="B45" s="424"/>
      <c r="C45" s="801"/>
      <c r="D45" s="801"/>
      <c r="E45" s="801"/>
      <c r="F45" s="802"/>
      <c r="G45" s="805"/>
      <c r="H45" s="801"/>
      <c r="I45" s="801"/>
      <c r="J45" s="801"/>
      <c r="K45" s="801"/>
      <c r="L45" s="801"/>
    </row>
    <row r="46" spans="1:12" ht="13">
      <c r="A46" s="549"/>
      <c r="B46" s="413" t="s">
        <v>358</v>
      </c>
      <c r="C46" s="413" t="s">
        <v>342</v>
      </c>
      <c r="D46" s="413" t="s">
        <v>343</v>
      </c>
      <c r="E46" s="413" t="s">
        <v>344</v>
      </c>
      <c r="F46" s="414" t="s">
        <v>345</v>
      </c>
      <c r="G46" s="413" t="s">
        <v>346</v>
      </c>
      <c r="H46" s="413" t="s">
        <v>347</v>
      </c>
      <c r="I46" s="413" t="s">
        <v>534</v>
      </c>
      <c r="J46" s="413" t="s">
        <v>949</v>
      </c>
      <c r="K46" s="413" t="s">
        <v>961</v>
      </c>
      <c r="L46" s="413" t="s">
        <v>964</v>
      </c>
    </row>
    <row r="47" spans="1:12" ht="13">
      <c r="A47" s="549"/>
      <c r="B47" s="424"/>
      <c r="C47" s="1153" t="s">
        <v>1256</v>
      </c>
      <c r="D47" s="411"/>
      <c r="E47" s="411"/>
      <c r="F47" s="781" t="s">
        <v>360</v>
      </c>
      <c r="G47" s="1153" t="s">
        <v>1257</v>
      </c>
      <c r="H47" s="415"/>
      <c r="I47" s="415"/>
      <c r="J47" s="1153" t="s">
        <v>1258</v>
      </c>
      <c r="K47" s="1153" t="s">
        <v>1259</v>
      </c>
      <c r="L47" s="1154" t="s">
        <v>1260</v>
      </c>
    </row>
    <row r="48" spans="1:12" ht="13">
      <c r="A48" s="549"/>
      <c r="C48" s="800"/>
      <c r="D48" s="801"/>
      <c r="E48" s="801"/>
      <c r="F48" s="802"/>
      <c r="G48" s="803"/>
      <c r="H48" s="801"/>
      <c r="I48" s="801"/>
      <c r="J48" s="572"/>
      <c r="K48" s="572"/>
      <c r="L48" s="572"/>
    </row>
    <row r="49" spans="1:12" ht="13">
      <c r="A49" s="549"/>
      <c r="B49" s="1519" t="s">
        <v>1261</v>
      </c>
      <c r="C49" s="1521" t="s">
        <v>1262</v>
      </c>
      <c r="D49" s="1521"/>
      <c r="E49" s="1521"/>
      <c r="F49" s="417"/>
      <c r="G49" s="1522" t="s">
        <v>1263</v>
      </c>
      <c r="H49" s="1522"/>
      <c r="I49" s="1523"/>
      <c r="J49" s="1525" t="s">
        <v>1264</v>
      </c>
      <c r="K49" s="1522"/>
      <c r="L49" s="1523"/>
    </row>
    <row r="50" spans="1:12" ht="13">
      <c r="A50" s="549"/>
      <c r="B50" s="1520"/>
      <c r="C50" s="780" t="s">
        <v>196</v>
      </c>
      <c r="D50" s="780" t="s">
        <v>1265</v>
      </c>
      <c r="E50" s="418" t="s">
        <v>1266</v>
      </c>
      <c r="F50" s="419" t="s">
        <v>1208</v>
      </c>
      <c r="G50" s="418" t="s">
        <v>196</v>
      </c>
      <c r="H50" s="418" t="s">
        <v>1265</v>
      </c>
      <c r="I50" s="418" t="s">
        <v>1266</v>
      </c>
      <c r="J50" s="780" t="s">
        <v>196</v>
      </c>
      <c r="K50" s="418" t="s">
        <v>1265</v>
      </c>
      <c r="L50" s="418" t="s">
        <v>1266</v>
      </c>
    </row>
    <row r="51" spans="1:12" ht="13">
      <c r="A51" s="549"/>
      <c r="B51" s="425" t="s">
        <v>1286</v>
      </c>
      <c r="C51" s="250"/>
      <c r="D51" s="250"/>
      <c r="E51" s="421"/>
      <c r="F51" s="422"/>
      <c r="G51" s="421"/>
      <c r="H51" s="421"/>
      <c r="I51" s="421"/>
      <c r="J51" s="250"/>
      <c r="K51" s="421"/>
      <c r="L51" s="421"/>
    </row>
    <row r="52" spans="1:12" ht="13">
      <c r="A52" s="109">
        <f>A44+1</f>
        <v>35</v>
      </c>
      <c r="B52" s="570" t="s">
        <v>2311</v>
      </c>
      <c r="C52" s="806">
        <f t="shared" ref="C52:C56" si="11">SUM(D52:E52)</f>
        <v>36714424.049999997</v>
      </c>
      <c r="D52" s="950">
        <v>27887902.48</v>
      </c>
      <c r="E52" s="950">
        <v>8826521.5699999984</v>
      </c>
      <c r="F52" s="1043"/>
      <c r="G52" s="803">
        <f t="shared" ref="G52:G56" si="12">SUM(H52:I52)</f>
        <v>0</v>
      </c>
      <c r="H52" s="950"/>
      <c r="I52" s="950"/>
      <c r="J52" s="572">
        <f t="shared" ref="J52:J56" si="13">SUM(K52:L52)</f>
        <v>36714424.049999997</v>
      </c>
      <c r="K52" s="572">
        <f t="shared" ref="K52:L57" si="14">D52+H52</f>
        <v>27887902.48</v>
      </c>
      <c r="L52" s="572">
        <f t="shared" si="14"/>
        <v>8826521.5699999984</v>
      </c>
    </row>
    <row r="53" spans="1:12" ht="13">
      <c r="A53" s="109">
        <f t="shared" ref="A53:A62" si="15">A52+1</f>
        <v>36</v>
      </c>
      <c r="B53" s="570" t="s">
        <v>1287</v>
      </c>
      <c r="C53" s="806">
        <f t="shared" si="11"/>
        <v>1791821.0299999998</v>
      </c>
      <c r="D53" s="950">
        <v>1567559.2999999998</v>
      </c>
      <c r="E53" s="950">
        <v>224261.72999999998</v>
      </c>
      <c r="F53" s="1043"/>
      <c r="G53" s="803">
        <f t="shared" si="12"/>
        <v>0</v>
      </c>
      <c r="H53" s="950"/>
      <c r="I53" s="950"/>
      <c r="J53" s="572">
        <f t="shared" si="13"/>
        <v>1791821.0299999998</v>
      </c>
      <c r="K53" s="572">
        <f t="shared" si="14"/>
        <v>1567559.2999999998</v>
      </c>
      <c r="L53" s="572">
        <f t="shared" si="14"/>
        <v>224261.72999999998</v>
      </c>
    </row>
    <row r="54" spans="1:12" ht="13">
      <c r="A54" s="109">
        <f t="shared" si="15"/>
        <v>37</v>
      </c>
      <c r="B54" s="570" t="s">
        <v>1288</v>
      </c>
      <c r="C54" s="806">
        <f t="shared" si="11"/>
        <v>163471.96999999997</v>
      </c>
      <c r="D54" s="950">
        <v>11165.869999999997</v>
      </c>
      <c r="E54" s="950">
        <v>152306.09999999998</v>
      </c>
      <c r="F54" s="1043"/>
      <c r="G54" s="803">
        <f t="shared" si="12"/>
        <v>0</v>
      </c>
      <c r="H54" s="950"/>
      <c r="I54" s="950"/>
      <c r="J54" s="572">
        <f t="shared" si="13"/>
        <v>163471.96999999997</v>
      </c>
      <c r="K54" s="572">
        <f t="shared" si="14"/>
        <v>11165.869999999997</v>
      </c>
      <c r="L54" s="572">
        <f t="shared" si="14"/>
        <v>152306.09999999998</v>
      </c>
    </row>
    <row r="55" spans="1:12" ht="13">
      <c r="A55" s="109">
        <f t="shared" si="15"/>
        <v>38</v>
      </c>
      <c r="B55" s="570" t="s">
        <v>2312</v>
      </c>
      <c r="C55" s="806">
        <f t="shared" si="11"/>
        <v>8090408.7100000009</v>
      </c>
      <c r="D55" s="950">
        <v>3175600.61</v>
      </c>
      <c r="E55" s="950">
        <v>4914808.1000000006</v>
      </c>
      <c r="F55" s="1043"/>
      <c r="G55" s="803">
        <f t="shared" si="12"/>
        <v>0</v>
      </c>
      <c r="H55" s="950"/>
      <c r="I55" s="950"/>
      <c r="J55" s="572">
        <f t="shared" si="13"/>
        <v>8090408.7100000009</v>
      </c>
      <c r="K55" s="572">
        <f t="shared" si="14"/>
        <v>3175600.61</v>
      </c>
      <c r="L55" s="572">
        <f t="shared" si="14"/>
        <v>4914808.1000000006</v>
      </c>
    </row>
    <row r="56" spans="1:12" ht="13">
      <c r="A56" s="109">
        <f t="shared" si="15"/>
        <v>39</v>
      </c>
      <c r="B56" s="570" t="s">
        <v>1289</v>
      </c>
      <c r="C56" s="806">
        <f t="shared" si="11"/>
        <v>1147681996.7300003</v>
      </c>
      <c r="D56" s="950">
        <v>257696283.06999999</v>
      </c>
      <c r="E56" s="950">
        <v>889985713.66000032</v>
      </c>
      <c r="F56" s="1043" t="s">
        <v>556</v>
      </c>
      <c r="G56" s="877">
        <f t="shared" si="12"/>
        <v>-4117179.1800000006</v>
      </c>
      <c r="H56" s="950">
        <v>-54261.410000000033</v>
      </c>
      <c r="I56" s="950">
        <v>-4062917.7700000005</v>
      </c>
      <c r="J56" s="572">
        <f t="shared" si="13"/>
        <v>1143564817.5500004</v>
      </c>
      <c r="K56" s="572">
        <f t="shared" si="14"/>
        <v>257642021.66</v>
      </c>
      <c r="L56" s="572">
        <f t="shared" si="14"/>
        <v>885922795.89000034</v>
      </c>
    </row>
    <row r="57" spans="1:12" ht="13">
      <c r="A57" s="109">
        <f>A56+1</f>
        <v>40</v>
      </c>
      <c r="B57" s="570" t="s">
        <v>1993</v>
      </c>
      <c r="C57" s="793">
        <v>0</v>
      </c>
      <c r="D57" s="793">
        <v>0</v>
      </c>
      <c r="E57" s="793">
        <v>0</v>
      </c>
      <c r="F57" s="808"/>
      <c r="G57" s="807">
        <f>SUM(H57:I57)</f>
        <v>-6606608.6023446145</v>
      </c>
      <c r="H57" s="808">
        <f>+C64*C145</f>
        <v>-6606608.6023446145</v>
      </c>
      <c r="I57" s="808">
        <v>0</v>
      </c>
      <c r="J57" s="809">
        <f>SUM(K57:L57)</f>
        <v>-6606608.6023446145</v>
      </c>
      <c r="K57" s="809">
        <f t="shared" si="14"/>
        <v>-6606608.6023446145</v>
      </c>
      <c r="L57" s="809">
        <f t="shared" si="14"/>
        <v>0</v>
      </c>
    </row>
    <row r="58" spans="1:12" ht="13">
      <c r="A58" s="109">
        <f t="shared" si="15"/>
        <v>41</v>
      </c>
      <c r="B58" s="424" t="s">
        <v>1290</v>
      </c>
      <c r="C58" s="801">
        <f>SUM(C52:C57)</f>
        <v>1194442122.4900002</v>
      </c>
      <c r="D58" s="801">
        <f>SUM(D52:D57)</f>
        <v>290338511.32999998</v>
      </c>
      <c r="E58" s="801">
        <f>SUM(E52:E57)</f>
        <v>904103611.16000032</v>
      </c>
      <c r="F58" s="802"/>
      <c r="G58" s="805">
        <f t="shared" ref="G58:L58" si="16">SUM(G52:G57)</f>
        <v>-10723787.782344615</v>
      </c>
      <c r="H58" s="801">
        <f t="shared" si="16"/>
        <v>-6660870.0123446146</v>
      </c>
      <c r="I58" s="801">
        <f t="shared" si="16"/>
        <v>-4062917.7700000005</v>
      </c>
      <c r="J58" s="801">
        <f>SUM(J52:J57)</f>
        <v>1183718334.7076559</v>
      </c>
      <c r="K58" s="801">
        <f t="shared" si="16"/>
        <v>283677641.31765538</v>
      </c>
      <c r="L58" s="801">
        <f t="shared" si="16"/>
        <v>900040693.39000034</v>
      </c>
    </row>
    <row r="59" spans="1:12" ht="13">
      <c r="A59" s="109">
        <f t="shared" si="15"/>
        <v>42</v>
      </c>
      <c r="B59" s="800"/>
      <c r="C59" s="806"/>
      <c r="D59" s="801"/>
      <c r="E59" s="801"/>
      <c r="F59" s="810"/>
      <c r="G59" s="803"/>
      <c r="H59" s="804"/>
      <c r="I59" s="804"/>
      <c r="J59" s="572"/>
      <c r="K59" s="572"/>
      <c r="L59" s="572"/>
    </row>
    <row r="60" spans="1:12" ht="13">
      <c r="A60" s="109">
        <f t="shared" si="15"/>
        <v>43</v>
      </c>
      <c r="B60" s="424" t="s">
        <v>1291</v>
      </c>
      <c r="C60" s="806">
        <f>+C43+C58</f>
        <v>1730135838.9800003</v>
      </c>
      <c r="D60" s="806">
        <f>D58+D43</f>
        <v>401076013.90999997</v>
      </c>
      <c r="E60" s="806">
        <f>E58+E43</f>
        <v>1329059825.0700004</v>
      </c>
      <c r="F60" s="811"/>
      <c r="G60" s="803">
        <f>+G43+G58</f>
        <v>-269473841.79654723</v>
      </c>
      <c r="H60" s="572">
        <f>H58+H43</f>
        <v>-10275935.736547235</v>
      </c>
      <c r="I60" s="572">
        <f>I58+I43</f>
        <v>-259197906.06</v>
      </c>
      <c r="J60" s="572">
        <f>J58+J43</f>
        <v>1460661997.1834533</v>
      </c>
      <c r="K60" s="572">
        <f>K58+K43</f>
        <v>390800078.17345273</v>
      </c>
      <c r="L60" s="572">
        <f>L58+L43</f>
        <v>1069861919.0100003</v>
      </c>
    </row>
    <row r="61" spans="1:12" ht="13">
      <c r="A61" s="109">
        <f t="shared" si="15"/>
        <v>44</v>
      </c>
      <c r="B61" s="800"/>
      <c r="C61" s="800"/>
      <c r="D61" s="800"/>
      <c r="E61" s="800"/>
      <c r="F61" s="811"/>
      <c r="G61" s="812"/>
      <c r="H61" s="804"/>
      <c r="I61" s="804"/>
      <c r="J61" s="496"/>
      <c r="K61" s="496"/>
      <c r="L61" s="496"/>
    </row>
    <row r="62" spans="1:12" ht="13">
      <c r="A62" s="109">
        <f t="shared" si="15"/>
        <v>45</v>
      </c>
      <c r="B62" s="570" t="s">
        <v>1292</v>
      </c>
      <c r="C62" s="1042">
        <v>535693716</v>
      </c>
      <c r="D62" s="813" t="s">
        <v>1293</v>
      </c>
      <c r="E62" s="806" t="str">
        <f>"Must equal Line "&amp;A43&amp;", Column 2."</f>
        <v>Must equal Line 33, Column 2.</v>
      </c>
      <c r="F62" s="811"/>
      <c r="G62" s="426"/>
      <c r="H62" s="427"/>
      <c r="I62" s="427"/>
      <c r="J62" s="427"/>
      <c r="K62" s="427"/>
      <c r="L62" s="427"/>
    </row>
    <row r="63" spans="1:12" ht="13">
      <c r="A63" s="109">
        <f>A62+1</f>
        <v>46</v>
      </c>
      <c r="B63" s="570" t="s">
        <v>1294</v>
      </c>
      <c r="C63" s="1042">
        <v>1194442122</v>
      </c>
      <c r="D63" s="813" t="s">
        <v>2424</v>
      </c>
      <c r="E63" s="806" t="str">
        <f>"Must equal Line "&amp;A58&amp;", Column 2."</f>
        <v>Must equal Line 41, Column 2.</v>
      </c>
      <c r="F63" s="811"/>
      <c r="G63" s="803"/>
      <c r="H63" s="572"/>
      <c r="I63" s="572"/>
      <c r="J63" s="572"/>
      <c r="K63" s="572"/>
      <c r="L63" s="572"/>
    </row>
    <row r="64" spans="1:12" ht="13">
      <c r="A64" s="109">
        <f>A63+1</f>
        <v>47</v>
      </c>
      <c r="B64" s="570" t="s">
        <v>1994</v>
      </c>
      <c r="C64" s="814">
        <f>'20-AandG'!E63</f>
        <v>-9126423.6065472364</v>
      </c>
      <c r="D64" s="813" t="str">
        <f>"20-AandG, Note 2, "&amp;'20-AandG'!B63&amp;""</f>
        <v>20-AandG, Note 2, f</v>
      </c>
      <c r="E64" s="806"/>
      <c r="F64" s="109"/>
      <c r="G64" s="803"/>
      <c r="H64" s="572"/>
      <c r="I64" s="572"/>
      <c r="J64" s="572"/>
      <c r="K64" s="572"/>
      <c r="L64" s="572"/>
    </row>
    <row r="65" spans="1:12" ht="13">
      <c r="A65" s="428"/>
      <c r="C65" s="429"/>
      <c r="D65" s="806"/>
      <c r="E65" s="806"/>
      <c r="F65" s="811"/>
      <c r="G65" s="803"/>
      <c r="H65" s="572"/>
      <c r="I65" s="572"/>
      <c r="J65" s="572"/>
      <c r="K65" s="572"/>
      <c r="L65" s="572"/>
    </row>
    <row r="66" spans="1:12" ht="13">
      <c r="A66" s="496"/>
      <c r="B66" s="402" t="s">
        <v>1367</v>
      </c>
      <c r="C66" s="800"/>
      <c r="D66" s="800"/>
      <c r="E66" s="800"/>
      <c r="F66" s="811"/>
      <c r="G66" s="812"/>
      <c r="H66" s="496"/>
      <c r="I66" s="496"/>
      <c r="J66" s="496"/>
      <c r="K66" s="496"/>
      <c r="L66" s="496"/>
    </row>
    <row r="67" spans="1:12">
      <c r="A67" s="496"/>
      <c r="C67" s="800"/>
      <c r="D67" s="800"/>
      <c r="E67" s="800"/>
      <c r="F67" s="811"/>
      <c r="G67" s="812"/>
      <c r="H67" s="496"/>
      <c r="I67" s="496"/>
      <c r="J67" s="496"/>
      <c r="K67" s="496"/>
      <c r="L67" s="496"/>
    </row>
    <row r="68" spans="1:12" ht="13">
      <c r="A68" s="496"/>
      <c r="B68" s="84" t="s">
        <v>358</v>
      </c>
      <c r="C68" s="413" t="s">
        <v>342</v>
      </c>
      <c r="D68" s="413" t="s">
        <v>343</v>
      </c>
      <c r="E68" s="413" t="s">
        <v>344</v>
      </c>
      <c r="F68" s="414" t="s">
        <v>345</v>
      </c>
      <c r="G68" s="413" t="s">
        <v>346</v>
      </c>
      <c r="H68" s="413" t="s">
        <v>347</v>
      </c>
      <c r="I68" s="413" t="s">
        <v>534</v>
      </c>
      <c r="J68" s="878" t="s">
        <v>949</v>
      </c>
      <c r="K68" s="351"/>
      <c r="L68" s="84"/>
    </row>
    <row r="69" spans="1:12">
      <c r="A69" s="496"/>
      <c r="C69" s="800" t="s">
        <v>1295</v>
      </c>
      <c r="D69" s="800" t="s">
        <v>1296</v>
      </c>
      <c r="E69" s="800" t="s">
        <v>1297</v>
      </c>
      <c r="F69" s="1155" t="s">
        <v>1169</v>
      </c>
      <c r="G69" s="1154" t="s">
        <v>1257</v>
      </c>
      <c r="H69" s="1156" t="s">
        <v>1654</v>
      </c>
      <c r="I69" s="1156" t="s">
        <v>1655</v>
      </c>
      <c r="J69" s="474"/>
      <c r="K69" s="800"/>
      <c r="L69" s="496"/>
    </row>
    <row r="70" spans="1:12">
      <c r="C70" s="800"/>
      <c r="D70" s="800"/>
      <c r="E70" s="800"/>
      <c r="F70" s="811"/>
      <c r="G70" s="812"/>
      <c r="H70" s="496"/>
      <c r="I70" s="496"/>
      <c r="J70" s="800"/>
      <c r="K70" s="800"/>
      <c r="L70" s="496"/>
    </row>
    <row r="71" spans="1:12" ht="13">
      <c r="A71" s="416"/>
      <c r="B71" s="1524" t="s">
        <v>1261</v>
      </c>
      <c r="C71" s="1525" t="s">
        <v>1264</v>
      </c>
      <c r="D71" s="1522"/>
      <c r="E71" s="1523"/>
      <c r="F71" s="430" t="s">
        <v>1426</v>
      </c>
      <c r="G71" s="1516" t="s">
        <v>1298</v>
      </c>
      <c r="H71" s="1517"/>
      <c r="I71" s="1518"/>
      <c r="J71" s="879" t="s">
        <v>1721</v>
      </c>
      <c r="K71" s="800"/>
    </row>
    <row r="72" spans="1:12" ht="13">
      <c r="B72" s="1524"/>
      <c r="C72" s="780" t="s">
        <v>196</v>
      </c>
      <c r="D72" s="418" t="s">
        <v>1265</v>
      </c>
      <c r="E72" s="418" t="s">
        <v>1266</v>
      </c>
      <c r="F72" s="430" t="s">
        <v>427</v>
      </c>
      <c r="G72" s="780" t="s">
        <v>196</v>
      </c>
      <c r="H72" s="418" t="s">
        <v>1265</v>
      </c>
      <c r="I72" s="418" t="s">
        <v>1266</v>
      </c>
      <c r="J72" s="835" t="s">
        <v>205</v>
      </c>
      <c r="K72" s="800"/>
      <c r="L72" s="496"/>
    </row>
    <row r="73" spans="1:12" ht="13">
      <c r="A73" s="51" t="s">
        <v>329</v>
      </c>
      <c r="B73" s="420" t="s">
        <v>1267</v>
      </c>
      <c r="C73" s="250"/>
      <c r="D73" s="421"/>
      <c r="E73" s="421"/>
      <c r="F73" s="431"/>
      <c r="G73" s="250"/>
      <c r="H73" s="421"/>
      <c r="I73" s="421"/>
      <c r="J73" s="474"/>
      <c r="K73" s="800"/>
      <c r="L73" s="496"/>
    </row>
    <row r="74" spans="1:12" ht="13">
      <c r="A74" s="109">
        <f>A64+1</f>
        <v>48</v>
      </c>
      <c r="B74" s="478" t="s">
        <v>2313</v>
      </c>
      <c r="C74" s="806">
        <f t="shared" ref="C74:C103" si="17">J11</f>
        <v>8721014.5099999998</v>
      </c>
      <c r="D74" s="806">
        <f t="shared" ref="D74:D103" si="18">K11</f>
        <v>2947582.1800000006</v>
      </c>
      <c r="E74" s="806">
        <f t="shared" ref="E74:E103" si="19">L11</f>
        <v>5773432.3299999991</v>
      </c>
      <c r="F74" s="822">
        <f>'27-Allocators'!$D$48</f>
        <v>0.39050211736237145</v>
      </c>
      <c r="G74" s="815">
        <f>SUM(H74:I74)</f>
        <v>3405574.6317029642</v>
      </c>
      <c r="H74" s="815">
        <f>D74*F74</f>
        <v>1151037.082389595</v>
      </c>
      <c r="I74" s="815">
        <f>E74*F74</f>
        <v>2254537.5493133692</v>
      </c>
      <c r="J74" s="591" t="s">
        <v>2327</v>
      </c>
      <c r="K74" s="800"/>
    </row>
    <row r="75" spans="1:12" ht="13">
      <c r="A75" s="109">
        <f t="shared" ref="A75:A107" si="20">A74+1</f>
        <v>49</v>
      </c>
      <c r="B75" s="478" t="s">
        <v>1268</v>
      </c>
      <c r="C75" s="806">
        <f t="shared" si="17"/>
        <v>251031.09</v>
      </c>
      <c r="D75" s="806">
        <f t="shared" si="18"/>
        <v>0</v>
      </c>
      <c r="E75" s="806">
        <f t="shared" si="19"/>
        <v>251031.09</v>
      </c>
      <c r="F75" s="822">
        <v>1</v>
      </c>
      <c r="G75" s="815">
        <f t="shared" ref="G75:G103" si="21">SUM(H75:I75)</f>
        <v>251031.09</v>
      </c>
      <c r="H75" s="815">
        <f t="shared" ref="H75:H103" si="22">D75*F75</f>
        <v>0</v>
      </c>
      <c r="I75" s="815">
        <f t="shared" ref="I75:I103" si="23">E75*F75</f>
        <v>251031.09</v>
      </c>
      <c r="J75" s="1157" t="s">
        <v>2408</v>
      </c>
      <c r="K75" s="800"/>
    </row>
    <row r="76" spans="1:12" ht="13">
      <c r="A76" s="109">
        <f t="shared" si="20"/>
        <v>50</v>
      </c>
      <c r="B76" s="570" t="s">
        <v>2314</v>
      </c>
      <c r="C76" s="806">
        <f t="shared" si="17"/>
        <v>13229581</v>
      </c>
      <c r="D76" s="806">
        <f t="shared" si="18"/>
        <v>10842257.360000001</v>
      </c>
      <c r="E76" s="806">
        <f t="shared" si="19"/>
        <v>2387323.6399999992</v>
      </c>
      <c r="F76" s="822">
        <f>'27-Allocators'!$D$48</f>
        <v>0.39050211736237145</v>
      </c>
      <c r="G76" s="815">
        <f t="shared" si="21"/>
        <v>5166179.3923169989</v>
      </c>
      <c r="H76" s="815">
        <f t="shared" si="22"/>
        <v>4233924.4560677558</v>
      </c>
      <c r="I76" s="815">
        <f t="shared" si="23"/>
        <v>932254.93624924344</v>
      </c>
      <c r="J76" s="591" t="s">
        <v>2327</v>
      </c>
      <c r="K76" s="800"/>
    </row>
    <row r="77" spans="1:12" ht="13">
      <c r="A77" s="109">
        <f t="shared" si="20"/>
        <v>51</v>
      </c>
      <c r="B77" s="570" t="s">
        <v>1269</v>
      </c>
      <c r="C77" s="806">
        <f t="shared" si="17"/>
        <v>0</v>
      </c>
      <c r="D77" s="806">
        <f t="shared" si="18"/>
        <v>0</v>
      </c>
      <c r="E77" s="806">
        <f t="shared" si="19"/>
        <v>0</v>
      </c>
      <c r="F77" s="822">
        <v>0</v>
      </c>
      <c r="G77" s="815">
        <f t="shared" si="21"/>
        <v>0</v>
      </c>
      <c r="H77" s="815">
        <f t="shared" si="22"/>
        <v>0</v>
      </c>
      <c r="I77" s="815">
        <f t="shared" si="23"/>
        <v>0</v>
      </c>
      <c r="J77" s="1157" t="s">
        <v>2409</v>
      </c>
      <c r="K77" s="800"/>
    </row>
    <row r="78" spans="1:12" ht="13">
      <c r="A78" s="109">
        <f t="shared" si="20"/>
        <v>52</v>
      </c>
      <c r="B78" s="570" t="s">
        <v>2315</v>
      </c>
      <c r="C78" s="806">
        <f t="shared" si="17"/>
        <v>4828525.6500000004</v>
      </c>
      <c r="D78" s="806">
        <f t="shared" si="18"/>
        <v>4235346.790000001</v>
      </c>
      <c r="E78" s="806">
        <f t="shared" si="19"/>
        <v>593178.85999999987</v>
      </c>
      <c r="F78" s="822">
        <v>1</v>
      </c>
      <c r="G78" s="815">
        <f t="shared" si="21"/>
        <v>4828525.6500000004</v>
      </c>
      <c r="H78" s="815">
        <f t="shared" si="22"/>
        <v>4235346.790000001</v>
      </c>
      <c r="I78" s="815">
        <f t="shared" si="23"/>
        <v>593178.85999999987</v>
      </c>
      <c r="J78" s="1157" t="s">
        <v>2408</v>
      </c>
      <c r="K78" s="800"/>
    </row>
    <row r="79" spans="1:12" ht="13">
      <c r="A79" s="109">
        <f t="shared" si="20"/>
        <v>53</v>
      </c>
      <c r="B79" s="570" t="s">
        <v>2316</v>
      </c>
      <c r="C79" s="806">
        <f t="shared" si="17"/>
        <v>32343719.699999999</v>
      </c>
      <c r="D79" s="806">
        <f t="shared" si="18"/>
        <v>26968567.499999996</v>
      </c>
      <c r="E79" s="806">
        <f t="shared" si="19"/>
        <v>5375152.2000000039</v>
      </c>
      <c r="F79" s="822">
        <f>'27-Allocators'!$D$48</f>
        <v>0.39050211736237145</v>
      </c>
      <c r="G79" s="815">
        <f t="shared" si="21"/>
        <v>12630291.026225045</v>
      </c>
      <c r="H79" s="815">
        <f t="shared" si="22"/>
        <v>10531282.710980035</v>
      </c>
      <c r="I79" s="815">
        <f t="shared" si="23"/>
        <v>2099008.3152450104</v>
      </c>
      <c r="J79" s="591" t="s">
        <v>2327</v>
      </c>
      <c r="K79" s="800"/>
    </row>
    <row r="80" spans="1:12" ht="13">
      <c r="A80" s="109">
        <f t="shared" si="20"/>
        <v>54</v>
      </c>
      <c r="B80" s="570" t="s">
        <v>1270</v>
      </c>
      <c r="C80" s="806">
        <f t="shared" si="17"/>
        <v>0</v>
      </c>
      <c r="D80" s="806">
        <f t="shared" si="18"/>
        <v>0</v>
      </c>
      <c r="E80" s="806">
        <f t="shared" si="19"/>
        <v>0</v>
      </c>
      <c r="F80" s="822">
        <v>0</v>
      </c>
      <c r="G80" s="815">
        <f t="shared" si="21"/>
        <v>0</v>
      </c>
      <c r="H80" s="815">
        <f t="shared" si="22"/>
        <v>0</v>
      </c>
      <c r="I80" s="815">
        <f t="shared" si="23"/>
        <v>0</v>
      </c>
      <c r="J80" s="1157" t="s">
        <v>2409</v>
      </c>
      <c r="K80" s="800"/>
    </row>
    <row r="81" spans="1:11" ht="13">
      <c r="A81" s="109">
        <f t="shared" si="20"/>
        <v>55</v>
      </c>
      <c r="B81" s="570" t="s">
        <v>1271</v>
      </c>
      <c r="C81" s="806">
        <f t="shared" si="17"/>
        <v>950815.02</v>
      </c>
      <c r="D81" s="806">
        <f t="shared" si="18"/>
        <v>0</v>
      </c>
      <c r="E81" s="806">
        <f t="shared" si="19"/>
        <v>950815.02</v>
      </c>
      <c r="F81" s="822">
        <v>1</v>
      </c>
      <c r="G81" s="815">
        <f t="shared" si="21"/>
        <v>950815.02</v>
      </c>
      <c r="H81" s="815">
        <f t="shared" si="22"/>
        <v>0</v>
      </c>
      <c r="I81" s="815">
        <f t="shared" si="23"/>
        <v>950815.02</v>
      </c>
      <c r="J81" s="1157" t="s">
        <v>2408</v>
      </c>
      <c r="K81" s="806"/>
    </row>
    <row r="82" spans="1:11" ht="13">
      <c r="A82" s="109">
        <f t="shared" si="20"/>
        <v>56</v>
      </c>
      <c r="B82" s="570" t="s">
        <v>2317</v>
      </c>
      <c r="C82" s="806">
        <f t="shared" si="17"/>
        <v>40209181.039999999</v>
      </c>
      <c r="D82" s="806">
        <f t="shared" si="18"/>
        <v>12092709.940000001</v>
      </c>
      <c r="E82" s="806">
        <f t="shared" si="19"/>
        <v>28116471.099999998</v>
      </c>
      <c r="F82" s="822">
        <f>'27-Allocators'!$D$36</f>
        <v>0.47688983579753791</v>
      </c>
      <c r="G82" s="815">
        <f t="shared" si="21"/>
        <v>19175349.743719071</v>
      </c>
      <c r="H82" s="815">
        <f t="shared" si="22"/>
        <v>5766890.4576338548</v>
      </c>
      <c r="I82" s="815">
        <f t="shared" si="23"/>
        <v>13408459.286085218</v>
      </c>
      <c r="J82" s="591" t="s">
        <v>2328</v>
      </c>
      <c r="K82" s="800"/>
    </row>
    <row r="83" spans="1:11" ht="12.75" customHeight="1">
      <c r="A83" s="109">
        <f t="shared" si="20"/>
        <v>57</v>
      </c>
      <c r="B83" s="570" t="s">
        <v>2318</v>
      </c>
      <c r="C83" s="813">
        <f t="shared" si="17"/>
        <v>2410542.2000000002</v>
      </c>
      <c r="D83" s="813">
        <f t="shared" si="18"/>
        <v>2105995.4700000002</v>
      </c>
      <c r="E83" s="813">
        <f t="shared" si="19"/>
        <v>304546.73</v>
      </c>
      <c r="F83" s="822">
        <f>'27-Allocators'!$D$42</f>
        <v>1.2816716950958474E-2</v>
      </c>
      <c r="G83" s="817">
        <f t="shared" si="21"/>
        <v>30895.237075740733</v>
      </c>
      <c r="H83" s="817">
        <f t="shared" si="22"/>
        <v>26991.94783899076</v>
      </c>
      <c r="I83" s="817">
        <f t="shared" si="23"/>
        <v>3903.2892367499735</v>
      </c>
      <c r="J83" s="591" t="s">
        <v>2329</v>
      </c>
      <c r="K83" s="806"/>
    </row>
    <row r="84" spans="1:11" ht="13">
      <c r="A84" s="109">
        <f t="shared" si="20"/>
        <v>58</v>
      </c>
      <c r="B84" s="570" t="s">
        <v>2319</v>
      </c>
      <c r="C84" s="806">
        <f t="shared" si="17"/>
        <v>0</v>
      </c>
      <c r="D84" s="806">
        <f t="shared" si="18"/>
        <v>0</v>
      </c>
      <c r="E84" s="806">
        <f t="shared" si="19"/>
        <v>0</v>
      </c>
      <c r="F84" s="822">
        <v>1</v>
      </c>
      <c r="G84" s="815">
        <f t="shared" si="21"/>
        <v>0</v>
      </c>
      <c r="H84" s="815">
        <f t="shared" si="22"/>
        <v>0</v>
      </c>
      <c r="I84" s="815">
        <f t="shared" si="23"/>
        <v>0</v>
      </c>
      <c r="J84" s="1157" t="s">
        <v>2408</v>
      </c>
      <c r="K84" s="800"/>
    </row>
    <row r="85" spans="1:11" ht="13">
      <c r="A85" s="109">
        <f t="shared" si="20"/>
        <v>59</v>
      </c>
      <c r="B85" s="570" t="s">
        <v>1273</v>
      </c>
      <c r="C85" s="806">
        <f t="shared" si="17"/>
        <v>0</v>
      </c>
      <c r="D85" s="806">
        <f t="shared" si="18"/>
        <v>0</v>
      </c>
      <c r="E85" s="806">
        <f t="shared" si="19"/>
        <v>0</v>
      </c>
      <c r="F85" s="822">
        <v>0</v>
      </c>
      <c r="G85" s="815">
        <f t="shared" si="21"/>
        <v>0</v>
      </c>
      <c r="H85" s="815">
        <f t="shared" si="22"/>
        <v>0</v>
      </c>
      <c r="I85" s="815">
        <f t="shared" si="23"/>
        <v>0</v>
      </c>
      <c r="J85" s="1157" t="s">
        <v>2409</v>
      </c>
      <c r="K85" s="800"/>
    </row>
    <row r="86" spans="1:11" ht="13">
      <c r="A86" s="109">
        <f t="shared" si="20"/>
        <v>60</v>
      </c>
      <c r="B86" s="570" t="s">
        <v>1274</v>
      </c>
      <c r="C86" s="806">
        <f t="shared" si="17"/>
        <v>371081.75</v>
      </c>
      <c r="D86" s="806">
        <f t="shared" si="18"/>
        <v>0</v>
      </c>
      <c r="E86" s="806">
        <f t="shared" si="19"/>
        <v>371081.75</v>
      </c>
      <c r="F86" s="822">
        <v>0</v>
      </c>
      <c r="G86" s="815">
        <f t="shared" si="21"/>
        <v>0</v>
      </c>
      <c r="H86" s="815">
        <f t="shared" si="22"/>
        <v>0</v>
      </c>
      <c r="I86" s="815">
        <f t="shared" si="23"/>
        <v>0</v>
      </c>
      <c r="J86" s="1157" t="s">
        <v>2409</v>
      </c>
      <c r="K86" s="800"/>
    </row>
    <row r="87" spans="1:11" ht="13">
      <c r="A87" s="109">
        <f t="shared" si="20"/>
        <v>61</v>
      </c>
      <c r="B87" s="570" t="s">
        <v>2320</v>
      </c>
      <c r="C87" s="806">
        <f t="shared" si="17"/>
        <v>51796425.419999987</v>
      </c>
      <c r="D87" s="806">
        <f t="shared" si="18"/>
        <v>29904343.529999986</v>
      </c>
      <c r="E87" s="806">
        <f t="shared" si="19"/>
        <v>21892081.890000001</v>
      </c>
      <c r="F87" s="822">
        <f>'27-Allocators'!$D$48</f>
        <v>0.39050211736237145</v>
      </c>
      <c r="G87" s="815">
        <f t="shared" si="21"/>
        <v>20226613.798312157</v>
      </c>
      <c r="H87" s="815">
        <f t="shared" si="22"/>
        <v>11677709.466796728</v>
      </c>
      <c r="I87" s="815">
        <f t="shared" si="23"/>
        <v>8548904.3315154277</v>
      </c>
      <c r="J87" s="591" t="s">
        <v>2327</v>
      </c>
      <c r="K87" s="806"/>
    </row>
    <row r="88" spans="1:11" ht="13">
      <c r="A88" s="109">
        <f t="shared" si="20"/>
        <v>62</v>
      </c>
      <c r="B88" s="570" t="s">
        <v>1275</v>
      </c>
      <c r="C88" s="806">
        <f t="shared" si="17"/>
        <v>-6.9999963045120239E-2</v>
      </c>
      <c r="D88" s="806">
        <f t="shared" si="18"/>
        <v>0</v>
      </c>
      <c r="E88" s="806">
        <f t="shared" si="19"/>
        <v>-6.9999963045120239E-2</v>
      </c>
      <c r="F88" s="822">
        <v>0</v>
      </c>
      <c r="G88" s="815">
        <f t="shared" si="21"/>
        <v>0</v>
      </c>
      <c r="H88" s="815">
        <f t="shared" si="22"/>
        <v>0</v>
      </c>
      <c r="I88" s="815">
        <f t="shared" si="23"/>
        <v>0</v>
      </c>
      <c r="J88" s="1157" t="s">
        <v>2409</v>
      </c>
      <c r="K88" s="800"/>
    </row>
    <row r="89" spans="1:11" ht="13">
      <c r="A89" s="109">
        <f t="shared" si="20"/>
        <v>63</v>
      </c>
      <c r="B89" s="570" t="s">
        <v>1276</v>
      </c>
      <c r="C89" s="806">
        <f t="shared" si="17"/>
        <v>842622.43</v>
      </c>
      <c r="D89" s="806">
        <f t="shared" si="18"/>
        <v>0</v>
      </c>
      <c r="E89" s="806">
        <f t="shared" si="19"/>
        <v>842622.43</v>
      </c>
      <c r="F89" s="822">
        <v>1</v>
      </c>
      <c r="G89" s="815">
        <f t="shared" si="21"/>
        <v>842622.43</v>
      </c>
      <c r="H89" s="815">
        <f t="shared" si="22"/>
        <v>0</v>
      </c>
      <c r="I89" s="815">
        <f t="shared" si="23"/>
        <v>842622.43</v>
      </c>
      <c r="J89" s="1157" t="s">
        <v>2408</v>
      </c>
      <c r="K89" s="800"/>
    </row>
    <row r="90" spans="1:11" ht="13">
      <c r="A90" s="109">
        <f t="shared" si="20"/>
        <v>64</v>
      </c>
      <c r="B90" s="570" t="s">
        <v>2308</v>
      </c>
      <c r="C90" s="806">
        <f t="shared" si="17"/>
        <v>18516862.59</v>
      </c>
      <c r="D90" s="806">
        <f t="shared" si="18"/>
        <v>68787.360000000015</v>
      </c>
      <c r="E90" s="806">
        <f t="shared" si="19"/>
        <v>18448075.23</v>
      </c>
      <c r="F90" s="822">
        <f>'27-Allocators'!$D$36</f>
        <v>0.47688983579753791</v>
      </c>
      <c r="G90" s="815">
        <f t="shared" si="21"/>
        <v>8830503.5600306727</v>
      </c>
      <c r="H90" s="815">
        <f t="shared" si="22"/>
        <v>32803.992815346137</v>
      </c>
      <c r="I90" s="815">
        <f t="shared" si="23"/>
        <v>8797699.5672153272</v>
      </c>
      <c r="J90" s="591" t="s">
        <v>2328</v>
      </c>
      <c r="K90" s="806"/>
    </row>
    <row r="91" spans="1:11" ht="13">
      <c r="A91" s="109">
        <f t="shared" si="20"/>
        <v>65</v>
      </c>
      <c r="B91" s="570" t="s">
        <v>1277</v>
      </c>
      <c r="C91" s="806">
        <f t="shared" si="17"/>
        <v>-7234.65</v>
      </c>
      <c r="D91" s="806">
        <f t="shared" si="18"/>
        <v>0</v>
      </c>
      <c r="E91" s="806">
        <f t="shared" si="19"/>
        <v>-7234.65</v>
      </c>
      <c r="F91" s="822">
        <v>1</v>
      </c>
      <c r="G91" s="815">
        <f t="shared" si="21"/>
        <v>-7234.65</v>
      </c>
      <c r="H91" s="815">
        <f t="shared" si="22"/>
        <v>0</v>
      </c>
      <c r="I91" s="815">
        <f t="shared" si="23"/>
        <v>-7234.65</v>
      </c>
      <c r="J91" s="1157" t="s">
        <v>2408</v>
      </c>
      <c r="K91" s="474"/>
    </row>
    <row r="92" spans="1:11" ht="13">
      <c r="A92" s="109">
        <f t="shared" si="20"/>
        <v>66</v>
      </c>
      <c r="B92" s="570" t="s">
        <v>1278</v>
      </c>
      <c r="C92" s="806">
        <f t="shared" si="17"/>
        <v>438002.55000000005</v>
      </c>
      <c r="D92" s="806">
        <f t="shared" si="18"/>
        <v>0</v>
      </c>
      <c r="E92" s="806">
        <f t="shared" si="19"/>
        <v>438002.55000000005</v>
      </c>
      <c r="F92" s="822">
        <v>1</v>
      </c>
      <c r="G92" s="815">
        <f t="shared" ref="G92" si="24">SUM(H92:I92)</f>
        <v>438002.55000000005</v>
      </c>
      <c r="H92" s="815">
        <f t="shared" ref="H92" si="25">D92*F92</f>
        <v>0</v>
      </c>
      <c r="I92" s="815">
        <f t="shared" ref="I92" si="26">E92*F92</f>
        <v>438002.55000000005</v>
      </c>
      <c r="J92" s="1157" t="s">
        <v>2408</v>
      </c>
      <c r="K92" s="474"/>
    </row>
    <row r="93" spans="1:11" ht="13">
      <c r="A93" s="109">
        <f t="shared" si="20"/>
        <v>67</v>
      </c>
      <c r="B93" s="570" t="s">
        <v>2321</v>
      </c>
      <c r="C93" s="806">
        <f t="shared" si="17"/>
        <v>1802989.81</v>
      </c>
      <c r="D93" s="806">
        <f t="shared" si="18"/>
        <v>1567136.62</v>
      </c>
      <c r="E93" s="806">
        <f t="shared" si="19"/>
        <v>235853.18999999997</v>
      </c>
      <c r="F93" s="822">
        <f>'27-Allocators'!$D$48</f>
        <v>0.39050211736237145</v>
      </c>
      <c r="G93" s="815">
        <f t="shared" si="21"/>
        <v>704071.33838777989</v>
      </c>
      <c r="H93" s="815">
        <f t="shared" si="22"/>
        <v>611970.16830611019</v>
      </c>
      <c r="I93" s="815">
        <f t="shared" si="23"/>
        <v>92101.170081669683</v>
      </c>
      <c r="J93" s="591" t="s">
        <v>2327</v>
      </c>
      <c r="K93" s="800"/>
    </row>
    <row r="94" spans="1:11" ht="13">
      <c r="A94" s="109">
        <f t="shared" si="20"/>
        <v>68</v>
      </c>
      <c r="B94" s="570" t="s">
        <v>1279</v>
      </c>
      <c r="C94" s="806">
        <f t="shared" si="17"/>
        <v>365991.53</v>
      </c>
      <c r="D94" s="806">
        <f t="shared" si="18"/>
        <v>0</v>
      </c>
      <c r="E94" s="806">
        <f t="shared" si="19"/>
        <v>365991.53</v>
      </c>
      <c r="F94" s="822">
        <v>1</v>
      </c>
      <c r="G94" s="815">
        <f t="shared" si="21"/>
        <v>365991.53</v>
      </c>
      <c r="H94" s="815">
        <f t="shared" si="22"/>
        <v>0</v>
      </c>
      <c r="I94" s="815">
        <f t="shared" si="23"/>
        <v>365991.53</v>
      </c>
      <c r="J94" s="1157" t="s">
        <v>2408</v>
      </c>
      <c r="K94" s="806"/>
    </row>
    <row r="95" spans="1:11" ht="13">
      <c r="A95" s="109">
        <f t="shared" si="20"/>
        <v>69</v>
      </c>
      <c r="B95" s="570" t="s">
        <v>2322</v>
      </c>
      <c r="C95" s="806">
        <f t="shared" si="17"/>
        <v>2403667.5400000019</v>
      </c>
      <c r="D95" s="806">
        <f t="shared" si="18"/>
        <v>7644.800000000002</v>
      </c>
      <c r="E95" s="806">
        <f t="shared" si="19"/>
        <v>2396022.7400000021</v>
      </c>
      <c r="F95" s="822">
        <f>'27-Allocators'!$D$48</f>
        <v>0.39050211736237145</v>
      </c>
      <c r="G95" s="815">
        <f t="shared" si="21"/>
        <v>938637.26380520349</v>
      </c>
      <c r="H95" s="815">
        <f t="shared" si="22"/>
        <v>2985.3105868118582</v>
      </c>
      <c r="I95" s="815">
        <f t="shared" si="23"/>
        <v>935651.95321839163</v>
      </c>
      <c r="J95" s="591" t="s">
        <v>2327</v>
      </c>
      <c r="K95" s="474"/>
    </row>
    <row r="96" spans="1:11" ht="13">
      <c r="A96" s="109">
        <f t="shared" si="20"/>
        <v>70</v>
      </c>
      <c r="B96" s="570" t="s">
        <v>1280</v>
      </c>
      <c r="C96" s="806">
        <f t="shared" si="17"/>
        <v>2440888.5499999998</v>
      </c>
      <c r="D96" s="806">
        <f t="shared" si="18"/>
        <v>0</v>
      </c>
      <c r="E96" s="806">
        <f t="shared" si="19"/>
        <v>2440888.5499999998</v>
      </c>
      <c r="F96" s="822">
        <v>1</v>
      </c>
      <c r="G96" s="815">
        <f t="shared" si="21"/>
        <v>2440888.5499999998</v>
      </c>
      <c r="H96" s="815">
        <f t="shared" si="22"/>
        <v>0</v>
      </c>
      <c r="I96" s="815">
        <f t="shared" si="23"/>
        <v>2440888.5499999998</v>
      </c>
      <c r="J96" s="1157" t="s">
        <v>2408</v>
      </c>
      <c r="K96" s="474"/>
    </row>
    <row r="97" spans="1:12" ht="13">
      <c r="A97" s="109">
        <f t="shared" si="20"/>
        <v>71</v>
      </c>
      <c r="B97" s="570" t="s">
        <v>2323</v>
      </c>
      <c r="C97" s="806">
        <f t="shared" si="17"/>
        <v>8050840.4100000011</v>
      </c>
      <c r="D97" s="806">
        <f t="shared" si="18"/>
        <v>3312956.6800000006</v>
      </c>
      <c r="E97" s="806">
        <f t="shared" si="19"/>
        <v>4737883.7300000004</v>
      </c>
      <c r="F97" s="822">
        <f>'27-Allocators'!$D$48</f>
        <v>0.39050211736237145</v>
      </c>
      <c r="G97" s="815">
        <f t="shared" si="21"/>
        <v>3143870.2266515428</v>
      </c>
      <c r="H97" s="815">
        <f t="shared" si="22"/>
        <v>1293716.5982698128</v>
      </c>
      <c r="I97" s="815">
        <f t="shared" si="23"/>
        <v>1850153.6283817303</v>
      </c>
      <c r="J97" s="591" t="s">
        <v>2327</v>
      </c>
      <c r="K97" s="474"/>
    </row>
    <row r="98" spans="1:12" ht="13">
      <c r="A98" s="109">
        <f t="shared" si="20"/>
        <v>72</v>
      </c>
      <c r="B98" s="570" t="s">
        <v>1281</v>
      </c>
      <c r="C98" s="806">
        <f t="shared" si="17"/>
        <v>1301046.3800000001</v>
      </c>
      <c r="D98" s="806">
        <f t="shared" si="18"/>
        <v>0</v>
      </c>
      <c r="E98" s="806">
        <f t="shared" si="19"/>
        <v>1301046.3800000001</v>
      </c>
      <c r="F98" s="822">
        <v>1</v>
      </c>
      <c r="G98" s="815">
        <f t="shared" si="21"/>
        <v>1301046.3800000001</v>
      </c>
      <c r="H98" s="815">
        <f t="shared" si="22"/>
        <v>0</v>
      </c>
      <c r="I98" s="815">
        <f t="shared" si="23"/>
        <v>1301046.3800000001</v>
      </c>
      <c r="J98" s="1157" t="s">
        <v>2408</v>
      </c>
      <c r="K98" s="474"/>
    </row>
    <row r="99" spans="1:12" ht="13">
      <c r="A99" s="109">
        <f t="shared" si="20"/>
        <v>73</v>
      </c>
      <c r="B99" s="570" t="s">
        <v>2324</v>
      </c>
      <c r="C99" s="806">
        <f t="shared" si="17"/>
        <v>85473722.189999968</v>
      </c>
      <c r="D99" s="806">
        <f t="shared" si="18"/>
        <v>14331008.809999995</v>
      </c>
      <c r="E99" s="806">
        <f t="shared" si="19"/>
        <v>71142713.379999965</v>
      </c>
      <c r="F99" s="822">
        <f>'27-Allocators'!$D$36</f>
        <v>0.47688983579753791</v>
      </c>
      <c r="G99" s="815">
        <f t="shared" si="21"/>
        <v>40761549.34019345</v>
      </c>
      <c r="H99" s="815">
        <f t="shared" si="22"/>
        <v>6834312.4382139668</v>
      </c>
      <c r="I99" s="815">
        <f t="shared" si="23"/>
        <v>33927236.901979484</v>
      </c>
      <c r="J99" s="591" t="s">
        <v>2328</v>
      </c>
      <c r="K99" s="474"/>
    </row>
    <row r="100" spans="1:12" ht="13">
      <c r="A100" s="109">
        <f t="shared" si="20"/>
        <v>74</v>
      </c>
      <c r="B100" s="570" t="s">
        <v>1282</v>
      </c>
      <c r="C100" s="806">
        <f t="shared" si="17"/>
        <v>671146.64</v>
      </c>
      <c r="D100" s="806">
        <f t="shared" si="18"/>
        <v>0</v>
      </c>
      <c r="E100" s="806">
        <f t="shared" si="19"/>
        <v>671146.64</v>
      </c>
      <c r="F100" s="822">
        <v>1</v>
      </c>
      <c r="G100" s="815">
        <f t="shared" si="21"/>
        <v>671146.64</v>
      </c>
      <c r="H100" s="815">
        <f t="shared" si="22"/>
        <v>0</v>
      </c>
      <c r="I100" s="815">
        <f t="shared" si="23"/>
        <v>671146.64</v>
      </c>
      <c r="J100" s="1157" t="s">
        <v>2408</v>
      </c>
      <c r="K100" s="474"/>
    </row>
    <row r="101" spans="1:12" ht="13">
      <c r="A101" s="109">
        <f t="shared" si="20"/>
        <v>75</v>
      </c>
      <c r="B101" s="570" t="s">
        <v>2325</v>
      </c>
      <c r="C101" s="806">
        <f t="shared" si="17"/>
        <v>453295.91000000003</v>
      </c>
      <c r="D101" s="806">
        <f t="shared" si="18"/>
        <v>138453.72</v>
      </c>
      <c r="E101" s="806">
        <f t="shared" si="19"/>
        <v>314842.19</v>
      </c>
      <c r="F101" s="822">
        <f>'27-Allocators'!$D$42</f>
        <v>1.2816716950958474E-2</v>
      </c>
      <c r="G101" s="815">
        <f t="shared" si="21"/>
        <v>5809.7653734971464</v>
      </c>
      <c r="H101" s="815">
        <f t="shared" si="22"/>
        <v>1774.5221400472583</v>
      </c>
      <c r="I101" s="815">
        <f t="shared" si="23"/>
        <v>4035.2432334498885</v>
      </c>
      <c r="J101" s="591" t="s">
        <v>2329</v>
      </c>
      <c r="K101" s="474"/>
    </row>
    <row r="102" spans="1:12" ht="13">
      <c r="A102" s="109">
        <f t="shared" si="20"/>
        <v>76</v>
      </c>
      <c r="B102" s="570" t="s">
        <v>1284</v>
      </c>
      <c r="C102" s="806">
        <f t="shared" si="17"/>
        <v>13727.48</v>
      </c>
      <c r="D102" s="806">
        <f t="shared" si="18"/>
        <v>0</v>
      </c>
      <c r="E102" s="806">
        <f t="shared" si="19"/>
        <v>13727.48</v>
      </c>
      <c r="F102" s="822">
        <v>1</v>
      </c>
      <c r="G102" s="815">
        <f t="shared" si="21"/>
        <v>13727.48</v>
      </c>
      <c r="H102" s="815">
        <f t="shared" si="22"/>
        <v>0</v>
      </c>
      <c r="I102" s="815">
        <f t="shared" si="23"/>
        <v>13727.48</v>
      </c>
      <c r="J102" s="1157" t="s">
        <v>2408</v>
      </c>
      <c r="K102" s="474"/>
    </row>
    <row r="103" spans="1:12" ht="13">
      <c r="A103" s="109">
        <f t="shared" si="20"/>
        <v>77</v>
      </c>
      <c r="B103" s="570" t="s">
        <v>2326</v>
      </c>
      <c r="C103" s="806">
        <f t="shared" si="17"/>
        <v>1583990.81</v>
      </c>
      <c r="D103" s="806">
        <f t="shared" si="18"/>
        <v>1119461.1000000001</v>
      </c>
      <c r="E103" s="806">
        <f t="shared" si="19"/>
        <v>464529.71</v>
      </c>
      <c r="F103" s="822">
        <f>'27-Allocators'!$D$48</f>
        <v>0.39050211736237145</v>
      </c>
      <c r="G103" s="815">
        <f t="shared" si="21"/>
        <v>618551.76518753788</v>
      </c>
      <c r="H103" s="815">
        <f t="shared" si="22"/>
        <v>437151.92985480948</v>
      </c>
      <c r="I103" s="815">
        <f t="shared" si="23"/>
        <v>181399.83533272837</v>
      </c>
      <c r="J103" s="591" t="s">
        <v>2327</v>
      </c>
      <c r="K103" s="474"/>
    </row>
    <row r="104" spans="1:12" ht="13">
      <c r="A104" s="109">
        <f t="shared" si="20"/>
        <v>78</v>
      </c>
      <c r="B104" s="570" t="s">
        <v>504</v>
      </c>
      <c r="C104" s="1158" t="s">
        <v>76</v>
      </c>
      <c r="D104" s="1158" t="s">
        <v>76</v>
      </c>
      <c r="E104" s="1158" t="s">
        <v>76</v>
      </c>
      <c r="F104" s="1158" t="s">
        <v>76</v>
      </c>
      <c r="G104" s="1158" t="s">
        <v>76</v>
      </c>
      <c r="H104" s="1158" t="s">
        <v>76</v>
      </c>
      <c r="I104" s="1158" t="s">
        <v>76</v>
      </c>
      <c r="J104" s="474"/>
      <c r="K104" s="474"/>
    </row>
    <row r="105" spans="1:12" ht="13">
      <c r="A105" s="109">
        <f t="shared" si="20"/>
        <v>79</v>
      </c>
      <c r="B105" s="570" t="s">
        <v>1995</v>
      </c>
      <c r="C105" s="818">
        <f>J42</f>
        <v>-2519815.004202622</v>
      </c>
      <c r="D105" s="818">
        <f>K42</f>
        <v>-2519815.004202622</v>
      </c>
      <c r="E105" s="818">
        <f>L42</f>
        <v>0</v>
      </c>
      <c r="F105" s="819"/>
      <c r="G105" s="820">
        <f>SUM(H105:I105)</f>
        <v>-1076435.7336769155</v>
      </c>
      <c r="H105" s="820">
        <f>D105*C149</f>
        <v>-1076435.7336769155</v>
      </c>
      <c r="I105" s="820">
        <v>0</v>
      </c>
      <c r="J105" s="474"/>
      <c r="K105" s="474"/>
    </row>
    <row r="106" spans="1:12" ht="13">
      <c r="A106" s="109">
        <f t="shared" si="20"/>
        <v>80</v>
      </c>
      <c r="B106" s="424" t="s">
        <v>1299</v>
      </c>
      <c r="C106" s="804">
        <f>SUM(C74:C105)</f>
        <v>276943662.47579741</v>
      </c>
      <c r="D106" s="804">
        <f>SUM(D74:D105)</f>
        <v>107122436.85579737</v>
      </c>
      <c r="E106" s="804">
        <f>SUM(E74:E105)</f>
        <v>169821225.61999997</v>
      </c>
      <c r="F106" s="821"/>
      <c r="G106" s="804">
        <f>SUM(G74:G105)</f>
        <v>126658024.02530475</v>
      </c>
      <c r="H106" s="804">
        <f>SUM(H74:H105)</f>
        <v>45761462.13821695</v>
      </c>
      <c r="I106" s="804">
        <f>SUM(I74:I105)</f>
        <v>80896561.887087807</v>
      </c>
      <c r="J106" s="474"/>
      <c r="K106" s="782"/>
      <c r="L106" s="474"/>
    </row>
    <row r="107" spans="1:12" ht="13">
      <c r="A107" s="109">
        <f t="shared" si="20"/>
        <v>81</v>
      </c>
      <c r="B107" s="496"/>
      <c r="C107" s="572"/>
      <c r="D107" s="572"/>
      <c r="E107" s="572"/>
      <c r="F107" s="821"/>
      <c r="G107" s="822"/>
      <c r="H107" s="815"/>
      <c r="I107" s="815"/>
      <c r="J107" s="815"/>
      <c r="K107" s="782"/>
    </row>
    <row r="108" spans="1:12" ht="13">
      <c r="A108" s="109"/>
      <c r="B108" s="424"/>
      <c r="C108" s="432"/>
      <c r="D108" s="432"/>
      <c r="E108" s="432"/>
      <c r="F108" s="433"/>
      <c r="G108" s="434"/>
      <c r="H108" s="432"/>
      <c r="I108" s="432"/>
      <c r="J108" s="432"/>
      <c r="K108" s="474"/>
    </row>
    <row r="109" spans="1:12" ht="13">
      <c r="A109" s="109"/>
      <c r="B109" s="84" t="s">
        <v>358</v>
      </c>
      <c r="C109" s="413" t="s">
        <v>342</v>
      </c>
      <c r="D109" s="413" t="s">
        <v>343</v>
      </c>
      <c r="E109" s="413" t="s">
        <v>344</v>
      </c>
      <c r="F109" s="414" t="s">
        <v>345</v>
      </c>
      <c r="G109" s="413" t="s">
        <v>346</v>
      </c>
      <c r="H109" s="413" t="s">
        <v>347</v>
      </c>
      <c r="I109" s="413" t="s">
        <v>534</v>
      </c>
      <c r="J109" s="878" t="s">
        <v>949</v>
      </c>
      <c r="K109" s="474"/>
    </row>
    <row r="110" spans="1:12" ht="13">
      <c r="A110" s="109"/>
      <c r="C110" s="800" t="s">
        <v>1295</v>
      </c>
      <c r="D110" s="800" t="s">
        <v>1296</v>
      </c>
      <c r="E110" s="800" t="s">
        <v>1297</v>
      </c>
      <c r="F110" s="1155" t="s">
        <v>1169</v>
      </c>
      <c r="G110" s="1154" t="s">
        <v>1257</v>
      </c>
      <c r="H110" s="1156" t="s">
        <v>1654</v>
      </c>
      <c r="I110" s="1156" t="s">
        <v>1655</v>
      </c>
      <c r="J110" s="474"/>
      <c r="K110" s="474"/>
    </row>
    <row r="111" spans="1:12" ht="13">
      <c r="A111" s="109"/>
      <c r="C111" s="800"/>
      <c r="D111" s="800"/>
      <c r="E111" s="800"/>
      <c r="F111" s="811"/>
      <c r="G111" s="812"/>
      <c r="H111" s="496"/>
      <c r="I111" s="496"/>
      <c r="J111" s="800"/>
      <c r="K111" s="474"/>
    </row>
    <row r="112" spans="1:12" ht="13">
      <c r="A112" s="109"/>
      <c r="B112" s="1524" t="s">
        <v>1261</v>
      </c>
      <c r="C112" s="1525" t="s">
        <v>1264</v>
      </c>
      <c r="D112" s="1522"/>
      <c r="E112" s="1523"/>
      <c r="F112" s="430" t="s">
        <v>1426</v>
      </c>
      <c r="G112" s="1516" t="s">
        <v>1298</v>
      </c>
      <c r="H112" s="1517"/>
      <c r="I112" s="1518"/>
      <c r="J112" s="879" t="s">
        <v>1721</v>
      </c>
      <c r="K112" s="474"/>
    </row>
    <row r="113" spans="1:11" ht="13">
      <c r="A113" s="109"/>
      <c r="B113" s="1524"/>
      <c r="C113" s="780" t="s">
        <v>196</v>
      </c>
      <c r="D113" s="418" t="s">
        <v>1265</v>
      </c>
      <c r="E113" s="418" t="s">
        <v>1266</v>
      </c>
      <c r="F113" s="430" t="s">
        <v>427</v>
      </c>
      <c r="G113" s="780" t="s">
        <v>196</v>
      </c>
      <c r="H113" s="418" t="s">
        <v>1265</v>
      </c>
      <c r="I113" s="418" t="s">
        <v>1266</v>
      </c>
      <c r="J113" s="835" t="s">
        <v>205</v>
      </c>
      <c r="K113" s="474"/>
    </row>
    <row r="114" spans="1:11" ht="12.75" customHeight="1">
      <c r="A114" s="109"/>
      <c r="B114" s="425" t="s">
        <v>1286</v>
      </c>
      <c r="C114" s="572"/>
      <c r="D114" s="572"/>
      <c r="E114" s="572"/>
      <c r="F114" s="821"/>
      <c r="G114" s="822"/>
      <c r="H114" s="815"/>
      <c r="I114" s="815"/>
      <c r="J114" s="815"/>
      <c r="K114" s="474"/>
    </row>
    <row r="115" spans="1:11" ht="12.75" customHeight="1">
      <c r="A115" s="109">
        <f>A107+1</f>
        <v>82</v>
      </c>
      <c r="B115" s="570" t="s">
        <v>2311</v>
      </c>
      <c r="C115" s="572">
        <f t="shared" ref="C115:E118" si="27">J52</f>
        <v>36714424.049999997</v>
      </c>
      <c r="D115" s="572">
        <f t="shared" si="27"/>
        <v>27887902.48</v>
      </c>
      <c r="E115" s="572">
        <f t="shared" si="27"/>
        <v>8826521.5699999984</v>
      </c>
      <c r="F115" s="822">
        <f>'27-Allocators'!$D$54</f>
        <v>0</v>
      </c>
      <c r="G115" s="815">
        <f>SUM(H115:I115)</f>
        <v>0</v>
      </c>
      <c r="H115" s="815">
        <f>D115*F115</f>
        <v>0</v>
      </c>
      <c r="I115" s="815">
        <f>E115*F115</f>
        <v>0</v>
      </c>
      <c r="J115" s="591" t="s">
        <v>2330</v>
      </c>
      <c r="K115" s="474"/>
    </row>
    <row r="116" spans="1:11" ht="12.75" customHeight="1">
      <c r="A116" s="109">
        <f t="shared" ref="A116:A125" si="28">A115+1</f>
        <v>83</v>
      </c>
      <c r="B116" s="570" t="s">
        <v>1287</v>
      </c>
      <c r="C116" s="572">
        <f t="shared" si="27"/>
        <v>1791821.0299999998</v>
      </c>
      <c r="D116" s="572">
        <f t="shared" si="27"/>
        <v>1567559.2999999998</v>
      </c>
      <c r="E116" s="572">
        <f t="shared" si="27"/>
        <v>224261.72999999998</v>
      </c>
      <c r="F116" s="822">
        <f>'27-Allocators'!$D$54</f>
        <v>0</v>
      </c>
      <c r="G116" s="815">
        <f>SUM(H116:I116)</f>
        <v>0</v>
      </c>
      <c r="H116" s="815">
        <f t="shared" ref="H116:H119" si="29">D116*F116</f>
        <v>0</v>
      </c>
      <c r="I116" s="815">
        <f t="shared" ref="I116:I119" si="30">E116*F116</f>
        <v>0</v>
      </c>
      <c r="J116" s="591" t="s">
        <v>2330</v>
      </c>
      <c r="K116" s="474"/>
    </row>
    <row r="117" spans="1:11" ht="12.75" customHeight="1">
      <c r="A117" s="109">
        <f t="shared" si="28"/>
        <v>84</v>
      </c>
      <c r="B117" s="570" t="s">
        <v>1288</v>
      </c>
      <c r="C117" s="572">
        <f t="shared" si="27"/>
        <v>163471.96999999997</v>
      </c>
      <c r="D117" s="572">
        <f t="shared" si="27"/>
        <v>11165.869999999997</v>
      </c>
      <c r="E117" s="572">
        <f t="shared" si="27"/>
        <v>152306.09999999998</v>
      </c>
      <c r="F117" s="822">
        <f>'27-Allocators'!$D$54</f>
        <v>0</v>
      </c>
      <c r="G117" s="815">
        <f t="shared" ref="G117:G119" si="31">SUM(H117:I117)</f>
        <v>0</v>
      </c>
      <c r="H117" s="815">
        <f t="shared" si="29"/>
        <v>0</v>
      </c>
      <c r="I117" s="815">
        <f t="shared" si="30"/>
        <v>0</v>
      </c>
      <c r="J117" s="591" t="s">
        <v>2330</v>
      </c>
      <c r="K117" s="474"/>
    </row>
    <row r="118" spans="1:11" ht="12.75" customHeight="1">
      <c r="A118" s="109">
        <f t="shared" si="28"/>
        <v>85</v>
      </c>
      <c r="B118" s="570" t="s">
        <v>2312</v>
      </c>
      <c r="C118" s="572">
        <f t="shared" si="27"/>
        <v>8090408.7100000009</v>
      </c>
      <c r="D118" s="572">
        <f t="shared" si="27"/>
        <v>3175600.61</v>
      </c>
      <c r="E118" s="572">
        <f t="shared" si="27"/>
        <v>4914808.1000000006</v>
      </c>
      <c r="F118" s="822">
        <f>'27-Allocators'!$D$54</f>
        <v>0</v>
      </c>
      <c r="G118" s="815">
        <f t="shared" si="31"/>
        <v>0</v>
      </c>
      <c r="H118" s="815">
        <f t="shared" si="29"/>
        <v>0</v>
      </c>
      <c r="I118" s="815">
        <f t="shared" si="30"/>
        <v>0</v>
      </c>
      <c r="J118" s="591" t="s">
        <v>2330</v>
      </c>
      <c r="K118" s="474"/>
    </row>
    <row r="119" spans="1:11" ht="12.75" customHeight="1">
      <c r="A119" s="1128">
        <f t="shared" si="28"/>
        <v>86</v>
      </c>
      <c r="B119" s="823" t="s">
        <v>1289</v>
      </c>
      <c r="C119" s="824">
        <f t="shared" ref="C119:E120" si="32">J56</f>
        <v>1143564817.5500004</v>
      </c>
      <c r="D119" s="1127">
        <f t="shared" si="32"/>
        <v>257642021.66</v>
      </c>
      <c r="E119" s="1127">
        <f t="shared" si="32"/>
        <v>885922795.89000034</v>
      </c>
      <c r="F119" s="1129">
        <v>0</v>
      </c>
      <c r="G119" s="815">
        <f t="shared" si="31"/>
        <v>0</v>
      </c>
      <c r="H119" s="815">
        <f t="shared" si="29"/>
        <v>0</v>
      </c>
      <c r="I119" s="815">
        <f t="shared" si="30"/>
        <v>0</v>
      </c>
      <c r="J119" s="1159" t="s">
        <v>2409</v>
      </c>
      <c r="K119" s="474"/>
    </row>
    <row r="120" spans="1:11" ht="12.75" customHeight="1">
      <c r="A120" s="109">
        <f t="shared" si="28"/>
        <v>87</v>
      </c>
      <c r="B120" s="570" t="s">
        <v>1996</v>
      </c>
      <c r="C120" s="809">
        <f t="shared" si="32"/>
        <v>-6606608.6023446145</v>
      </c>
      <c r="D120" s="809">
        <f t="shared" si="32"/>
        <v>-6606608.6023446145</v>
      </c>
      <c r="E120" s="809">
        <f t="shared" si="32"/>
        <v>0</v>
      </c>
      <c r="F120" s="1130">
        <v>0</v>
      </c>
      <c r="G120" s="820">
        <f>SUM(H120:I120)</f>
        <v>0</v>
      </c>
      <c r="H120" s="820">
        <f>D120*F120</f>
        <v>0</v>
      </c>
      <c r="I120" s="820">
        <f>E120*F120</f>
        <v>0</v>
      </c>
      <c r="J120" s="880" t="s">
        <v>2409</v>
      </c>
      <c r="K120" s="474"/>
    </row>
    <row r="121" spans="1:11" ht="13">
      <c r="A121" s="109">
        <f t="shared" si="28"/>
        <v>88</v>
      </c>
      <c r="B121" s="424" t="s">
        <v>1300</v>
      </c>
      <c r="C121" s="572">
        <f>SUM(C115:C120)</f>
        <v>1183718334.7076559</v>
      </c>
      <c r="D121" s="572">
        <f>SUM(D115:D120)</f>
        <v>283677641.31765538</v>
      </c>
      <c r="E121" s="572">
        <f>SUM(E115:E120)</f>
        <v>900040693.39000034</v>
      </c>
      <c r="F121" s="433"/>
      <c r="G121" s="804">
        <f>SUM(G115:G120)</f>
        <v>0</v>
      </c>
      <c r="H121" s="804">
        <f>SUM(H115:H120)</f>
        <v>0</v>
      </c>
      <c r="I121" s="804">
        <f>SUM(I115:I120)</f>
        <v>0</v>
      </c>
      <c r="J121" s="474"/>
      <c r="K121" s="474"/>
    </row>
    <row r="122" spans="1:11" ht="13">
      <c r="A122" s="109">
        <f t="shared" si="28"/>
        <v>89</v>
      </c>
      <c r="B122" s="424"/>
      <c r="C122" s="572"/>
      <c r="D122" s="572"/>
      <c r="E122" s="572"/>
      <c r="F122" s="433"/>
      <c r="G122" s="804"/>
      <c r="H122" s="801"/>
      <c r="I122" s="435"/>
      <c r="J122" s="474"/>
      <c r="K122" s="474"/>
    </row>
    <row r="123" spans="1:11" ht="13">
      <c r="A123" s="109">
        <f t="shared" si="28"/>
        <v>90</v>
      </c>
      <c r="B123" s="800"/>
      <c r="C123" s="806"/>
      <c r="D123" s="806"/>
      <c r="E123" s="806"/>
      <c r="F123" s="821"/>
      <c r="G123" s="815"/>
      <c r="H123" s="815"/>
      <c r="I123" s="815"/>
    </row>
    <row r="124" spans="1:11" ht="13">
      <c r="A124" s="109">
        <f t="shared" si="28"/>
        <v>91</v>
      </c>
      <c r="B124" s="424" t="s">
        <v>1657</v>
      </c>
      <c r="C124" s="806">
        <f>+C106+C121</f>
        <v>1460661997.1834533</v>
      </c>
      <c r="D124" s="806">
        <f>+D106+D121</f>
        <v>390800078.17345273</v>
      </c>
      <c r="E124" s="806">
        <f>+E106+E121</f>
        <v>1069861919.0100003</v>
      </c>
      <c r="F124" s="422"/>
      <c r="G124" s="815">
        <f>+G106+G121</f>
        <v>126658024.02530475</v>
      </c>
      <c r="H124" s="806">
        <f>+H106+H121</f>
        <v>45761462.13821695</v>
      </c>
      <c r="I124" s="806">
        <f>+I106+I121</f>
        <v>80896561.887087807</v>
      </c>
    </row>
    <row r="125" spans="1:11" ht="13">
      <c r="A125" s="109">
        <f t="shared" si="28"/>
        <v>92</v>
      </c>
      <c r="B125" s="474" t="str">
        <f>"Line "&amp;A106&amp;" +  Line "&amp;A121&amp;""</f>
        <v>Line 80 +  Line 88</v>
      </c>
    </row>
    <row r="126" spans="1:11">
      <c r="A126" s="474"/>
    </row>
    <row r="127" spans="1:11" ht="13">
      <c r="A127" s="474"/>
      <c r="B127" s="436" t="s">
        <v>230</v>
      </c>
    </row>
    <row r="128" spans="1:11">
      <c r="A128" s="474"/>
      <c r="B128" s="826" t="s">
        <v>1301</v>
      </c>
      <c r="G128" s="827"/>
      <c r="H128" s="828"/>
      <c r="I128" s="828"/>
      <c r="J128" s="474"/>
      <c r="K128" s="474"/>
    </row>
    <row r="129" spans="1:12">
      <c r="A129" s="474"/>
      <c r="B129" s="829" t="s">
        <v>1302</v>
      </c>
      <c r="G129" s="827"/>
      <c r="H129" s="828"/>
      <c r="I129" s="828"/>
      <c r="J129" s="474"/>
      <c r="K129" s="474"/>
    </row>
    <row r="130" spans="1:12">
      <c r="A130" s="474"/>
      <c r="B130" s="830" t="s">
        <v>1303</v>
      </c>
      <c r="G130" s="827"/>
      <c r="H130" s="828"/>
      <c r="I130" s="828"/>
      <c r="J130" s="474"/>
      <c r="K130" s="474"/>
    </row>
    <row r="131" spans="1:12">
      <c r="A131" s="474"/>
      <c r="B131" s="574" t="s">
        <v>1304</v>
      </c>
      <c r="G131" s="827"/>
      <c r="H131" s="828"/>
      <c r="I131" s="828"/>
      <c r="J131" s="474"/>
      <c r="K131" s="474"/>
    </row>
    <row r="132" spans="1:12">
      <c r="A132" s="474"/>
      <c r="B132" s="574" t="s">
        <v>1305</v>
      </c>
      <c r="G132" s="827"/>
      <c r="H132" s="828"/>
      <c r="I132" s="828"/>
      <c r="J132" s="474"/>
      <c r="K132" s="474"/>
    </row>
    <row r="133" spans="1:12">
      <c r="A133" s="474"/>
      <c r="B133" s="574" t="s">
        <v>1306</v>
      </c>
      <c r="G133" s="827"/>
      <c r="H133" s="828"/>
      <c r="I133" s="828"/>
      <c r="J133" s="474"/>
      <c r="K133" s="474"/>
    </row>
    <row r="134" spans="1:12">
      <c r="A134" s="474"/>
      <c r="B134" s="881" t="s">
        <v>2173</v>
      </c>
      <c r="G134" s="827"/>
      <c r="H134" s="828"/>
      <c r="I134" s="828"/>
      <c r="J134" s="474"/>
      <c r="K134" s="474"/>
    </row>
    <row r="135" spans="1:12">
      <c r="A135" s="474"/>
      <c r="B135" s="574" t="s">
        <v>2265</v>
      </c>
      <c r="G135" s="827"/>
      <c r="H135" s="828"/>
      <c r="I135" s="828"/>
      <c r="J135" s="474"/>
      <c r="K135" s="474"/>
    </row>
    <row r="136" spans="1:12">
      <c r="A136" s="474"/>
      <c r="B136" s="574" t="s">
        <v>2266</v>
      </c>
      <c r="G136" s="827"/>
      <c r="H136" s="828"/>
      <c r="I136" s="828"/>
      <c r="J136" s="474"/>
      <c r="K136" s="474"/>
    </row>
    <row r="137" spans="1:12">
      <c r="A137" s="474"/>
      <c r="B137" s="1399"/>
      <c r="C137" s="953"/>
      <c r="D137" s="953"/>
      <c r="E137" s="791"/>
      <c r="F137" s="1400"/>
      <c r="G137" s="1401"/>
      <c r="H137" s="1402"/>
      <c r="I137" s="1402"/>
      <c r="J137" s="791"/>
      <c r="K137" s="474"/>
      <c r="L137" s="474"/>
    </row>
    <row r="138" spans="1:12">
      <c r="A138" s="474"/>
      <c r="B138" s="474" t="s">
        <v>2006</v>
      </c>
      <c r="G138" s="827"/>
      <c r="H138" s="828"/>
      <c r="I138" s="828"/>
      <c r="J138" s="474"/>
      <c r="K138" s="474"/>
    </row>
    <row r="139" spans="1:12">
      <c r="A139" s="474"/>
      <c r="B139" s="474" t="s">
        <v>1997</v>
      </c>
      <c r="G139" s="827"/>
      <c r="H139" s="828"/>
      <c r="I139" s="828"/>
      <c r="J139" s="474"/>
      <c r="K139" s="474"/>
    </row>
    <row r="140" spans="1:12">
      <c r="A140" s="474"/>
      <c r="G140" s="827"/>
      <c r="H140" s="828"/>
      <c r="I140" s="828"/>
      <c r="J140" s="474"/>
      <c r="K140" s="474"/>
    </row>
    <row r="141" spans="1:12">
      <c r="A141" s="474"/>
      <c r="B141" s="882" t="s">
        <v>1998</v>
      </c>
      <c r="C141" s="1485">
        <v>47</v>
      </c>
      <c r="G141" s="827"/>
      <c r="H141" s="828"/>
      <c r="I141" s="828"/>
      <c r="J141" s="474"/>
      <c r="K141" s="474"/>
    </row>
    <row r="142" spans="1:12">
      <c r="A142" s="474"/>
      <c r="G142" s="827"/>
      <c r="H142" s="828"/>
      <c r="I142" s="828"/>
      <c r="J142" s="474"/>
      <c r="K142" s="474"/>
    </row>
    <row r="143" spans="1:12" ht="13">
      <c r="A143" s="474"/>
      <c r="B143" s="831"/>
      <c r="C143" s="455" t="s">
        <v>1427</v>
      </c>
      <c r="D143" s="455" t="s">
        <v>154</v>
      </c>
      <c r="G143" s="827"/>
      <c r="H143" s="828"/>
      <c r="I143" s="828"/>
      <c r="J143" s="474"/>
      <c r="K143" s="474"/>
    </row>
    <row r="144" spans="1:12">
      <c r="A144" s="474"/>
      <c r="B144" s="831" t="s">
        <v>1999</v>
      </c>
      <c r="C144" s="832">
        <f>D43/D60</f>
        <v>0.27610103506426364</v>
      </c>
      <c r="D144" s="831" t="str">
        <f>"Line "&amp;A43&amp;", Col 3 / Line "&amp;A60&amp;", Col 3"</f>
        <v>Line 33, Col 3 / Line 43, Col 3</v>
      </c>
      <c r="G144" s="827"/>
      <c r="H144" s="828"/>
      <c r="I144" s="828"/>
      <c r="J144" s="474"/>
      <c r="K144" s="474"/>
    </row>
    <row r="145" spans="1:11">
      <c r="A145" s="474"/>
      <c r="B145" s="831" t="s">
        <v>2000</v>
      </c>
      <c r="C145" s="832">
        <f>D58/D60</f>
        <v>0.72389896493573636</v>
      </c>
      <c r="D145" s="831" t="str">
        <f>"Line "&amp;A58&amp;", Col 3 / Line "&amp;A60&amp;", Col 3"</f>
        <v>Line 41, Col 3 / Line 43, Col 3</v>
      </c>
      <c r="G145" s="827"/>
      <c r="H145" s="828"/>
      <c r="I145" s="828"/>
      <c r="J145" s="474"/>
      <c r="K145" s="474"/>
    </row>
    <row r="146" spans="1:11">
      <c r="A146" s="474"/>
      <c r="G146" s="827"/>
      <c r="H146" s="828"/>
      <c r="I146" s="828"/>
      <c r="J146" s="474"/>
      <c r="K146" s="474"/>
    </row>
    <row r="147" spans="1:11">
      <c r="A147" s="474"/>
      <c r="B147" s="474" t="s">
        <v>2001</v>
      </c>
      <c r="G147" s="827"/>
      <c r="H147" s="828"/>
      <c r="I147" s="828"/>
      <c r="J147" s="474"/>
      <c r="K147" s="474"/>
    </row>
    <row r="148" spans="1:11">
      <c r="A148" s="474"/>
      <c r="B148" s="474" t="s">
        <v>2002</v>
      </c>
      <c r="G148" s="827"/>
      <c r="H148" s="828"/>
      <c r="I148" s="828"/>
      <c r="J148" s="474"/>
      <c r="K148" s="474"/>
    </row>
    <row r="149" spans="1:11">
      <c r="A149" s="474"/>
      <c r="B149" s="474" t="s">
        <v>1720</v>
      </c>
      <c r="C149" s="883">
        <f>(SUM(H74:H103)/SUM(D74:D103))</f>
        <v>0.42718839751394611</v>
      </c>
      <c r="G149" s="827"/>
      <c r="H149" s="828"/>
      <c r="I149" s="828"/>
      <c r="J149" s="474"/>
      <c r="K149" s="474"/>
    </row>
    <row r="150" spans="1:11">
      <c r="A150" s="474"/>
      <c r="B150" s="474" t="s">
        <v>1656</v>
      </c>
      <c r="G150" s="827"/>
      <c r="H150" s="828"/>
      <c r="I150" s="828"/>
      <c r="J150" s="474"/>
      <c r="K150" s="474"/>
    </row>
    <row r="151" spans="1:11">
      <c r="A151" s="474"/>
      <c r="B151" s="474" t="s">
        <v>2410</v>
      </c>
      <c r="G151" s="827"/>
      <c r="H151" s="828"/>
      <c r="I151" s="828"/>
      <c r="J151" s="474"/>
      <c r="K151" s="474"/>
    </row>
    <row r="152" spans="1:11">
      <c r="A152" s="474"/>
      <c r="B152" s="474" t="s">
        <v>1804</v>
      </c>
      <c r="G152" s="827"/>
      <c r="H152" s="828"/>
      <c r="I152" s="828"/>
      <c r="J152" s="474"/>
      <c r="K152" s="474"/>
    </row>
    <row r="153" spans="1:11">
      <c r="A153" s="474"/>
      <c r="B153" s="474"/>
      <c r="G153" s="827"/>
      <c r="H153" s="828"/>
      <c r="I153" s="828"/>
      <c r="J153" s="474"/>
      <c r="K153" s="474"/>
    </row>
    <row r="154" spans="1:11">
      <c r="A154" s="474"/>
    </row>
    <row r="155" spans="1:11">
      <c r="A155" s="474"/>
    </row>
  </sheetData>
  <mergeCells count="14">
    <mergeCell ref="J8:L8"/>
    <mergeCell ref="B49:B50"/>
    <mergeCell ref="C49:E49"/>
    <mergeCell ref="G49:I49"/>
    <mergeCell ref="J49:L49"/>
    <mergeCell ref="G112:I112"/>
    <mergeCell ref="G71:I71"/>
    <mergeCell ref="B8:B9"/>
    <mergeCell ref="C8:E8"/>
    <mergeCell ref="G8:I8"/>
    <mergeCell ref="B71:B72"/>
    <mergeCell ref="C71:E71"/>
    <mergeCell ref="B112:B113"/>
    <mergeCell ref="C112:E112"/>
  </mergeCells>
  <pageMargins left="0.7" right="0.7" top="0.75" bottom="0.75" header="0.3" footer="0.3"/>
  <pageSetup scale="60" orientation="landscape" cellComments="asDisplayed" r:id="rId1"/>
  <headerFooter>
    <oddHeader>&amp;CSchedule 19
Operations and Maintenance
&amp;RTO2022 Annual Update 
Attachment 1</oddHeader>
    <oddFooter>&amp;R&amp;A</oddFooter>
  </headerFooter>
  <rowBreaks count="3" manualBreakCount="3">
    <brk id="45" max="11" man="1"/>
    <brk id="65" max="16383" man="1"/>
    <brk id="10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10"/>
  <sheetViews>
    <sheetView zoomScaleNormal="100" zoomScalePageLayoutView="80" workbookViewId="0"/>
  </sheetViews>
  <sheetFormatPr defaultRowHeight="12.5"/>
  <cols>
    <col min="1" max="1" width="4.54296875" customWidth="1"/>
    <col min="2" max="2" width="2.54296875" customWidth="1"/>
    <col min="3" max="3" width="8.54296875" customWidth="1"/>
    <col min="4" max="4" width="32.54296875" customWidth="1"/>
    <col min="5" max="5" width="14.54296875" customWidth="1"/>
    <col min="6" max="6" width="15.54296875" customWidth="1"/>
    <col min="7" max="8" width="14.54296875" customWidth="1"/>
    <col min="9" max="9" width="20" customWidth="1"/>
    <col min="10" max="10" width="15.54296875" customWidth="1"/>
    <col min="11" max="11" width="11" bestFit="1" customWidth="1"/>
  </cols>
  <sheetData>
    <row r="1" spans="1:24" ht="13">
      <c r="A1" s="1" t="s">
        <v>280</v>
      </c>
      <c r="F1" s="43" t="s">
        <v>17</v>
      </c>
      <c r="G1" s="96"/>
      <c r="H1" s="61"/>
      <c r="I1" s="61"/>
    </row>
    <row r="2" spans="1:24" ht="13">
      <c r="E2" s="84" t="s">
        <v>358</v>
      </c>
      <c r="F2" s="84" t="s">
        <v>342</v>
      </c>
      <c r="G2" s="84" t="s">
        <v>343</v>
      </c>
      <c r="H2" s="84" t="s">
        <v>344</v>
      </c>
      <c r="I2" s="61"/>
    </row>
    <row r="3" spans="1:24">
      <c r="G3" s="61" t="s">
        <v>212</v>
      </c>
    </row>
    <row r="4" spans="1:24" ht="13">
      <c r="E4" s="2" t="s">
        <v>476</v>
      </c>
      <c r="F4" s="26" t="s">
        <v>194</v>
      </c>
      <c r="G4" s="2" t="s">
        <v>1366</v>
      </c>
      <c r="I4" s="2"/>
    </row>
    <row r="5" spans="1:24" ht="13">
      <c r="A5" s="53" t="s">
        <v>319</v>
      </c>
      <c r="B5" s="3"/>
      <c r="C5" s="3" t="s">
        <v>115</v>
      </c>
      <c r="D5" s="3" t="s">
        <v>100</v>
      </c>
      <c r="E5" s="3" t="s">
        <v>175</v>
      </c>
      <c r="F5" s="25" t="s">
        <v>179</v>
      </c>
      <c r="G5" s="3" t="s">
        <v>116</v>
      </c>
      <c r="H5" s="3" t="s">
        <v>264</v>
      </c>
      <c r="I5" s="3" t="s">
        <v>168</v>
      </c>
      <c r="K5" s="3"/>
      <c r="L5" s="3"/>
      <c r="M5" s="3"/>
      <c r="N5" s="3"/>
      <c r="O5" s="3"/>
      <c r="P5" s="3"/>
      <c r="Q5" s="3"/>
      <c r="R5" s="3"/>
      <c r="S5" s="3"/>
      <c r="T5" s="3"/>
      <c r="U5" s="3"/>
      <c r="V5" s="3"/>
      <c r="W5" s="3"/>
      <c r="X5" s="3"/>
    </row>
    <row r="6" spans="1:24" ht="13">
      <c r="A6" s="2">
        <v>1</v>
      </c>
      <c r="C6" s="61">
        <v>920</v>
      </c>
      <c r="D6" t="s">
        <v>102</v>
      </c>
      <c r="E6" s="80">
        <v>512818190</v>
      </c>
      <c r="F6" s="61" t="s">
        <v>117</v>
      </c>
      <c r="G6" s="63">
        <f>D37</f>
        <v>265731764.32564449</v>
      </c>
      <c r="H6" s="63">
        <f t="shared" ref="H6:H19" si="0">E6-G6</f>
        <v>247086425.67435551</v>
      </c>
      <c r="J6" s="463"/>
    </row>
    <row r="7" spans="1:24" ht="13">
      <c r="A7" s="2">
        <f>A6+1</f>
        <v>2</v>
      </c>
      <c r="C7" s="61">
        <v>921</v>
      </c>
      <c r="D7" t="s">
        <v>103</v>
      </c>
      <c r="E7" s="80">
        <v>259355778</v>
      </c>
      <c r="F7" s="61" t="s">
        <v>118</v>
      </c>
      <c r="G7" s="63">
        <f t="shared" ref="G7:G19" si="1">D38</f>
        <v>274498.94</v>
      </c>
      <c r="H7" s="63">
        <f t="shared" si="0"/>
        <v>259081279.06</v>
      </c>
      <c r="J7" s="463"/>
    </row>
    <row r="8" spans="1:24" ht="13">
      <c r="A8" s="2">
        <f>A7+1</f>
        <v>3</v>
      </c>
      <c r="C8" s="61">
        <v>922</v>
      </c>
      <c r="D8" t="s">
        <v>104</v>
      </c>
      <c r="E8" s="80">
        <v>-223403958</v>
      </c>
      <c r="F8" s="61" t="s">
        <v>119</v>
      </c>
      <c r="G8" s="63">
        <f t="shared" si="1"/>
        <v>-110501926.69585</v>
      </c>
      <c r="H8" s="63">
        <f t="shared" si="0"/>
        <v>-112902031.30415</v>
      </c>
      <c r="I8" s="838" t="s">
        <v>1744</v>
      </c>
      <c r="J8" s="463"/>
    </row>
    <row r="9" spans="1:24" ht="13">
      <c r="A9" s="2">
        <f t="shared" ref="A9:A20" si="2">A8+1</f>
        <v>4</v>
      </c>
      <c r="B9" s="2"/>
      <c r="C9" s="61">
        <v>923</v>
      </c>
      <c r="D9" t="s">
        <v>105</v>
      </c>
      <c r="E9" s="80">
        <v>49255741</v>
      </c>
      <c r="F9" s="61" t="s">
        <v>120</v>
      </c>
      <c r="G9" s="63">
        <f t="shared" si="1"/>
        <v>7163431.5699999994</v>
      </c>
      <c r="H9" s="63">
        <f t="shared" si="0"/>
        <v>42092309.43</v>
      </c>
      <c r="I9" s="14"/>
      <c r="J9" s="463"/>
    </row>
    <row r="10" spans="1:24" ht="13">
      <c r="A10" s="2">
        <f t="shared" si="2"/>
        <v>5</v>
      </c>
      <c r="B10" s="2"/>
      <c r="C10" s="61">
        <v>924</v>
      </c>
      <c r="D10" t="s">
        <v>106</v>
      </c>
      <c r="E10" s="80">
        <v>20441370</v>
      </c>
      <c r="F10" s="61" t="s">
        <v>121</v>
      </c>
      <c r="G10" s="63">
        <f t="shared" si="1"/>
        <v>0</v>
      </c>
      <c r="H10" s="63">
        <f t="shared" si="0"/>
        <v>20441370</v>
      </c>
      <c r="I10" s="14"/>
      <c r="J10" s="463"/>
    </row>
    <row r="11" spans="1:24" ht="13">
      <c r="A11" s="2">
        <f t="shared" si="2"/>
        <v>6</v>
      </c>
      <c r="B11" s="2"/>
      <c r="C11" s="61">
        <v>925</v>
      </c>
      <c r="D11" t="s">
        <v>107</v>
      </c>
      <c r="E11" s="80">
        <v>2255479067</v>
      </c>
      <c r="F11" s="61" t="s">
        <v>122</v>
      </c>
      <c r="G11" s="63">
        <f t="shared" si="1"/>
        <v>364795913.85999995</v>
      </c>
      <c r="H11" s="63">
        <f t="shared" si="0"/>
        <v>1890683153.1400001</v>
      </c>
      <c r="I11" s="14"/>
      <c r="J11" s="463"/>
    </row>
    <row r="12" spans="1:24" ht="13">
      <c r="A12" s="2">
        <f t="shared" si="2"/>
        <v>7</v>
      </c>
      <c r="B12" s="2"/>
      <c r="C12" s="61">
        <v>926</v>
      </c>
      <c r="D12" t="s">
        <v>108</v>
      </c>
      <c r="E12" s="80">
        <v>78787907</v>
      </c>
      <c r="F12" s="61" t="s">
        <v>123</v>
      </c>
      <c r="G12" s="63">
        <f t="shared" si="1"/>
        <v>9601026.1758500002</v>
      </c>
      <c r="H12" s="63">
        <f t="shared" si="0"/>
        <v>69186880.824149996</v>
      </c>
      <c r="I12" s="14"/>
      <c r="J12" s="463"/>
    </row>
    <row r="13" spans="1:24" ht="13">
      <c r="A13" s="2">
        <f t="shared" si="2"/>
        <v>8</v>
      </c>
      <c r="B13" s="2"/>
      <c r="C13" s="61">
        <v>927</v>
      </c>
      <c r="D13" t="s">
        <v>109</v>
      </c>
      <c r="E13" s="80">
        <v>113495974</v>
      </c>
      <c r="F13" s="61" t="s">
        <v>124</v>
      </c>
      <c r="G13" s="63">
        <f t="shared" si="1"/>
        <v>113495974</v>
      </c>
      <c r="H13" s="63">
        <f t="shared" si="0"/>
        <v>0</v>
      </c>
      <c r="I13" s="14"/>
      <c r="J13" s="463"/>
    </row>
    <row r="14" spans="1:24" ht="13">
      <c r="A14" s="2">
        <f t="shared" si="2"/>
        <v>9</v>
      </c>
      <c r="B14" s="2"/>
      <c r="C14" s="61">
        <v>928</v>
      </c>
      <c r="D14" s="12" t="s">
        <v>110</v>
      </c>
      <c r="E14" s="80">
        <v>11842729</v>
      </c>
      <c r="F14" s="61" t="s">
        <v>125</v>
      </c>
      <c r="G14" s="63">
        <f t="shared" si="1"/>
        <v>10887496.710000001</v>
      </c>
      <c r="H14" s="63">
        <f t="shared" si="0"/>
        <v>955232.28999999911</v>
      </c>
      <c r="I14" s="14"/>
      <c r="J14" s="463"/>
    </row>
    <row r="15" spans="1:24" ht="13">
      <c r="A15" s="2">
        <f t="shared" si="2"/>
        <v>10</v>
      </c>
      <c r="B15" s="2"/>
      <c r="C15" s="61">
        <v>929</v>
      </c>
      <c r="D15" t="s">
        <v>111</v>
      </c>
      <c r="E15" s="80">
        <v>0</v>
      </c>
      <c r="F15" s="61" t="s">
        <v>126</v>
      </c>
      <c r="G15" s="63">
        <f t="shared" si="1"/>
        <v>0</v>
      </c>
      <c r="H15" s="63">
        <f t="shared" si="0"/>
        <v>0</v>
      </c>
      <c r="I15" s="14"/>
      <c r="J15" s="463"/>
    </row>
    <row r="16" spans="1:24" ht="13">
      <c r="A16" s="2">
        <f t="shared" si="2"/>
        <v>11</v>
      </c>
      <c r="B16" s="2"/>
      <c r="C16" s="61">
        <v>930.1</v>
      </c>
      <c r="D16" t="s">
        <v>112</v>
      </c>
      <c r="E16" s="80">
        <v>14923247</v>
      </c>
      <c r="F16" s="61" t="s">
        <v>127</v>
      </c>
      <c r="G16" s="63">
        <f t="shared" si="1"/>
        <v>7813090.2100000009</v>
      </c>
      <c r="H16" s="63">
        <f t="shared" si="0"/>
        <v>7110156.7899999991</v>
      </c>
      <c r="I16" s="14"/>
      <c r="J16" s="463"/>
    </row>
    <row r="17" spans="1:11" ht="13">
      <c r="A17" s="2">
        <f t="shared" si="2"/>
        <v>12</v>
      </c>
      <c r="B17" s="2"/>
      <c r="C17" s="61">
        <v>930.2</v>
      </c>
      <c r="D17" t="s">
        <v>88</v>
      </c>
      <c r="E17" s="80">
        <v>38904934</v>
      </c>
      <c r="F17" s="61" t="s">
        <v>128</v>
      </c>
      <c r="G17" s="63">
        <f t="shared" si="1"/>
        <v>36338171.140000001</v>
      </c>
      <c r="H17" s="63">
        <f t="shared" si="0"/>
        <v>2566762.8599999994</v>
      </c>
      <c r="I17" s="14"/>
      <c r="J17" s="463"/>
    </row>
    <row r="18" spans="1:11" ht="13">
      <c r="A18" s="2">
        <f t="shared" si="2"/>
        <v>13</v>
      </c>
      <c r="B18" s="2"/>
      <c r="C18" s="61">
        <v>931</v>
      </c>
      <c r="D18" t="s">
        <v>113</v>
      </c>
      <c r="E18" s="80">
        <v>9432312</v>
      </c>
      <c r="F18" s="61" t="s">
        <v>129</v>
      </c>
      <c r="G18" s="63">
        <f t="shared" si="1"/>
        <v>0</v>
      </c>
      <c r="H18" s="63">
        <f t="shared" si="0"/>
        <v>9432312</v>
      </c>
      <c r="I18" s="14"/>
      <c r="J18" s="463"/>
    </row>
    <row r="19" spans="1:11" ht="13">
      <c r="A19" s="2">
        <f t="shared" si="2"/>
        <v>14</v>
      </c>
      <c r="B19" s="2"/>
      <c r="C19" s="61">
        <v>935</v>
      </c>
      <c r="D19" t="s">
        <v>114</v>
      </c>
      <c r="E19" s="1048">
        <v>22574402</v>
      </c>
      <c r="F19" s="61" t="s">
        <v>130</v>
      </c>
      <c r="G19" s="63">
        <f t="shared" si="1"/>
        <v>1049723.18</v>
      </c>
      <c r="H19" s="110">
        <f t="shared" si="0"/>
        <v>21524678.82</v>
      </c>
      <c r="I19" s="14"/>
      <c r="J19" s="463"/>
    </row>
    <row r="20" spans="1:11" ht="13">
      <c r="A20" s="2">
        <f t="shared" si="2"/>
        <v>15</v>
      </c>
      <c r="E20" s="7">
        <f>SUM(E6:E19)</f>
        <v>3163907693</v>
      </c>
      <c r="G20" s="79" t="s">
        <v>131</v>
      </c>
      <c r="H20" s="47">
        <f>SUM(H6:H19)</f>
        <v>2457258529.5843558</v>
      </c>
      <c r="I20" s="14"/>
    </row>
    <row r="22" spans="1:11" ht="13">
      <c r="F22" s="3" t="s">
        <v>175</v>
      </c>
      <c r="G22" s="3" t="s">
        <v>179</v>
      </c>
    </row>
    <row r="23" spans="1:11" ht="13">
      <c r="A23" s="2">
        <f>A20+1</f>
        <v>16</v>
      </c>
      <c r="E23" s="842" t="s">
        <v>1982</v>
      </c>
      <c r="F23" s="63">
        <f>H20</f>
        <v>2457258529.5843558</v>
      </c>
      <c r="G23" s="46" t="str">
        <f>"Line "&amp;A20&amp;""</f>
        <v>Line 15</v>
      </c>
      <c r="H23" s="14"/>
      <c r="I23" s="14"/>
      <c r="J23" s="14"/>
      <c r="K23" s="14"/>
    </row>
    <row r="24" spans="1:11" ht="13">
      <c r="A24" s="2">
        <f t="shared" ref="A24:A30" si="3">A23+1</f>
        <v>17</v>
      </c>
      <c r="E24" s="356" t="s">
        <v>292</v>
      </c>
      <c r="F24" s="110">
        <f>E10</f>
        <v>20441370</v>
      </c>
      <c r="G24" s="46" t="str">
        <f>"Line "&amp;A10&amp;""</f>
        <v>Line 5</v>
      </c>
      <c r="H24" s="14"/>
      <c r="I24" s="14"/>
      <c r="J24" s="14"/>
      <c r="K24" s="14"/>
    </row>
    <row r="25" spans="1:11" ht="13">
      <c r="A25" s="2">
        <f t="shared" si="3"/>
        <v>18</v>
      </c>
      <c r="E25" s="356" t="s">
        <v>1361</v>
      </c>
      <c r="F25" s="63">
        <f>F23-F24</f>
        <v>2436817159.5843558</v>
      </c>
      <c r="G25" s="46" t="str">
        <f>"Line "&amp;A23&amp;" - Line "&amp;A24&amp;""</f>
        <v>Line 16 - Line 17</v>
      </c>
      <c r="H25" s="14"/>
      <c r="I25" s="14"/>
      <c r="J25" s="14"/>
      <c r="K25" s="14"/>
    </row>
    <row r="26" spans="1:11" ht="13">
      <c r="A26" s="2">
        <f t="shared" si="3"/>
        <v>19</v>
      </c>
      <c r="E26" s="79" t="s">
        <v>132</v>
      </c>
      <c r="F26" s="884">
        <f>'27-Allocators'!G15</f>
        <v>6.982260642173875E-2</v>
      </c>
      <c r="G26" s="46" t="str">
        <f>"27-Allocators, Line "&amp;'27-Allocators'!A15&amp;""</f>
        <v>27-Allocators, Line 9</v>
      </c>
      <c r="H26" s="14"/>
      <c r="I26" s="14"/>
      <c r="J26" s="14"/>
      <c r="K26" s="14"/>
    </row>
    <row r="27" spans="1:11" ht="13">
      <c r="A27" s="2">
        <f t="shared" si="3"/>
        <v>20</v>
      </c>
      <c r="E27" s="356" t="s">
        <v>1362</v>
      </c>
      <c r="F27" s="63">
        <f>F25*F26</f>
        <v>170144925.45539781</v>
      </c>
      <c r="G27" s="46" t="str">
        <f>"Line "&amp;A25&amp;" * Line "&amp;A26&amp;""</f>
        <v>Line 18 * Line 19</v>
      </c>
      <c r="H27" s="14"/>
      <c r="I27" s="14"/>
      <c r="J27" s="14"/>
      <c r="K27" s="14"/>
    </row>
    <row r="28" spans="1:11" ht="13">
      <c r="A28" s="2">
        <f t="shared" si="3"/>
        <v>21</v>
      </c>
      <c r="E28" s="356" t="s">
        <v>94</v>
      </c>
      <c r="F28" s="67">
        <f>'27-Allocators'!G28</f>
        <v>0.18354940810043915</v>
      </c>
      <c r="G28" s="112" t="str">
        <f>"27-Allocators, Line "&amp;'27-Allocators'!A28&amp;""</f>
        <v>27-Allocators, Line 22</v>
      </c>
      <c r="H28" s="14"/>
      <c r="I28" s="14"/>
      <c r="J28" s="14"/>
      <c r="K28" s="14"/>
    </row>
    <row r="29" spans="1:11" ht="13">
      <c r="A29" s="2">
        <f t="shared" si="3"/>
        <v>22</v>
      </c>
      <c r="E29" s="356" t="s">
        <v>293</v>
      </c>
      <c r="F29" s="110">
        <f>H10*F28</f>
        <v>3752001.3642620738</v>
      </c>
      <c r="G29" s="46" t="str">
        <f>"Line "&amp;A10&amp;" Col 4 * Line "&amp;A28&amp;""</f>
        <v>Line 5 Col 4 * Line 21</v>
      </c>
      <c r="H29" s="14"/>
      <c r="I29" s="14"/>
      <c r="J29" s="14"/>
      <c r="K29" s="14"/>
    </row>
    <row r="30" spans="1:11" ht="13">
      <c r="A30" s="2">
        <f t="shared" si="3"/>
        <v>23</v>
      </c>
      <c r="E30" s="356" t="s">
        <v>294</v>
      </c>
      <c r="F30" s="477">
        <f>F27+F29</f>
        <v>173896926.81965989</v>
      </c>
      <c r="G30" s="46" t="str">
        <f>"Line "&amp;A27&amp;" + Line "&amp;A29&amp;""</f>
        <v>Line 20 + Line 22</v>
      </c>
      <c r="H30" s="14"/>
      <c r="I30" s="14"/>
      <c r="J30" s="14"/>
      <c r="K30" s="14"/>
    </row>
    <row r="31" spans="1:11">
      <c r="E31" s="14"/>
      <c r="F31" s="14"/>
      <c r="G31" s="14"/>
      <c r="H31" s="14"/>
      <c r="I31" s="14"/>
      <c r="J31" s="14"/>
      <c r="K31" s="14"/>
    </row>
    <row r="32" spans="1:11" ht="13">
      <c r="B32" s="1" t="s">
        <v>483</v>
      </c>
      <c r="E32" s="351" t="s">
        <v>358</v>
      </c>
      <c r="F32" s="351" t="s">
        <v>342</v>
      </c>
      <c r="G32" s="351" t="s">
        <v>343</v>
      </c>
      <c r="H32" s="351" t="s">
        <v>344</v>
      </c>
      <c r="I32" s="14"/>
      <c r="J32" s="14"/>
      <c r="K32" s="14"/>
    </row>
    <row r="33" spans="1:11" ht="13">
      <c r="B33" s="1"/>
      <c r="C33" s="68" t="s">
        <v>2531</v>
      </c>
      <c r="D33" s="1480" t="s">
        <v>2902</v>
      </c>
      <c r="E33" s="109" t="s">
        <v>478</v>
      </c>
      <c r="F33" s="351"/>
      <c r="G33" s="351"/>
      <c r="H33" s="351"/>
      <c r="I33" s="14"/>
      <c r="J33" s="14"/>
      <c r="K33" s="14"/>
    </row>
    <row r="34" spans="1:11" ht="13">
      <c r="C34" s="1229"/>
      <c r="E34" s="109" t="s">
        <v>542</v>
      </c>
      <c r="F34" s="14"/>
      <c r="G34" s="14"/>
      <c r="H34" s="14"/>
      <c r="I34" s="14"/>
      <c r="J34" s="14"/>
      <c r="K34" s="14"/>
    </row>
    <row r="35" spans="1:11" ht="13">
      <c r="D35" s="2" t="s">
        <v>477</v>
      </c>
      <c r="E35" s="109" t="s">
        <v>541</v>
      </c>
      <c r="F35" s="109" t="s">
        <v>479</v>
      </c>
      <c r="G35" s="109"/>
      <c r="H35" s="109"/>
      <c r="I35" s="14"/>
      <c r="J35" s="14"/>
      <c r="K35" s="14"/>
    </row>
    <row r="36" spans="1:11" ht="13">
      <c r="C36" s="3" t="s">
        <v>115</v>
      </c>
      <c r="D36" s="351" t="s">
        <v>1096</v>
      </c>
      <c r="E36" s="122" t="s">
        <v>1263</v>
      </c>
      <c r="F36" s="122" t="s">
        <v>480</v>
      </c>
      <c r="G36" s="122" t="s">
        <v>1983</v>
      </c>
      <c r="H36" s="122" t="s">
        <v>481</v>
      </c>
      <c r="I36" s="122" t="s">
        <v>168</v>
      </c>
      <c r="J36" s="14"/>
      <c r="K36" s="14"/>
    </row>
    <row r="37" spans="1:11" ht="13">
      <c r="A37" s="2">
        <f>A30+1</f>
        <v>24</v>
      </c>
      <c r="C37" s="61">
        <v>920</v>
      </c>
      <c r="D37" s="1499">
        <f>SUM(E37:H37)</f>
        <v>265731764.32564449</v>
      </c>
      <c r="E37" s="980">
        <v>43427226.760000005</v>
      </c>
      <c r="F37" s="106"/>
      <c r="G37" s="63">
        <f>G58</f>
        <v>222304537.5656445</v>
      </c>
      <c r="H37" s="106"/>
      <c r="I37" s="462" t="s">
        <v>1754</v>
      </c>
      <c r="J37" s="14"/>
    </row>
    <row r="38" spans="1:11" ht="13">
      <c r="A38" s="2">
        <f>A37+1</f>
        <v>25</v>
      </c>
      <c r="C38" s="61">
        <v>921</v>
      </c>
      <c r="D38" s="1499">
        <f t="shared" ref="D38:D50" si="4">SUM(E38:H38)</f>
        <v>274498.94</v>
      </c>
      <c r="E38" s="980">
        <v>274498.94</v>
      </c>
      <c r="F38" s="106"/>
      <c r="G38" s="977">
        <v>0</v>
      </c>
      <c r="H38" s="106"/>
      <c r="I38" s="112"/>
      <c r="J38" s="14"/>
    </row>
    <row r="39" spans="1:11" ht="13">
      <c r="A39" s="2">
        <f t="shared" ref="A39:A50" si="5">A38+1</f>
        <v>26</v>
      </c>
      <c r="C39" s="61">
        <v>922</v>
      </c>
      <c r="D39" s="1499">
        <f t="shared" si="4"/>
        <v>-110501926.69585</v>
      </c>
      <c r="E39" s="980">
        <v>-11947057.69585</v>
      </c>
      <c r="F39" s="493"/>
      <c r="G39" s="493">
        <v>-98554869</v>
      </c>
      <c r="H39" s="106"/>
      <c r="I39" s="112"/>
      <c r="J39" s="14"/>
    </row>
    <row r="40" spans="1:11" ht="13">
      <c r="A40" s="2">
        <f t="shared" si="5"/>
        <v>27</v>
      </c>
      <c r="C40" s="61">
        <v>923</v>
      </c>
      <c r="D40" s="1499">
        <f t="shared" si="4"/>
        <v>7163431.5699999994</v>
      </c>
      <c r="E40" s="980">
        <v>7163431.5699999994</v>
      </c>
      <c r="F40" s="106"/>
      <c r="G40" s="977">
        <v>0</v>
      </c>
      <c r="H40" s="106"/>
      <c r="I40" s="112"/>
      <c r="J40" s="122"/>
      <c r="K40" s="3"/>
    </row>
    <row r="41" spans="1:11" ht="13">
      <c r="A41" s="2">
        <f t="shared" si="5"/>
        <v>28</v>
      </c>
      <c r="C41" s="61">
        <v>924</v>
      </c>
      <c r="D41" s="1499">
        <f t="shared" si="4"/>
        <v>0</v>
      </c>
      <c r="E41" s="980">
        <v>0</v>
      </c>
      <c r="F41" s="106"/>
      <c r="G41" s="977">
        <v>0</v>
      </c>
      <c r="H41" s="106"/>
      <c r="I41" s="112"/>
      <c r="J41" s="14"/>
      <c r="K41" s="7"/>
    </row>
    <row r="42" spans="1:11" ht="13">
      <c r="A42" s="2">
        <f t="shared" si="5"/>
        <v>29</v>
      </c>
      <c r="C42" s="61">
        <v>925</v>
      </c>
      <c r="D42" s="1499">
        <f t="shared" si="4"/>
        <v>364795913.85999995</v>
      </c>
      <c r="E42" s="980">
        <v>364795913.85999995</v>
      </c>
      <c r="F42" s="106"/>
      <c r="G42" s="977">
        <v>0</v>
      </c>
      <c r="H42" s="106"/>
      <c r="I42" s="462" t="s">
        <v>2539</v>
      </c>
      <c r="J42" s="14"/>
      <c r="K42" s="7"/>
    </row>
    <row r="43" spans="1:11" ht="13">
      <c r="A43" s="2">
        <f t="shared" si="5"/>
        <v>30</v>
      </c>
      <c r="C43" s="61">
        <v>926</v>
      </c>
      <c r="D43" s="1499">
        <f t="shared" si="4"/>
        <v>9601026.1758500002</v>
      </c>
      <c r="E43" s="980">
        <v>15930026.17585</v>
      </c>
      <c r="F43" s="106"/>
      <c r="G43" s="977">
        <v>0</v>
      </c>
      <c r="H43" s="63">
        <f>E71</f>
        <v>-6329000</v>
      </c>
      <c r="I43" s="46" t="s">
        <v>281</v>
      </c>
      <c r="J43" s="14"/>
      <c r="K43" s="7"/>
    </row>
    <row r="44" spans="1:11" ht="13">
      <c r="A44" s="2">
        <f t="shared" si="5"/>
        <v>31</v>
      </c>
      <c r="C44" s="61">
        <v>927</v>
      </c>
      <c r="D44" s="139">
        <f t="shared" si="4"/>
        <v>113495974</v>
      </c>
      <c r="E44" s="63">
        <v>0</v>
      </c>
      <c r="F44" s="458">
        <f>E13</f>
        <v>113495974</v>
      </c>
      <c r="G44" s="63">
        <v>0</v>
      </c>
      <c r="H44" s="63">
        <v>0</v>
      </c>
      <c r="I44" s="112" t="s">
        <v>951</v>
      </c>
      <c r="J44" s="14"/>
      <c r="K44" s="7"/>
    </row>
    <row r="45" spans="1:11" ht="13">
      <c r="A45" s="2">
        <f t="shared" si="5"/>
        <v>32</v>
      </c>
      <c r="C45" s="61">
        <v>928</v>
      </c>
      <c r="D45" s="139">
        <f t="shared" si="4"/>
        <v>10887496.710000001</v>
      </c>
      <c r="E45" s="980">
        <v>10887496.710000001</v>
      </c>
      <c r="F45" s="977"/>
      <c r="G45" s="977">
        <v>0</v>
      </c>
      <c r="H45" s="977"/>
      <c r="I45" s="112"/>
      <c r="J45" s="14"/>
      <c r="K45" s="7"/>
    </row>
    <row r="46" spans="1:11" ht="13">
      <c r="A46" s="2">
        <f t="shared" si="5"/>
        <v>33</v>
      </c>
      <c r="C46" s="61">
        <v>929</v>
      </c>
      <c r="D46" s="139">
        <f t="shared" si="4"/>
        <v>0</v>
      </c>
      <c r="E46" s="493">
        <v>0</v>
      </c>
      <c r="F46" s="977"/>
      <c r="G46" s="977">
        <v>0</v>
      </c>
      <c r="H46" s="977"/>
      <c r="I46" s="16"/>
      <c r="K46" s="7"/>
    </row>
    <row r="47" spans="1:11" ht="13">
      <c r="A47" s="2">
        <f t="shared" si="5"/>
        <v>34</v>
      </c>
      <c r="C47" s="61">
        <v>930.1</v>
      </c>
      <c r="D47" s="139">
        <f t="shared" si="4"/>
        <v>7813090.2100000009</v>
      </c>
      <c r="E47" s="493">
        <v>7813090.2100000009</v>
      </c>
      <c r="F47" s="977"/>
      <c r="G47" s="977">
        <v>0</v>
      </c>
      <c r="H47" s="977"/>
      <c r="I47" s="16"/>
      <c r="K47" s="7"/>
    </row>
    <row r="48" spans="1:11" ht="13">
      <c r="A48" s="2">
        <f t="shared" si="5"/>
        <v>35</v>
      </c>
      <c r="C48" s="61">
        <v>930.2</v>
      </c>
      <c r="D48" s="139">
        <f t="shared" si="4"/>
        <v>36338171.140000001</v>
      </c>
      <c r="E48" s="493">
        <v>36338171.140000001</v>
      </c>
      <c r="F48" s="977"/>
      <c r="G48" s="977">
        <v>0</v>
      </c>
      <c r="H48" s="977"/>
      <c r="I48" s="16"/>
      <c r="J48" s="470"/>
    </row>
    <row r="49" spans="1:10" ht="13">
      <c r="A49" s="2">
        <f t="shared" si="5"/>
        <v>36</v>
      </c>
      <c r="C49" s="61">
        <v>931</v>
      </c>
      <c r="D49" s="139">
        <f t="shared" si="4"/>
        <v>0</v>
      </c>
      <c r="E49" s="493">
        <v>0</v>
      </c>
      <c r="F49" s="977"/>
      <c r="G49" s="977">
        <v>0</v>
      </c>
      <c r="H49" s="977"/>
      <c r="I49" s="16"/>
      <c r="J49" s="7"/>
    </row>
    <row r="50" spans="1:10" ht="13">
      <c r="A50" s="2">
        <f t="shared" si="5"/>
        <v>37</v>
      </c>
      <c r="C50" s="61">
        <v>935</v>
      </c>
      <c r="D50" s="139">
        <f t="shared" si="4"/>
        <v>1049723.18</v>
      </c>
      <c r="E50" s="493">
        <v>1049723.18</v>
      </c>
      <c r="F50" s="977"/>
      <c r="G50" s="977">
        <v>0</v>
      </c>
      <c r="H50" s="977"/>
      <c r="I50" s="16"/>
    </row>
    <row r="51" spans="1:10" s="955" customFormat="1" ht="13">
      <c r="A51" s="549"/>
      <c r="C51" s="1387"/>
      <c r="D51" s="139"/>
      <c r="E51" s="477"/>
      <c r="F51" s="63"/>
      <c r="G51" s="63"/>
      <c r="H51" s="63"/>
      <c r="I51" s="16"/>
    </row>
    <row r="52" spans="1:10" ht="13">
      <c r="B52" s="44" t="s">
        <v>1984</v>
      </c>
      <c r="C52" s="14"/>
      <c r="D52" s="14"/>
      <c r="E52" s="14"/>
      <c r="F52" s="14"/>
      <c r="G52" s="14"/>
      <c r="H52" s="14"/>
    </row>
    <row r="53" spans="1:10" ht="13">
      <c r="B53" s="44"/>
      <c r="C53" s="465" t="s">
        <v>1985</v>
      </c>
      <c r="D53" s="14"/>
      <c r="E53" s="14"/>
      <c r="F53" s="14"/>
      <c r="G53" s="109"/>
      <c r="H53" s="109"/>
    </row>
    <row r="54" spans="1:10" ht="13">
      <c r="B54" s="44"/>
      <c r="C54" s="591" t="s">
        <v>2146</v>
      </c>
      <c r="D54" s="575"/>
      <c r="E54" s="575"/>
      <c r="F54" s="14"/>
      <c r="G54" s="109"/>
      <c r="H54" s="109"/>
    </row>
    <row r="55" spans="1:10" ht="13">
      <c r="B55" s="44"/>
      <c r="C55" s="1248" t="s">
        <v>2531</v>
      </c>
      <c r="D55" s="1480" t="s">
        <v>2902</v>
      </c>
      <c r="E55" s="14"/>
      <c r="F55" s="14"/>
      <c r="G55" s="122" t="s">
        <v>175</v>
      </c>
      <c r="H55" s="122" t="s">
        <v>179</v>
      </c>
    </row>
    <row r="56" spans="1:10" ht="13">
      <c r="A56" s="2"/>
      <c r="B56" s="549" t="s">
        <v>1667</v>
      </c>
      <c r="C56" s="1225"/>
      <c r="E56" s="14"/>
      <c r="F56" s="842" t="s">
        <v>1986</v>
      </c>
      <c r="G56" s="493">
        <v>216604107.38</v>
      </c>
      <c r="H56" s="462" t="s">
        <v>33</v>
      </c>
    </row>
    <row r="57" spans="1:10" ht="13">
      <c r="A57" s="2"/>
      <c r="B57" s="549" t="s">
        <v>1668</v>
      </c>
      <c r="C57" s="12"/>
      <c r="E57" s="14"/>
      <c r="F57" s="842" t="s">
        <v>1987</v>
      </c>
      <c r="G57" s="101">
        <f>E61</f>
        <v>-5700430.1856445111</v>
      </c>
      <c r="H57" s="467" t="str">
        <f>"Note 2, "&amp;B61&amp;""</f>
        <v>Note 2, d</v>
      </c>
    </row>
    <row r="58" spans="1:10" ht="13">
      <c r="A58" s="2"/>
      <c r="B58" s="549" t="s">
        <v>1669</v>
      </c>
      <c r="F58" s="461" t="s">
        <v>1673</v>
      </c>
      <c r="G58" s="63">
        <f>G56-G57</f>
        <v>222304537.5656445</v>
      </c>
    </row>
    <row r="59" spans="1:10" ht="13">
      <c r="A59" s="2"/>
      <c r="C59" s="591" t="s">
        <v>2145</v>
      </c>
      <c r="D59" s="575"/>
      <c r="E59" s="575"/>
      <c r="G59" s="7"/>
    </row>
    <row r="60" spans="1:10" ht="13">
      <c r="A60" s="2"/>
      <c r="D60" s="51" t="s">
        <v>1363</v>
      </c>
      <c r="E60" s="3" t="s">
        <v>175</v>
      </c>
      <c r="F60" s="62" t="s">
        <v>179</v>
      </c>
      <c r="G60" s="7"/>
    </row>
    <row r="61" spans="1:10" ht="13">
      <c r="A61" s="2"/>
      <c r="B61" s="549" t="s">
        <v>1670</v>
      </c>
      <c r="D61" t="s">
        <v>1364</v>
      </c>
      <c r="E61" s="1500">
        <v>-5700430.1856445111</v>
      </c>
      <c r="F61" s="462" t="s">
        <v>1981</v>
      </c>
      <c r="G61" s="63"/>
      <c r="I61" s="14"/>
    </row>
    <row r="62" spans="1:10" ht="13">
      <c r="A62" s="2"/>
      <c r="B62" s="109" t="s">
        <v>1671</v>
      </c>
      <c r="C62" s="14"/>
      <c r="D62" s="465" t="s">
        <v>356</v>
      </c>
      <c r="E62" s="1500">
        <v>-2569165.2078082524</v>
      </c>
      <c r="F62" s="462" t="s">
        <v>1981</v>
      </c>
      <c r="G62" s="63"/>
      <c r="I62" s="579"/>
    </row>
    <row r="63" spans="1:10" ht="13">
      <c r="A63" s="2"/>
      <c r="B63" s="109" t="s">
        <v>1672</v>
      </c>
      <c r="C63" s="14"/>
      <c r="D63" s="465" t="s">
        <v>1365</v>
      </c>
      <c r="E63" s="1501">
        <v>-9126423.6065472364</v>
      </c>
      <c r="F63" s="462" t="s">
        <v>1981</v>
      </c>
      <c r="G63" s="63"/>
      <c r="I63" s="63"/>
    </row>
    <row r="64" spans="1:10" ht="13">
      <c r="A64" s="2"/>
      <c r="B64" s="109" t="s">
        <v>1674</v>
      </c>
      <c r="C64" s="14"/>
      <c r="D64" s="356" t="s">
        <v>4</v>
      </c>
      <c r="E64" s="7">
        <f>SUM(E61:E63)</f>
        <v>-17396019</v>
      </c>
      <c r="F64" s="46" t="str">
        <f>"Sum of "&amp;B61&amp;" to "&amp;B63&amp;""</f>
        <v>Sum of d to f</v>
      </c>
      <c r="G64" s="63"/>
      <c r="I64" s="14"/>
    </row>
    <row r="65" spans="1:10">
      <c r="F65" s="14"/>
      <c r="G65" s="14"/>
    </row>
    <row r="66" spans="1:10" ht="13">
      <c r="B66" s="984" t="s">
        <v>485</v>
      </c>
      <c r="C66" s="60"/>
      <c r="D66" s="60"/>
      <c r="E66" s="60"/>
      <c r="F66" s="516"/>
      <c r="G66" s="516"/>
    </row>
    <row r="67" spans="1:10" ht="13">
      <c r="B67" s="60"/>
      <c r="C67" s="60"/>
      <c r="D67" s="60"/>
      <c r="E67" s="62" t="s">
        <v>175</v>
      </c>
      <c r="F67" s="981" t="s">
        <v>236</v>
      </c>
      <c r="G67" s="516"/>
    </row>
    <row r="68" spans="1:10" ht="13">
      <c r="A68" s="2"/>
      <c r="B68" s="189" t="s">
        <v>1667</v>
      </c>
      <c r="C68" s="60"/>
      <c r="D68" s="987" t="s">
        <v>1952</v>
      </c>
      <c r="E68" s="995">
        <v>0</v>
      </c>
      <c r="F68" s="5" t="s">
        <v>487</v>
      </c>
      <c r="G68" s="516"/>
    </row>
    <row r="69" spans="1:10" s="955" customFormat="1" ht="13">
      <c r="A69" s="549"/>
      <c r="B69" s="189" t="s">
        <v>1668</v>
      </c>
      <c r="C69" s="60"/>
      <c r="D69" s="987" t="s">
        <v>2403</v>
      </c>
      <c r="E69" s="1083">
        <v>6329000</v>
      </c>
      <c r="F69" s="985" t="s">
        <v>2404</v>
      </c>
      <c r="G69" s="516"/>
    </row>
    <row r="70" spans="1:10" ht="13">
      <c r="A70" s="2"/>
      <c r="B70" s="189" t="s">
        <v>1669</v>
      </c>
      <c r="C70" s="60"/>
      <c r="D70" s="987" t="s">
        <v>482</v>
      </c>
      <c r="E70" s="983">
        <v>0</v>
      </c>
      <c r="F70" s="867" t="s">
        <v>33</v>
      </c>
      <c r="G70" s="516"/>
    </row>
    <row r="71" spans="1:10" ht="13">
      <c r="A71" s="2"/>
      <c r="B71" s="189" t="s">
        <v>1670</v>
      </c>
      <c r="C71" s="60"/>
      <c r="D71" s="982" t="s">
        <v>484</v>
      </c>
      <c r="E71" s="1385">
        <f>E70-E69</f>
        <v>-6329000</v>
      </c>
      <c r="F71" s="5" t="str">
        <f>""&amp;B70&amp;" - "&amp;B69&amp;""</f>
        <v>c - b</v>
      </c>
      <c r="G71" s="60"/>
    </row>
    <row r="72" spans="1:10" ht="13">
      <c r="A72" s="457"/>
      <c r="B72" s="1" t="s">
        <v>1438</v>
      </c>
      <c r="D72" s="93"/>
      <c r="E72" s="140"/>
      <c r="F72" s="13"/>
    </row>
    <row r="73" spans="1:10" ht="13">
      <c r="A73" s="457"/>
      <c r="B73" s="1"/>
      <c r="C73" t="str">
        <f>"Amount in Line "&amp;A44&amp;", column 2 equals amount in Line "&amp;A13&amp;", column 1 because all Franchise Requirements Expenses are excluded"</f>
        <v>Amount in Line 31, column 2 equals amount in Line 8, column 1 because all Franchise Requirements Expenses are excluded</v>
      </c>
      <c r="D73" s="93"/>
      <c r="E73" s="140"/>
      <c r="F73" s="13"/>
    </row>
    <row r="74" spans="1:10" ht="13">
      <c r="A74" s="457"/>
      <c r="B74" s="1"/>
      <c r="C74" s="12" t="s">
        <v>1439</v>
      </c>
      <c r="D74" s="93"/>
      <c r="E74" s="140"/>
      <c r="F74" s="13"/>
    </row>
    <row r="76" spans="1:10" ht="13">
      <c r="B76" s="1" t="s">
        <v>377</v>
      </c>
    </row>
    <row r="77" spans="1:10">
      <c r="C77" s="15" t="str">
        <f>"1) Enter amounts of A&amp;G expenses from FERC Form 1 in Lines "&amp;A6&amp;" to "&amp;A19&amp;"."</f>
        <v>1) Enter amounts of A&amp;G expenses from FERC Form 1 in Lines 1 to 14.</v>
      </c>
      <c r="D77" s="14"/>
      <c r="E77" s="14"/>
      <c r="F77" s="14"/>
      <c r="G77" s="14"/>
      <c r="H77" s="14"/>
      <c r="I77" s="14"/>
      <c r="J77" s="14"/>
    </row>
    <row r="78" spans="1:10">
      <c r="C78" s="465" t="s">
        <v>1988</v>
      </c>
      <c r="D78" s="14"/>
      <c r="E78" s="14"/>
      <c r="F78" s="14"/>
      <c r="G78" s="14" t="str">
        <f>"Column 3, Line "&amp;A37&amp;""</f>
        <v>Column 3, Line 24</v>
      </c>
      <c r="H78" s="14"/>
      <c r="I78" s="14"/>
      <c r="J78" s="14"/>
    </row>
    <row r="79" spans="1:10">
      <c r="C79" s="462" t="str">
        <f>"is calculated in Note 2.  The PBOPs exclusion in Column 4, Line "&amp;A43&amp;" is calculated in Note 3."</f>
        <v>is calculated in Note 2.  The PBOPs exclusion in Column 4, Line 30 is calculated in Note 3.</v>
      </c>
      <c r="D79" s="14"/>
      <c r="E79" s="14"/>
      <c r="F79" s="14"/>
      <c r="G79" s="15"/>
      <c r="H79" s="14"/>
      <c r="I79" s="14"/>
      <c r="J79" s="14"/>
    </row>
    <row r="80" spans="1:10">
      <c r="C80" s="462" t="s">
        <v>1658</v>
      </c>
      <c r="D80" s="14"/>
      <c r="E80" s="14"/>
      <c r="F80" s="14"/>
      <c r="G80" s="14"/>
      <c r="H80" s="14"/>
      <c r="I80" s="14"/>
      <c r="J80" s="14"/>
    </row>
    <row r="81" spans="3:10">
      <c r="C81" s="462" t="s">
        <v>1742</v>
      </c>
      <c r="D81" s="356"/>
      <c r="E81" s="458"/>
      <c r="F81" s="46"/>
      <c r="G81" s="14"/>
      <c r="H81" s="14"/>
      <c r="I81" s="14"/>
      <c r="J81" s="14"/>
    </row>
    <row r="82" spans="3:10">
      <c r="C82" s="462" t="s">
        <v>1738</v>
      </c>
      <c r="D82" s="356"/>
      <c r="E82" s="458"/>
      <c r="F82" s="46"/>
      <c r="G82" s="14"/>
      <c r="H82" s="14"/>
      <c r="I82" s="14"/>
      <c r="J82" s="14"/>
    </row>
    <row r="83" spans="3:10">
      <c r="C83" s="462" t="s">
        <v>1739</v>
      </c>
      <c r="D83" s="14"/>
      <c r="E83" s="14"/>
      <c r="F83" s="14"/>
      <c r="G83" s="14"/>
      <c r="H83" s="14"/>
      <c r="I83" s="14"/>
      <c r="J83" s="14"/>
    </row>
    <row r="84" spans="3:10">
      <c r="C84" s="46" t="s">
        <v>486</v>
      </c>
      <c r="D84" s="14"/>
      <c r="E84" s="14"/>
      <c r="F84" s="14"/>
      <c r="G84" s="14"/>
      <c r="H84" s="14"/>
      <c r="I84" s="14"/>
      <c r="J84" s="14"/>
    </row>
    <row r="85" spans="3:10">
      <c r="C85" s="462" t="s">
        <v>1740</v>
      </c>
      <c r="D85" s="14"/>
      <c r="E85" s="14"/>
      <c r="F85" s="14"/>
      <c r="G85" s="14"/>
      <c r="H85" s="14"/>
      <c r="I85" s="14"/>
      <c r="J85" s="14"/>
    </row>
    <row r="86" spans="3:10">
      <c r="C86" s="462" t="s">
        <v>1447</v>
      </c>
      <c r="D86" s="14"/>
      <c r="E86" s="14"/>
      <c r="F86" s="14"/>
      <c r="G86" s="14"/>
      <c r="H86" s="14"/>
      <c r="I86" s="14"/>
      <c r="J86" s="14"/>
    </row>
    <row r="87" spans="3:10">
      <c r="C87" s="462" t="s">
        <v>1741</v>
      </c>
      <c r="D87" s="14"/>
      <c r="E87" s="14"/>
      <c r="F87" s="14"/>
      <c r="G87" s="14"/>
      <c r="H87" s="14"/>
      <c r="I87" s="14"/>
      <c r="J87" s="14"/>
    </row>
    <row r="88" spans="3:10">
      <c r="C88" s="462" t="s">
        <v>1762</v>
      </c>
      <c r="D88" s="465"/>
      <c r="E88" s="885"/>
      <c r="F88" s="885"/>
      <c r="G88" s="885"/>
      <c r="H88" s="14"/>
      <c r="I88" s="14"/>
      <c r="J88" s="14"/>
    </row>
    <row r="89" spans="3:10">
      <c r="C89" s="845" t="s">
        <v>1760</v>
      </c>
      <c r="D89" s="465"/>
      <c r="E89" s="885"/>
      <c r="F89" s="885"/>
      <c r="G89" s="885"/>
      <c r="H89" s="14"/>
      <c r="I89" s="14"/>
      <c r="J89" s="14"/>
    </row>
    <row r="90" spans="3:10">
      <c r="C90" s="845" t="s">
        <v>1761</v>
      </c>
      <c r="D90" s="465"/>
      <c r="E90" s="885"/>
      <c r="F90" s="885"/>
      <c r="G90" s="885"/>
      <c r="H90" s="14"/>
      <c r="I90" s="14"/>
      <c r="J90" s="14"/>
    </row>
    <row r="91" spans="3:10">
      <c r="C91" s="845" t="s">
        <v>1763</v>
      </c>
      <c r="D91" s="465"/>
      <c r="E91" s="885"/>
      <c r="F91" s="885"/>
      <c r="G91" s="885"/>
      <c r="H91" s="14"/>
      <c r="I91" s="14"/>
      <c r="J91" s="14"/>
    </row>
    <row r="92" spans="3:10">
      <c r="C92" s="462" t="s">
        <v>1839</v>
      </c>
      <c r="D92" s="465"/>
      <c r="E92" s="885"/>
      <c r="F92" s="885"/>
      <c r="G92" s="885"/>
      <c r="H92" s="14"/>
      <c r="I92" s="14"/>
      <c r="J92" s="14"/>
    </row>
    <row r="93" spans="3:10">
      <c r="C93" s="845" t="s">
        <v>1837</v>
      </c>
      <c r="D93" s="465"/>
      <c r="E93" s="885"/>
      <c r="F93" s="885"/>
      <c r="G93" s="885"/>
      <c r="H93" s="14"/>
      <c r="I93" s="14"/>
      <c r="J93" s="14"/>
    </row>
    <row r="94" spans="3:10">
      <c r="C94" s="845" t="s">
        <v>1838</v>
      </c>
      <c r="D94" s="465"/>
      <c r="E94" s="885"/>
      <c r="F94" s="885"/>
      <c r="G94" s="885"/>
      <c r="H94" s="14"/>
      <c r="I94" s="14"/>
      <c r="J94" s="14"/>
    </row>
    <row r="95" spans="3:10">
      <c r="C95" s="845" t="s">
        <v>2340</v>
      </c>
      <c r="D95" s="465"/>
      <c r="E95" s="885"/>
      <c r="F95" s="885"/>
      <c r="G95" s="885"/>
      <c r="H95" s="14"/>
      <c r="I95" s="14"/>
      <c r="J95" s="14"/>
    </row>
    <row r="96" spans="3:10">
      <c r="C96" s="845" t="s">
        <v>1840</v>
      </c>
      <c r="D96" s="465"/>
      <c r="E96" s="885"/>
      <c r="F96" s="885"/>
      <c r="G96" s="885"/>
      <c r="H96" s="14"/>
      <c r="I96" s="14"/>
      <c r="J96" s="14"/>
    </row>
    <row r="97" spans="3:10" ht="13">
      <c r="C97" s="886" t="s">
        <v>1989</v>
      </c>
      <c r="D97" s="575"/>
      <c r="E97" s="575"/>
      <c r="F97" s="575"/>
      <c r="G97" s="575"/>
      <c r="H97" s="575"/>
      <c r="I97" s="575"/>
      <c r="J97" s="575"/>
    </row>
    <row r="98" spans="3:10">
      <c r="C98" s="465" t="s">
        <v>1990</v>
      </c>
      <c r="D98" s="14"/>
      <c r="E98" s="14"/>
      <c r="F98" s="14"/>
      <c r="G98" s="14"/>
      <c r="H98" s="14"/>
      <c r="I98" s="14"/>
      <c r="J98" s="14"/>
    </row>
    <row r="99" spans="3:10">
      <c r="C99" s="886" t="s">
        <v>1991</v>
      </c>
      <c r="D99" s="591"/>
      <c r="E99" s="591"/>
      <c r="F99" s="591"/>
      <c r="G99" s="591"/>
      <c r="H99" s="591"/>
      <c r="I99" s="591"/>
      <c r="J99" s="14"/>
    </row>
    <row r="100" spans="3:10">
      <c r="C100" s="15" t="str">
        <f>"4) Determine the PBOPs exclusion.  The authorized amount of PBOPs expense (line "&amp;B68&amp;") may only be revised"</f>
        <v>4) Determine the PBOPs exclusion.  The authorized amount of PBOPs expense (line a) may only be revised</v>
      </c>
      <c r="D100" s="14"/>
      <c r="E100" s="14"/>
      <c r="F100" s="14"/>
      <c r="G100" s="14"/>
      <c r="H100" s="14"/>
      <c r="I100" s="14"/>
      <c r="J100" s="14"/>
    </row>
    <row r="101" spans="3:10">
      <c r="C101" s="15" t="s">
        <v>1095</v>
      </c>
      <c r="D101" s="14"/>
      <c r="E101" s="14"/>
      <c r="F101" s="14"/>
      <c r="G101" s="14"/>
      <c r="H101" s="14"/>
      <c r="I101" s="14"/>
      <c r="J101" s="14"/>
    </row>
    <row r="102" spans="3:10">
      <c r="C102" s="465" t="s">
        <v>2405</v>
      </c>
      <c r="D102" s="14"/>
      <c r="E102" s="14"/>
      <c r="F102" s="14"/>
      <c r="G102" s="14"/>
      <c r="H102" s="14"/>
      <c r="I102" s="14"/>
      <c r="J102" s="14"/>
    </row>
    <row r="103" spans="3:10">
      <c r="C103" s="465" t="s">
        <v>2406</v>
      </c>
      <c r="D103" s="14"/>
      <c r="E103" s="14"/>
      <c r="F103" s="14"/>
      <c r="G103" s="14"/>
      <c r="H103" s="14"/>
      <c r="I103" s="961" t="s">
        <v>2822</v>
      </c>
      <c r="J103" s="986"/>
    </row>
    <row r="104" spans="3:10">
      <c r="C104" s="465" t="s">
        <v>1805</v>
      </c>
      <c r="D104" s="14"/>
      <c r="E104" s="14"/>
      <c r="F104" s="14"/>
      <c r="G104" s="14"/>
      <c r="H104" s="14"/>
      <c r="I104" s="14"/>
    </row>
    <row r="105" spans="3:10">
      <c r="C105" s="14" t="s">
        <v>2537</v>
      </c>
      <c r="D105" s="14"/>
      <c r="E105" s="14"/>
      <c r="F105" s="14"/>
      <c r="G105" s="14"/>
      <c r="H105" s="14"/>
      <c r="I105" s="14"/>
      <c r="J105" s="14"/>
    </row>
    <row r="106" spans="3:10">
      <c r="C106" s="14" t="s">
        <v>2538</v>
      </c>
      <c r="D106" s="14"/>
      <c r="E106" s="14"/>
      <c r="F106" s="14"/>
      <c r="G106" s="14"/>
      <c r="H106" s="14"/>
      <c r="I106" s="14"/>
      <c r="J106" s="14"/>
    </row>
    <row r="107" spans="3:10">
      <c r="C107" s="14" t="s">
        <v>2541</v>
      </c>
      <c r="D107" s="14"/>
      <c r="E107" s="14"/>
      <c r="F107" s="14"/>
      <c r="G107" s="14"/>
      <c r="H107" s="14"/>
      <c r="I107" s="14"/>
      <c r="J107" s="14"/>
    </row>
    <row r="108" spans="3:10">
      <c r="C108" s="14" t="s">
        <v>2542</v>
      </c>
      <c r="D108" s="14"/>
      <c r="E108" s="14"/>
      <c r="F108" s="14"/>
      <c r="G108" s="14"/>
      <c r="H108" s="14"/>
      <c r="I108" s="14"/>
      <c r="J108" s="14"/>
    </row>
    <row r="109" spans="3:10">
      <c r="C109" s="14" t="s">
        <v>2543</v>
      </c>
      <c r="D109" s="14"/>
      <c r="E109" s="14"/>
      <c r="F109" s="14"/>
      <c r="G109" s="14"/>
      <c r="H109" s="14"/>
      <c r="I109" s="14"/>
      <c r="J109" s="14"/>
    </row>
    <row r="110" spans="3:10">
      <c r="C110" s="1236"/>
    </row>
  </sheetData>
  <phoneticPr fontId="23" type="noConversion"/>
  <pageMargins left="0.75" right="0.75" top="1" bottom="1" header="0.5" footer="0.5"/>
  <pageSetup scale="68" orientation="landscape" cellComments="asDisplayed" r:id="rId1"/>
  <headerFooter alignWithMargins="0">
    <oddHeader>&amp;CSchedule 20
Administrative and General Expenses
&amp;RTO2022 Annual Update 
Attachment 1</oddHeader>
    <oddFooter>&amp;R&amp;A</oddFooter>
  </headerFooter>
  <rowBreaks count="2" manualBreakCount="2">
    <brk id="51" max="9" man="1"/>
    <brk id="75"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T275"/>
  <sheetViews>
    <sheetView zoomScaleNormal="100" zoomScalePageLayoutView="80" workbookViewId="0">
      <selection activeCell="A3" sqref="A3"/>
    </sheetView>
  </sheetViews>
  <sheetFormatPr defaultRowHeight="12.5"/>
  <cols>
    <col min="1" max="1" width="6.453125" style="220" customWidth="1"/>
    <col min="2" max="2" width="8.54296875" style="41" customWidth="1"/>
    <col min="3" max="3" width="9.54296875" style="220" customWidth="1"/>
    <col min="4" max="4" width="51.54296875" style="41" customWidth="1"/>
    <col min="5" max="6" width="16.453125" style="350" customWidth="1"/>
    <col min="7" max="7" width="18.453125" style="350" bestFit="1" customWidth="1"/>
    <col min="8" max="8" width="15.54296875" style="218" bestFit="1" customWidth="1"/>
    <col min="9" max="9" width="16.54296875" style="218" bestFit="1" customWidth="1"/>
    <col min="10" max="10" width="15.54296875" style="350" customWidth="1"/>
    <col min="11" max="11" width="6.54296875" style="308" customWidth="1"/>
    <col min="12" max="12" width="16.453125" style="295" customWidth="1"/>
    <col min="13" max="13" width="17.453125" style="210" bestFit="1" customWidth="1"/>
    <col min="14" max="14" width="18.453125" style="350" bestFit="1" customWidth="1"/>
    <col min="15" max="15" width="8.54296875" style="210" customWidth="1"/>
  </cols>
  <sheetData>
    <row r="1" spans="1:15" ht="13">
      <c r="A1" s="329"/>
      <c r="B1" s="190" t="s">
        <v>551</v>
      </c>
      <c r="C1" s="191" t="s">
        <v>552</v>
      </c>
      <c r="D1" s="190" t="s">
        <v>553</v>
      </c>
      <c r="E1" s="191" t="s">
        <v>554</v>
      </c>
      <c r="F1" s="190" t="s">
        <v>555</v>
      </c>
      <c r="G1" s="191" t="s">
        <v>556</v>
      </c>
      <c r="H1" s="190" t="s">
        <v>557</v>
      </c>
      <c r="I1" s="191" t="s">
        <v>558</v>
      </c>
      <c r="J1" s="190" t="s">
        <v>559</v>
      </c>
      <c r="K1" s="191" t="s">
        <v>560</v>
      </c>
      <c r="L1" s="190" t="s">
        <v>561</v>
      </c>
      <c r="M1" s="191" t="s">
        <v>562</v>
      </c>
      <c r="N1" s="190" t="s">
        <v>563</v>
      </c>
      <c r="O1" s="191" t="s">
        <v>564</v>
      </c>
    </row>
    <row r="2" spans="1:15">
      <c r="A2" s="326"/>
      <c r="B2" s="327"/>
      <c r="C2" s="327"/>
      <c r="D2" s="327"/>
      <c r="E2" s="328"/>
      <c r="F2" s="328"/>
      <c r="G2" s="1529" t="s">
        <v>565</v>
      </c>
      <c r="H2" s="1530"/>
      <c r="I2" s="1531"/>
      <c r="J2" s="1529" t="s">
        <v>566</v>
      </c>
      <c r="K2" s="1530"/>
      <c r="L2" s="1530"/>
      <c r="M2" s="1531"/>
      <c r="N2" s="311" t="s">
        <v>567</v>
      </c>
      <c r="O2" s="326"/>
    </row>
    <row r="3" spans="1:15" ht="26.25" customHeight="1">
      <c r="A3" s="192" t="s">
        <v>329</v>
      </c>
      <c r="B3" s="193" t="s">
        <v>568</v>
      </c>
      <c r="C3" s="194" t="s">
        <v>569</v>
      </c>
      <c r="D3" s="193" t="s">
        <v>570</v>
      </c>
      <c r="E3" s="286" t="s">
        <v>571</v>
      </c>
      <c r="F3" s="287" t="s">
        <v>572</v>
      </c>
      <c r="G3" s="287" t="s">
        <v>196</v>
      </c>
      <c r="H3" s="195" t="s">
        <v>427</v>
      </c>
      <c r="I3" s="195" t="s">
        <v>573</v>
      </c>
      <c r="J3" s="286" t="s">
        <v>196</v>
      </c>
      <c r="K3" s="307" t="s">
        <v>574</v>
      </c>
      <c r="L3" s="289" t="s">
        <v>575</v>
      </c>
      <c r="M3" s="196" t="s">
        <v>296</v>
      </c>
      <c r="N3" s="286" t="s">
        <v>196</v>
      </c>
      <c r="O3" s="196" t="s">
        <v>168</v>
      </c>
    </row>
    <row r="4" spans="1:15">
      <c r="A4" s="197" t="s">
        <v>576</v>
      </c>
      <c r="B4" s="198">
        <v>450</v>
      </c>
      <c r="C4" s="198" t="s">
        <v>577</v>
      </c>
      <c r="D4" s="199" t="s">
        <v>1190</v>
      </c>
      <c r="E4" s="974">
        <v>3190630</v>
      </c>
      <c r="F4" s="1034" t="s">
        <v>565</v>
      </c>
      <c r="G4" s="293">
        <f>IF(F4=$G$2,E4,0)</f>
        <v>3190630</v>
      </c>
      <c r="H4" s="200">
        <v>0</v>
      </c>
      <c r="I4" s="201">
        <f>G4-H4</f>
        <v>3190630</v>
      </c>
      <c r="J4" s="293">
        <f>IF(F4=$J$2,E4,0)</f>
        <v>0</v>
      </c>
      <c r="K4" s="288"/>
      <c r="L4" s="297"/>
      <c r="M4" s="201">
        <f>J4-L4</f>
        <v>0</v>
      </c>
      <c r="N4" s="293">
        <f>IF(F4=$N$2,E4,0)</f>
        <v>0</v>
      </c>
      <c r="O4" s="200">
        <v>1</v>
      </c>
    </row>
    <row r="5" spans="1:15">
      <c r="A5" s="202" t="s">
        <v>578</v>
      </c>
      <c r="B5" s="198">
        <v>450</v>
      </c>
      <c r="C5" s="203" t="s">
        <v>579</v>
      </c>
      <c r="D5" s="199" t="s">
        <v>580</v>
      </c>
      <c r="E5" s="974">
        <v>2855717.81</v>
      </c>
      <c r="F5" s="1034" t="s">
        <v>565</v>
      </c>
      <c r="G5" s="293">
        <f>IF(F5=$G$2,E5,0)</f>
        <v>2855717.81</v>
      </c>
      <c r="H5" s="200">
        <v>0</v>
      </c>
      <c r="I5" s="201">
        <f>G5-H5</f>
        <v>2855717.81</v>
      </c>
      <c r="J5" s="293">
        <f>IF(F5=$J$2,E5,0)</f>
        <v>0</v>
      </c>
      <c r="K5" s="288"/>
      <c r="L5" s="297"/>
      <c r="M5" s="201">
        <f>J5-L5</f>
        <v>0</v>
      </c>
      <c r="N5" s="293">
        <f>IF(F5=$N$2,E5,0)</f>
        <v>0</v>
      </c>
      <c r="O5" s="200">
        <v>1</v>
      </c>
    </row>
    <row r="6" spans="1:15">
      <c r="A6" s="325"/>
      <c r="B6" s="322"/>
      <c r="C6" s="321"/>
      <c r="D6" s="323"/>
      <c r="E6" s="302"/>
      <c r="F6" s="302"/>
      <c r="G6" s="297"/>
      <c r="H6" s="298"/>
      <c r="I6" s="299"/>
      <c r="J6" s="297"/>
      <c r="K6" s="301"/>
      <c r="L6" s="297"/>
      <c r="M6" s="299"/>
      <c r="N6" s="297"/>
      <c r="O6" s="298"/>
    </row>
    <row r="7" spans="1:15">
      <c r="A7" s="325"/>
      <c r="B7" s="322"/>
      <c r="C7" s="321"/>
      <c r="D7" s="323"/>
      <c r="E7" s="302"/>
      <c r="F7" s="302"/>
      <c r="G7" s="297"/>
      <c r="H7" s="298"/>
      <c r="I7" s="299"/>
      <c r="J7" s="297"/>
      <c r="K7" s="301"/>
      <c r="L7" s="297"/>
      <c r="M7" s="299"/>
      <c r="N7" s="297"/>
      <c r="O7" s="298"/>
    </row>
    <row r="8" spans="1:15" ht="13">
      <c r="A8" s="202">
        <v>2</v>
      </c>
      <c r="B8" s="1540" t="s">
        <v>582</v>
      </c>
      <c r="C8" s="1538"/>
      <c r="D8" s="1539"/>
      <c r="E8" s="305">
        <f>SUM(E4:E7)</f>
        <v>6046347.8100000005</v>
      </c>
      <c r="F8" s="314"/>
      <c r="G8" s="305">
        <f>SUM(G4:G7)</f>
        <v>6046347.8100000005</v>
      </c>
      <c r="H8" s="191">
        <f>SUM(H4:H7)</f>
        <v>0</v>
      </c>
      <c r="I8" s="305">
        <f>SUM(I4:I7)</f>
        <v>6046347.8100000005</v>
      </c>
      <c r="J8" s="305">
        <f>SUM(J4:J7)</f>
        <v>0</v>
      </c>
      <c r="K8" s="314"/>
      <c r="L8" s="305">
        <f>SUM(L4:L7)</f>
        <v>0</v>
      </c>
      <c r="M8" s="305">
        <f>SUM(M4:M7)</f>
        <v>0</v>
      </c>
      <c r="N8" s="305">
        <f>SUM(N4:N7)</f>
        <v>0</v>
      </c>
      <c r="O8" s="200"/>
    </row>
    <row r="9" spans="1:15" ht="12.75" customHeight="1">
      <c r="A9" s="202">
        <v>3</v>
      </c>
      <c r="B9" s="1532" t="s">
        <v>1222</v>
      </c>
      <c r="C9" s="1533"/>
      <c r="D9" s="1534"/>
      <c r="E9" s="1073">
        <v>6046348</v>
      </c>
      <c r="F9" s="304"/>
      <c r="G9" s="292"/>
      <c r="H9" s="304"/>
      <c r="I9" s="304"/>
      <c r="J9" s="292"/>
      <c r="K9" s="304"/>
      <c r="L9" s="292"/>
      <c r="M9" s="292"/>
      <c r="N9" s="292"/>
      <c r="O9" s="189"/>
    </row>
    <row r="10" spans="1:15" ht="13">
      <c r="A10" s="205"/>
      <c r="B10" s="206"/>
      <c r="C10" s="207"/>
      <c r="D10" s="208"/>
      <c r="E10" s="292"/>
      <c r="F10" s="292"/>
      <c r="G10" s="292"/>
      <c r="H10" s="304"/>
      <c r="I10" s="304"/>
      <c r="J10" s="292"/>
      <c r="K10" s="304"/>
      <c r="L10" s="292"/>
      <c r="M10" s="292"/>
      <c r="N10" s="292"/>
      <c r="O10" s="189"/>
    </row>
    <row r="11" spans="1:15">
      <c r="A11" s="202" t="s">
        <v>583</v>
      </c>
      <c r="B11" s="198">
        <v>451</v>
      </c>
      <c r="C11" s="203" t="s">
        <v>584</v>
      </c>
      <c r="D11" s="199" t="s">
        <v>585</v>
      </c>
      <c r="E11" s="974">
        <v>85685.69</v>
      </c>
      <c r="F11" s="1034" t="s">
        <v>565</v>
      </c>
      <c r="G11" s="1371">
        <f t="shared" ref="G11:G20" si="0">IF(F11=$G$2,E11,0)</f>
        <v>85685.69</v>
      </c>
      <c r="H11" s="1372">
        <v>0</v>
      </c>
      <c r="I11" s="1372">
        <f>G11-H11</f>
        <v>85685.69</v>
      </c>
      <c r="J11" s="1371">
        <f t="shared" ref="J11:J20" si="1">IF(F11=$J$2,E11,0)</f>
        <v>0</v>
      </c>
      <c r="K11" s="1371"/>
      <c r="L11" s="1373"/>
      <c r="M11" s="1372">
        <f t="shared" ref="M11:M17" si="2">J11-L11</f>
        <v>0</v>
      </c>
      <c r="N11" s="1371">
        <f t="shared" ref="N11:N18" si="3">IF(F11=$N$2,E11,0)</f>
        <v>0</v>
      </c>
      <c r="O11" s="1372">
        <v>1</v>
      </c>
    </row>
    <row r="12" spans="1:15">
      <c r="A12" s="202" t="s">
        <v>586</v>
      </c>
      <c r="B12" s="198">
        <v>451</v>
      </c>
      <c r="C12" s="203" t="s">
        <v>587</v>
      </c>
      <c r="D12" s="889" t="s">
        <v>588</v>
      </c>
      <c r="E12" s="974">
        <v>421826.67</v>
      </c>
      <c r="F12" s="1034" t="s">
        <v>565</v>
      </c>
      <c r="G12" s="1371">
        <f>IF(F12=$G$2,E12,0)</f>
        <v>421826.67</v>
      </c>
      <c r="H12" s="1372">
        <v>0</v>
      </c>
      <c r="I12" s="1372">
        <f t="shared" ref="I12:I20" si="4">G12-H12</f>
        <v>421826.67</v>
      </c>
      <c r="J12" s="1371">
        <f t="shared" si="1"/>
        <v>0</v>
      </c>
      <c r="K12" s="1371"/>
      <c r="L12" s="1373"/>
      <c r="M12" s="1372">
        <f t="shared" si="2"/>
        <v>0</v>
      </c>
      <c r="N12" s="1371">
        <f t="shared" si="3"/>
        <v>0</v>
      </c>
      <c r="O12" s="1372">
        <v>1</v>
      </c>
    </row>
    <row r="13" spans="1:15">
      <c r="A13" s="202" t="s">
        <v>589</v>
      </c>
      <c r="B13" s="198">
        <v>451</v>
      </c>
      <c r="C13" s="203" t="s">
        <v>590</v>
      </c>
      <c r="D13" s="199" t="s">
        <v>591</v>
      </c>
      <c r="E13" s="974"/>
      <c r="F13" s="1034" t="s">
        <v>565</v>
      </c>
      <c r="G13" s="1371">
        <f t="shared" si="0"/>
        <v>0</v>
      </c>
      <c r="H13" s="1372">
        <v>0</v>
      </c>
      <c r="I13" s="1372">
        <f t="shared" si="4"/>
        <v>0</v>
      </c>
      <c r="J13" s="1371">
        <f t="shared" si="1"/>
        <v>0</v>
      </c>
      <c r="K13" s="1371"/>
      <c r="L13" s="1373"/>
      <c r="M13" s="1372">
        <f t="shared" si="2"/>
        <v>0</v>
      </c>
      <c r="N13" s="1371">
        <f t="shared" si="3"/>
        <v>0</v>
      </c>
      <c r="O13" s="1372">
        <v>1</v>
      </c>
    </row>
    <row r="14" spans="1:15">
      <c r="A14" s="202" t="s">
        <v>592</v>
      </c>
      <c r="B14" s="198">
        <v>451</v>
      </c>
      <c r="C14" s="203" t="s">
        <v>593</v>
      </c>
      <c r="D14" s="199" t="s">
        <v>594</v>
      </c>
      <c r="E14" s="974">
        <v>1213295.6299999999</v>
      </c>
      <c r="F14" s="1034" t="s">
        <v>565</v>
      </c>
      <c r="G14" s="1371">
        <f t="shared" si="0"/>
        <v>1213295.6299999999</v>
      </c>
      <c r="H14" s="1372">
        <v>0</v>
      </c>
      <c r="I14" s="1372">
        <f t="shared" si="4"/>
        <v>1213295.6299999999</v>
      </c>
      <c r="J14" s="1371">
        <f t="shared" si="1"/>
        <v>0</v>
      </c>
      <c r="K14" s="1371"/>
      <c r="L14" s="1373"/>
      <c r="M14" s="1372">
        <f t="shared" si="2"/>
        <v>0</v>
      </c>
      <c r="N14" s="1371">
        <f t="shared" si="3"/>
        <v>0</v>
      </c>
      <c r="O14" s="1372">
        <v>1</v>
      </c>
    </row>
    <row r="15" spans="1:15">
      <c r="A15" s="202" t="s">
        <v>595</v>
      </c>
      <c r="B15" s="198">
        <v>451</v>
      </c>
      <c r="C15" s="203" t="s">
        <v>596</v>
      </c>
      <c r="D15" s="199" t="s">
        <v>597</v>
      </c>
      <c r="E15" s="974">
        <v>1988</v>
      </c>
      <c r="F15" s="1034" t="s">
        <v>565</v>
      </c>
      <c r="G15" s="1371">
        <f t="shared" si="0"/>
        <v>1988</v>
      </c>
      <c r="H15" s="1372">
        <v>0</v>
      </c>
      <c r="I15" s="1372">
        <f t="shared" si="4"/>
        <v>1988</v>
      </c>
      <c r="J15" s="1371">
        <f t="shared" si="1"/>
        <v>0</v>
      </c>
      <c r="K15" s="1371"/>
      <c r="L15" s="1373"/>
      <c r="M15" s="1372">
        <f t="shared" si="2"/>
        <v>0</v>
      </c>
      <c r="N15" s="1371">
        <f t="shared" si="3"/>
        <v>0</v>
      </c>
      <c r="O15" s="1372">
        <v>1</v>
      </c>
    </row>
    <row r="16" spans="1:15">
      <c r="A16" s="202" t="s">
        <v>598</v>
      </c>
      <c r="B16" s="198">
        <v>451</v>
      </c>
      <c r="C16" s="203" t="s">
        <v>599</v>
      </c>
      <c r="D16" s="199" t="s">
        <v>600</v>
      </c>
      <c r="E16" s="1369">
        <v>1265.72</v>
      </c>
      <c r="F16" s="1034" t="s">
        <v>565</v>
      </c>
      <c r="G16" s="1371">
        <f t="shared" si="0"/>
        <v>1265.72</v>
      </c>
      <c r="H16" s="1372">
        <v>0</v>
      </c>
      <c r="I16" s="1372">
        <f t="shared" si="4"/>
        <v>1265.72</v>
      </c>
      <c r="J16" s="1371">
        <f t="shared" si="1"/>
        <v>0</v>
      </c>
      <c r="K16" s="1371"/>
      <c r="L16" s="1373"/>
      <c r="M16" s="1372">
        <f t="shared" si="2"/>
        <v>0</v>
      </c>
      <c r="N16" s="1371">
        <f t="shared" si="3"/>
        <v>0</v>
      </c>
      <c r="O16" s="1372">
        <v>1</v>
      </c>
    </row>
    <row r="17" spans="1:15">
      <c r="A17" s="202" t="s">
        <v>601</v>
      </c>
      <c r="B17" s="198">
        <v>451</v>
      </c>
      <c r="C17" s="203" t="s">
        <v>602</v>
      </c>
      <c r="D17" s="199" t="s">
        <v>603</v>
      </c>
      <c r="E17" s="974"/>
      <c r="F17" s="1034" t="s">
        <v>565</v>
      </c>
      <c r="G17" s="1371">
        <f t="shared" si="0"/>
        <v>0</v>
      </c>
      <c r="H17" s="1372">
        <v>0</v>
      </c>
      <c r="I17" s="1372">
        <f t="shared" si="4"/>
        <v>0</v>
      </c>
      <c r="J17" s="1371">
        <f t="shared" si="1"/>
        <v>0</v>
      </c>
      <c r="K17" s="1371"/>
      <c r="L17" s="1373"/>
      <c r="M17" s="1372">
        <f t="shared" si="2"/>
        <v>0</v>
      </c>
      <c r="N17" s="1371">
        <f t="shared" si="3"/>
        <v>0</v>
      </c>
      <c r="O17" s="1372">
        <v>1</v>
      </c>
    </row>
    <row r="18" spans="1:15">
      <c r="A18" s="202" t="s">
        <v>604</v>
      </c>
      <c r="B18" s="198">
        <v>451</v>
      </c>
      <c r="C18" s="203" t="s">
        <v>605</v>
      </c>
      <c r="D18" s="199" t="s">
        <v>606</v>
      </c>
      <c r="E18" s="1369">
        <v>-35</v>
      </c>
      <c r="F18" s="1034" t="s">
        <v>566</v>
      </c>
      <c r="G18" s="1371">
        <f t="shared" si="0"/>
        <v>0</v>
      </c>
      <c r="H18" s="1372">
        <v>0</v>
      </c>
      <c r="I18" s="1372">
        <f t="shared" si="4"/>
        <v>0</v>
      </c>
      <c r="J18" s="1371">
        <f>IF(F18=$J$2,E18,0)</f>
        <v>-35</v>
      </c>
      <c r="K18" s="1374" t="s">
        <v>607</v>
      </c>
      <c r="L18" s="1373"/>
      <c r="M18" s="1372">
        <f t="shared" ref="M18:M26" si="5">J18-L18</f>
        <v>-35</v>
      </c>
      <c r="N18" s="1371">
        <f t="shared" si="3"/>
        <v>0</v>
      </c>
      <c r="O18" s="1372">
        <v>2</v>
      </c>
    </row>
    <row r="19" spans="1:15">
      <c r="A19" s="202" t="s">
        <v>608</v>
      </c>
      <c r="B19" s="198">
        <v>451</v>
      </c>
      <c r="C19" s="203" t="s">
        <v>609</v>
      </c>
      <c r="D19" s="199" t="s">
        <v>610</v>
      </c>
      <c r="E19" s="974">
        <v>655977.21</v>
      </c>
      <c r="F19" s="1034" t="s">
        <v>567</v>
      </c>
      <c r="G19" s="1371">
        <f>IF(F19=$G$2,E19,0)</f>
        <v>0</v>
      </c>
      <c r="H19" s="1372">
        <v>0</v>
      </c>
      <c r="I19" s="1372">
        <f t="shared" si="4"/>
        <v>0</v>
      </c>
      <c r="J19" s="1371">
        <f>IF(F19=$J$2,E19,0)</f>
        <v>0</v>
      </c>
      <c r="K19" s="1371"/>
      <c r="L19" s="1373"/>
      <c r="M19" s="1372">
        <f t="shared" si="5"/>
        <v>0</v>
      </c>
      <c r="N19" s="1371">
        <f t="shared" ref="N19:N27" si="6">IF(F19=$N$2,E19,0)</f>
        <v>655977.21</v>
      </c>
      <c r="O19" s="1372">
        <v>6</v>
      </c>
    </row>
    <row r="20" spans="1:15">
      <c r="A20" s="197" t="s">
        <v>2040</v>
      </c>
      <c r="B20" s="198">
        <v>451</v>
      </c>
      <c r="C20" s="198">
        <v>4182120</v>
      </c>
      <c r="D20" s="215" t="s">
        <v>2041</v>
      </c>
      <c r="E20" s="974"/>
      <c r="F20" s="297" t="s">
        <v>565</v>
      </c>
      <c r="G20" s="1371">
        <f t="shared" si="0"/>
        <v>0</v>
      </c>
      <c r="H20" s="1372">
        <v>0</v>
      </c>
      <c r="I20" s="1372">
        <f t="shared" si="4"/>
        <v>0</v>
      </c>
      <c r="J20" s="1371">
        <f t="shared" si="1"/>
        <v>0</v>
      </c>
      <c r="K20" s="1371"/>
      <c r="L20" s="1373"/>
      <c r="M20" s="1372">
        <f t="shared" si="5"/>
        <v>0</v>
      </c>
      <c r="N20" s="1371">
        <f t="shared" si="6"/>
        <v>0</v>
      </c>
      <c r="O20" s="1372">
        <v>1</v>
      </c>
    </row>
    <row r="21" spans="1:15">
      <c r="A21" s="197" t="s">
        <v>2042</v>
      </c>
      <c r="B21" s="198">
        <v>451</v>
      </c>
      <c r="C21" s="198">
        <v>4192152</v>
      </c>
      <c r="D21" s="215" t="s">
        <v>2043</v>
      </c>
      <c r="E21" s="974">
        <v>1580</v>
      </c>
      <c r="F21" s="1034" t="s">
        <v>567</v>
      </c>
      <c r="G21" s="1371">
        <f t="shared" ref="G21:G26" si="7">IF(F21=$G$2,E21,0)</f>
        <v>0</v>
      </c>
      <c r="H21" s="1372">
        <v>0</v>
      </c>
      <c r="I21" s="1372">
        <f t="shared" ref="I21:I27" si="8">G21-H21</f>
        <v>0</v>
      </c>
      <c r="J21" s="1371">
        <f t="shared" ref="J21:J27" si="9">IF(F21=$J$2,E21,0)</f>
        <v>0</v>
      </c>
      <c r="K21" s="1371"/>
      <c r="L21" s="1373"/>
      <c r="M21" s="1372">
        <f t="shared" si="5"/>
        <v>0</v>
      </c>
      <c r="N21" s="1371">
        <f t="shared" si="6"/>
        <v>1580</v>
      </c>
      <c r="O21" s="1372">
        <v>1</v>
      </c>
    </row>
    <row r="22" spans="1:15">
      <c r="A22" s="197" t="s">
        <v>2044</v>
      </c>
      <c r="B22" s="198">
        <v>451</v>
      </c>
      <c r="C22" s="198">
        <v>4192155</v>
      </c>
      <c r="D22" s="215" t="s">
        <v>2045</v>
      </c>
      <c r="E22" s="974">
        <v>36120</v>
      </c>
      <c r="F22" s="1034" t="s">
        <v>567</v>
      </c>
      <c r="G22" s="1371">
        <f t="shared" si="7"/>
        <v>0</v>
      </c>
      <c r="H22" s="1372">
        <v>0</v>
      </c>
      <c r="I22" s="1372">
        <f t="shared" si="8"/>
        <v>0</v>
      </c>
      <c r="J22" s="1371">
        <f t="shared" si="9"/>
        <v>0</v>
      </c>
      <c r="K22" s="1371"/>
      <c r="L22" s="1373"/>
      <c r="M22" s="1372">
        <f t="shared" si="5"/>
        <v>0</v>
      </c>
      <c r="N22" s="1371">
        <f t="shared" si="6"/>
        <v>36120</v>
      </c>
      <c r="O22" s="1372">
        <v>1</v>
      </c>
    </row>
    <row r="23" spans="1:15">
      <c r="A23" s="197" t="s">
        <v>2046</v>
      </c>
      <c r="B23" s="198">
        <v>451</v>
      </c>
      <c r="C23" s="198">
        <v>4192158</v>
      </c>
      <c r="D23" s="215" t="s">
        <v>2047</v>
      </c>
      <c r="E23" s="974">
        <v>37275</v>
      </c>
      <c r="F23" s="1034" t="s">
        <v>567</v>
      </c>
      <c r="G23" s="1371">
        <f t="shared" si="7"/>
        <v>0</v>
      </c>
      <c r="H23" s="1372">
        <v>0</v>
      </c>
      <c r="I23" s="1372">
        <f t="shared" si="8"/>
        <v>0</v>
      </c>
      <c r="J23" s="1371">
        <f t="shared" si="9"/>
        <v>0</v>
      </c>
      <c r="K23" s="1371"/>
      <c r="L23" s="1373"/>
      <c r="M23" s="1372">
        <f t="shared" si="5"/>
        <v>0</v>
      </c>
      <c r="N23" s="1371">
        <f t="shared" si="6"/>
        <v>37275</v>
      </c>
      <c r="O23" s="1372">
        <v>1</v>
      </c>
    </row>
    <row r="24" spans="1:15">
      <c r="A24" s="197" t="s">
        <v>2048</v>
      </c>
      <c r="B24" s="198">
        <v>451</v>
      </c>
      <c r="C24" s="198">
        <v>4192160</v>
      </c>
      <c r="D24" s="215" t="s">
        <v>2049</v>
      </c>
      <c r="E24" s="974">
        <v>197880</v>
      </c>
      <c r="F24" s="1034" t="s">
        <v>567</v>
      </c>
      <c r="G24" s="1371">
        <f t="shared" si="7"/>
        <v>0</v>
      </c>
      <c r="H24" s="1372">
        <v>0</v>
      </c>
      <c r="I24" s="1372">
        <f t="shared" si="8"/>
        <v>0</v>
      </c>
      <c r="J24" s="1371">
        <f t="shared" si="9"/>
        <v>0</v>
      </c>
      <c r="K24" s="1371"/>
      <c r="L24" s="1373"/>
      <c r="M24" s="1372">
        <f t="shared" si="5"/>
        <v>0</v>
      </c>
      <c r="N24" s="1371">
        <f t="shared" si="6"/>
        <v>197880</v>
      </c>
      <c r="O24" s="1372">
        <v>1</v>
      </c>
    </row>
    <row r="25" spans="1:15" s="955" customFormat="1">
      <c r="A25" s="197" t="s">
        <v>2165</v>
      </c>
      <c r="B25" s="198">
        <v>451</v>
      </c>
      <c r="C25" s="198">
        <v>4192135</v>
      </c>
      <c r="D25" s="1252" t="s">
        <v>2166</v>
      </c>
      <c r="E25" s="974">
        <v>4053694.14</v>
      </c>
      <c r="F25" s="1034" t="s">
        <v>565</v>
      </c>
      <c r="G25" s="1371">
        <f t="shared" si="7"/>
        <v>4053694.14</v>
      </c>
      <c r="H25" s="1372">
        <v>0</v>
      </c>
      <c r="I25" s="1372">
        <f t="shared" si="8"/>
        <v>4053694.14</v>
      </c>
      <c r="J25" s="1371">
        <f t="shared" si="9"/>
        <v>0</v>
      </c>
      <c r="K25" s="1371"/>
      <c r="L25" s="1373"/>
      <c r="M25" s="1372">
        <f t="shared" si="5"/>
        <v>0</v>
      </c>
      <c r="N25" s="1371">
        <f t="shared" si="6"/>
        <v>0</v>
      </c>
      <c r="O25" s="1372">
        <v>1</v>
      </c>
    </row>
    <row r="26" spans="1:15" s="955" customFormat="1">
      <c r="A26" s="197" t="s">
        <v>2167</v>
      </c>
      <c r="B26" s="198">
        <v>451</v>
      </c>
      <c r="C26" s="198">
        <v>4192145</v>
      </c>
      <c r="D26" s="973" t="s">
        <v>2168</v>
      </c>
      <c r="E26" s="974">
        <v>1833461.87</v>
      </c>
      <c r="F26" s="1034" t="s">
        <v>565</v>
      </c>
      <c r="G26" s="1371">
        <f t="shared" si="7"/>
        <v>1833461.87</v>
      </c>
      <c r="H26" s="1372">
        <v>0</v>
      </c>
      <c r="I26" s="1372">
        <f t="shared" si="8"/>
        <v>1833461.87</v>
      </c>
      <c r="J26" s="1371">
        <f t="shared" si="9"/>
        <v>0</v>
      </c>
      <c r="K26" s="1371"/>
      <c r="L26" s="1373"/>
      <c r="M26" s="1372">
        <f t="shared" si="5"/>
        <v>0</v>
      </c>
      <c r="N26" s="1371">
        <f t="shared" si="6"/>
        <v>0</v>
      </c>
      <c r="O26" s="1372">
        <v>1</v>
      </c>
    </row>
    <row r="27" spans="1:15" s="955" customFormat="1">
      <c r="A27" s="197" t="s">
        <v>2169</v>
      </c>
      <c r="B27" s="198">
        <v>451</v>
      </c>
      <c r="C27" s="198">
        <v>4192150</v>
      </c>
      <c r="D27" s="973" t="s">
        <v>2170</v>
      </c>
      <c r="E27" s="974">
        <v>13661</v>
      </c>
      <c r="F27" s="1034" t="s">
        <v>565</v>
      </c>
      <c r="G27" s="1371">
        <f>IF(F27=$G$2,E27,0)</f>
        <v>13661</v>
      </c>
      <c r="H27" s="1372">
        <v>0</v>
      </c>
      <c r="I27" s="1372">
        <f t="shared" si="8"/>
        <v>13661</v>
      </c>
      <c r="J27" s="1371">
        <f t="shared" si="9"/>
        <v>0</v>
      </c>
      <c r="K27" s="1371"/>
      <c r="L27" s="1373"/>
      <c r="M27" s="1372">
        <f>J27-L27</f>
        <v>0</v>
      </c>
      <c r="N27" s="1371">
        <f t="shared" si="6"/>
        <v>0</v>
      </c>
      <c r="O27" s="1372">
        <v>1</v>
      </c>
    </row>
    <row r="28" spans="1:15" s="14" customFormat="1">
      <c r="A28" s="890" t="s">
        <v>2683</v>
      </c>
      <c r="B28" s="198">
        <v>451</v>
      </c>
      <c r="C28" s="198" t="s">
        <v>2685</v>
      </c>
      <c r="D28" s="1252" t="s">
        <v>2474</v>
      </c>
      <c r="E28" s="297">
        <v>3946075</v>
      </c>
      <c r="F28" s="1034" t="s">
        <v>565</v>
      </c>
      <c r="G28" s="1371">
        <f t="shared" ref="G28:G29" si="10">IF(F28=$G$2,E28,0)</f>
        <v>3946075</v>
      </c>
      <c r="H28" s="1372">
        <v>0</v>
      </c>
      <c r="I28" s="1372">
        <f t="shared" ref="I28:I29" si="11">G28-H28</f>
        <v>3946075</v>
      </c>
      <c r="J28" s="1371">
        <f t="shared" ref="J28:J29" si="12">IF(F28=$J$2,E28,0)</f>
        <v>0</v>
      </c>
      <c r="K28" s="1371"/>
      <c r="L28" s="1375"/>
      <c r="M28" s="1372">
        <f t="shared" ref="M28:M29" si="13">J28-L28</f>
        <v>0</v>
      </c>
      <c r="N28" s="1371">
        <f t="shared" ref="N28:N29" si="14">IF(F28=$N$2,E28,0)</f>
        <v>0</v>
      </c>
      <c r="O28" s="1372">
        <v>1</v>
      </c>
    </row>
    <row r="29" spans="1:15" s="14" customFormat="1">
      <c r="A29" s="890" t="s">
        <v>2684</v>
      </c>
      <c r="B29" s="198">
        <v>451</v>
      </c>
      <c r="C29" s="198" t="s">
        <v>2686</v>
      </c>
      <c r="D29" s="1252" t="s">
        <v>2687</v>
      </c>
      <c r="E29" s="1370">
        <v>-562410</v>
      </c>
      <c r="F29" s="1034" t="s">
        <v>565</v>
      </c>
      <c r="G29" s="1371">
        <f t="shared" si="10"/>
        <v>-562410</v>
      </c>
      <c r="H29" s="1372">
        <v>0</v>
      </c>
      <c r="I29" s="1372">
        <f t="shared" si="11"/>
        <v>-562410</v>
      </c>
      <c r="J29" s="1371">
        <f t="shared" si="12"/>
        <v>0</v>
      </c>
      <c r="K29" s="1371"/>
      <c r="L29" s="1375"/>
      <c r="M29" s="1372">
        <f t="shared" si="13"/>
        <v>0</v>
      </c>
      <c r="N29" s="1371">
        <f t="shared" si="14"/>
        <v>0</v>
      </c>
      <c r="O29" s="1372">
        <v>1</v>
      </c>
    </row>
    <row r="30" spans="1:15" s="463" customFormat="1">
      <c r="A30" s="1340" t="s">
        <v>2776</v>
      </c>
      <c r="B30" s="1457">
        <v>451</v>
      </c>
      <c r="C30" s="1457" t="s">
        <v>2777</v>
      </c>
      <c r="D30" s="1458" t="s">
        <v>2778</v>
      </c>
      <c r="E30" s="1034">
        <v>84800</v>
      </c>
      <c r="F30" s="1034" t="s">
        <v>565</v>
      </c>
      <c r="G30" s="1380">
        <f t="shared" ref="G30:G34" si="15">IF(F30=$G$2,E30,0)</f>
        <v>84800</v>
      </c>
      <c r="H30" s="1381">
        <v>0</v>
      </c>
      <c r="I30" s="1381">
        <f t="shared" ref="I30:I34" si="16">G30-H30</f>
        <v>84800</v>
      </c>
      <c r="J30" s="1380">
        <f t="shared" ref="J30:J34" si="17">IF(F30=$J$2,E30,0)</f>
        <v>0</v>
      </c>
      <c r="K30" s="1380"/>
      <c r="L30" s="1373"/>
      <c r="M30" s="1381">
        <f t="shared" ref="M30:M34" si="18">J30-L30</f>
        <v>0</v>
      </c>
      <c r="N30" s="1380">
        <f t="shared" ref="N30:N34" si="19">IF(F30=$N$2,E30,0)</f>
        <v>0</v>
      </c>
      <c r="O30" s="1381">
        <v>1</v>
      </c>
    </row>
    <row r="31" spans="1:15" s="463" customFormat="1">
      <c r="A31" s="1437" t="s">
        <v>2883</v>
      </c>
      <c r="B31" s="1438">
        <v>451</v>
      </c>
      <c r="C31" s="1438">
        <v>4184531</v>
      </c>
      <c r="D31" s="1439" t="s">
        <v>2884</v>
      </c>
      <c r="E31" s="1034">
        <v>9300</v>
      </c>
      <c r="F31" s="974" t="s">
        <v>565</v>
      </c>
      <c r="G31" s="1369">
        <f t="shared" si="15"/>
        <v>9300</v>
      </c>
      <c r="H31" s="1373">
        <v>0</v>
      </c>
      <c r="I31" s="1373">
        <f t="shared" si="16"/>
        <v>9300</v>
      </c>
      <c r="J31" s="1369">
        <f t="shared" si="17"/>
        <v>0</v>
      </c>
      <c r="K31" s="1369"/>
      <c r="L31" s="1373"/>
      <c r="M31" s="1373">
        <f t="shared" si="18"/>
        <v>0</v>
      </c>
      <c r="N31" s="1369">
        <f t="shared" si="19"/>
        <v>0</v>
      </c>
      <c r="O31" s="1373">
        <v>1</v>
      </c>
    </row>
    <row r="32" spans="1:15" s="463" customFormat="1">
      <c r="A32" s="1437" t="s">
        <v>2885</v>
      </c>
      <c r="B32" s="1438">
        <v>451</v>
      </c>
      <c r="C32" s="1438">
        <v>4184532</v>
      </c>
      <c r="D32" s="1439" t="s">
        <v>2886</v>
      </c>
      <c r="E32" s="1034">
        <v>13150</v>
      </c>
      <c r="F32" s="974" t="s">
        <v>565</v>
      </c>
      <c r="G32" s="1369">
        <f t="shared" si="15"/>
        <v>13150</v>
      </c>
      <c r="H32" s="1373">
        <v>0</v>
      </c>
      <c r="I32" s="1373">
        <f t="shared" si="16"/>
        <v>13150</v>
      </c>
      <c r="J32" s="1369">
        <f t="shared" si="17"/>
        <v>0</v>
      </c>
      <c r="K32" s="1369"/>
      <c r="L32" s="1373"/>
      <c r="M32" s="1373">
        <f t="shared" si="18"/>
        <v>0</v>
      </c>
      <c r="N32" s="1369">
        <f t="shared" si="19"/>
        <v>0</v>
      </c>
      <c r="O32" s="1373">
        <v>1</v>
      </c>
    </row>
    <row r="33" spans="1:15" s="463" customFormat="1">
      <c r="A33" s="1437" t="s">
        <v>2887</v>
      </c>
      <c r="B33" s="1438">
        <v>451</v>
      </c>
      <c r="C33" s="1438">
        <v>4184534</v>
      </c>
      <c r="D33" s="1439" t="s">
        <v>2888</v>
      </c>
      <c r="E33" s="1034">
        <v>9000</v>
      </c>
      <c r="F33" s="974" t="s">
        <v>565</v>
      </c>
      <c r="G33" s="1369">
        <f t="shared" si="15"/>
        <v>9000</v>
      </c>
      <c r="H33" s="1373">
        <v>0</v>
      </c>
      <c r="I33" s="1373">
        <f t="shared" si="16"/>
        <v>9000</v>
      </c>
      <c r="J33" s="1369">
        <f t="shared" si="17"/>
        <v>0</v>
      </c>
      <c r="K33" s="1369"/>
      <c r="L33" s="1373"/>
      <c r="M33" s="1373">
        <f t="shared" si="18"/>
        <v>0</v>
      </c>
      <c r="N33" s="1369">
        <f t="shared" si="19"/>
        <v>0</v>
      </c>
      <c r="O33" s="1373">
        <v>1</v>
      </c>
    </row>
    <row r="34" spans="1:15" s="463" customFormat="1">
      <c r="A34" s="1437" t="s">
        <v>2889</v>
      </c>
      <c r="B34" s="1438">
        <v>451</v>
      </c>
      <c r="C34" s="1438">
        <v>4184535</v>
      </c>
      <c r="D34" s="1439" t="s">
        <v>2890</v>
      </c>
      <c r="E34" s="1034">
        <v>45000</v>
      </c>
      <c r="F34" s="974" t="s">
        <v>565</v>
      </c>
      <c r="G34" s="1369">
        <f t="shared" si="15"/>
        <v>45000</v>
      </c>
      <c r="H34" s="1373">
        <v>0</v>
      </c>
      <c r="I34" s="1373">
        <f t="shared" si="16"/>
        <v>45000</v>
      </c>
      <c r="J34" s="1369">
        <f t="shared" si="17"/>
        <v>0</v>
      </c>
      <c r="K34" s="1369"/>
      <c r="L34" s="1373"/>
      <c r="M34" s="1373">
        <f t="shared" si="18"/>
        <v>0</v>
      </c>
      <c r="N34" s="1369">
        <f t="shared" si="19"/>
        <v>0</v>
      </c>
      <c r="O34" s="1373">
        <v>1</v>
      </c>
    </row>
    <row r="35" spans="1:15" s="463" customFormat="1">
      <c r="A35" s="1437"/>
      <c r="B35" s="1438"/>
      <c r="C35" s="1438"/>
      <c r="D35" s="1439"/>
      <c r="E35" s="1034"/>
      <c r="F35" s="1034"/>
      <c r="G35" s="1459"/>
      <c r="H35" s="1460"/>
      <c r="I35" s="1460"/>
      <c r="J35" s="1459"/>
      <c r="K35" s="1379"/>
      <c r="L35" s="1373"/>
      <c r="M35" s="1460"/>
      <c r="N35" s="1459"/>
      <c r="O35" s="1460"/>
    </row>
    <row r="36" spans="1:15">
      <c r="A36" s="325"/>
      <c r="B36" s="322"/>
      <c r="C36" s="321"/>
      <c r="D36" s="704"/>
      <c r="E36" s="297"/>
      <c r="F36" s="297"/>
      <c r="G36" s="1370"/>
      <c r="H36" s="1375"/>
      <c r="I36" s="1375"/>
      <c r="J36" s="1370"/>
      <c r="K36" s="1370"/>
      <c r="L36" s="1375"/>
      <c r="M36" s="1375"/>
      <c r="N36" s="1370"/>
      <c r="O36" s="1375"/>
    </row>
    <row r="37" spans="1:15" ht="13">
      <c r="A37" s="202">
        <v>5</v>
      </c>
      <c r="B37" s="1540" t="s">
        <v>611</v>
      </c>
      <c r="C37" s="1538"/>
      <c r="D37" s="1539"/>
      <c r="E37" s="305">
        <f>SUM(E11:E36)</f>
        <v>12098590.93</v>
      </c>
      <c r="F37" s="314"/>
      <c r="G37" s="1376">
        <f>SUM(G11:G36)</f>
        <v>11169793.719999999</v>
      </c>
      <c r="H37" s="1377">
        <f>SUM(H11:H36)</f>
        <v>0</v>
      </c>
      <c r="I37" s="1376">
        <f>SUM(I11:I36)</f>
        <v>11169793.719999999</v>
      </c>
      <c r="J37" s="1376">
        <f>SUM(J11:J36)</f>
        <v>-35</v>
      </c>
      <c r="K37" s="1378"/>
      <c r="L37" s="1376">
        <f>SUM(L11:L36)</f>
        <v>0</v>
      </c>
      <c r="M37" s="1376">
        <f>SUM(M11:M36)</f>
        <v>-35</v>
      </c>
      <c r="N37" s="1376">
        <f>SUM(N11:N36)</f>
        <v>928832.21</v>
      </c>
      <c r="O37" s="1372"/>
    </row>
    <row r="38" spans="1:15" ht="25.5" customHeight="1">
      <c r="A38" s="202">
        <v>6</v>
      </c>
      <c r="B38" s="1532" t="s">
        <v>1223</v>
      </c>
      <c r="C38" s="1533"/>
      <c r="D38" s="1534"/>
      <c r="E38" s="1073">
        <v>12098591</v>
      </c>
      <c r="F38" s="304"/>
      <c r="G38" s="292"/>
      <c r="H38" s="209"/>
      <c r="I38" s="209"/>
      <c r="J38" s="292"/>
      <c r="K38" s="304"/>
      <c r="L38" s="292"/>
      <c r="M38" s="292"/>
      <c r="N38" s="304"/>
    </row>
    <row r="39" spans="1:15" ht="13">
      <c r="A39" s="211"/>
      <c r="B39" s="206"/>
      <c r="C39" s="207"/>
      <c r="D39" s="208"/>
      <c r="E39" s="292"/>
      <c r="F39" s="292"/>
      <c r="G39" s="292"/>
      <c r="H39" s="209"/>
      <c r="I39" s="209"/>
      <c r="J39" s="292"/>
      <c r="K39" s="304"/>
      <c r="L39" s="292"/>
      <c r="M39" s="292"/>
      <c r="N39" s="292"/>
    </row>
    <row r="40" spans="1:15">
      <c r="A40" s="1074" t="s">
        <v>2900</v>
      </c>
      <c r="B40" s="322">
        <v>453</v>
      </c>
      <c r="C40" s="321">
        <v>4183120</v>
      </c>
      <c r="D40" s="323" t="s">
        <v>2891</v>
      </c>
      <c r="E40" s="297">
        <v>566609.81000000006</v>
      </c>
      <c r="F40" s="297" t="s">
        <v>566</v>
      </c>
      <c r="G40" s="974">
        <f t="shared" ref="G40:G41" si="20">IF(F40=$G$2,E40,0)</f>
        <v>0</v>
      </c>
      <c r="H40" s="705">
        <v>0</v>
      </c>
      <c r="I40" s="705">
        <f>G40-H40</f>
        <v>0</v>
      </c>
      <c r="J40" s="974">
        <f t="shared" ref="J40:J41" si="21">IF(F40=$J$2,E40,0)</f>
        <v>566609.81000000006</v>
      </c>
      <c r="K40" s="975" t="s">
        <v>607</v>
      </c>
      <c r="L40" s="975">
        <v>0</v>
      </c>
      <c r="M40" s="705">
        <f>J40-L40</f>
        <v>566609.81000000006</v>
      </c>
      <c r="N40" s="974">
        <f>IF(F40=$N$2,E40,0)</f>
        <v>0</v>
      </c>
      <c r="O40" s="1076">
        <v>2</v>
      </c>
    </row>
    <row r="41" spans="1:15" s="955" customFormat="1">
      <c r="A41" s="1074" t="s">
        <v>2901</v>
      </c>
      <c r="B41" s="322">
        <v>453</v>
      </c>
      <c r="C41" s="321">
        <v>4183110</v>
      </c>
      <c r="D41" s="323" t="s">
        <v>2892</v>
      </c>
      <c r="E41" s="297">
        <v>1041628.67</v>
      </c>
      <c r="F41" s="297" t="s">
        <v>565</v>
      </c>
      <c r="G41" s="1369">
        <f t="shared" si="20"/>
        <v>1041628.67</v>
      </c>
      <c r="H41" s="1373">
        <v>0</v>
      </c>
      <c r="I41" s="1373">
        <f t="shared" ref="I41" si="22">G41-H41</f>
        <v>1041628.67</v>
      </c>
      <c r="J41" s="1369">
        <f t="shared" si="21"/>
        <v>0</v>
      </c>
      <c r="K41" s="974"/>
      <c r="L41" s="705"/>
      <c r="M41" s="1373">
        <f t="shared" ref="M41" si="23">J41-L41</f>
        <v>0</v>
      </c>
      <c r="N41" s="1369">
        <f t="shared" ref="N41" si="24">IF(F41=$N$2,E41,0)</f>
        <v>0</v>
      </c>
      <c r="O41" s="1076">
        <v>1</v>
      </c>
    </row>
    <row r="42" spans="1:15" s="955" customFormat="1">
      <c r="A42" s="325"/>
      <c r="B42" s="322"/>
      <c r="C42" s="321"/>
      <c r="D42" s="323"/>
      <c r="E42" s="297"/>
      <c r="F42" s="297"/>
      <c r="G42" s="301"/>
      <c r="H42" s="298"/>
      <c r="I42" s="299"/>
      <c r="J42" s="297"/>
      <c r="K42" s="297"/>
      <c r="L42" s="299"/>
      <c r="M42" s="299"/>
      <c r="N42" s="297"/>
      <c r="O42" s="298"/>
    </row>
    <row r="43" spans="1:15">
      <c r="A43" s="325"/>
      <c r="B43" s="322"/>
      <c r="C43" s="321"/>
      <c r="D43" s="323"/>
      <c r="E43" s="297"/>
      <c r="F43" s="297"/>
      <c r="G43" s="301"/>
      <c r="H43" s="298"/>
      <c r="I43" s="299"/>
      <c r="J43" s="297"/>
      <c r="K43" s="297"/>
      <c r="L43" s="299"/>
      <c r="M43" s="299"/>
      <c r="N43" s="297"/>
      <c r="O43" s="298"/>
    </row>
    <row r="44" spans="1:15" ht="13">
      <c r="A44" s="202">
        <v>8</v>
      </c>
      <c r="B44" s="1540" t="s">
        <v>612</v>
      </c>
      <c r="C44" s="1538"/>
      <c r="D44" s="1539"/>
      <c r="E44" s="305">
        <f>SUM(E40:E43)</f>
        <v>1608238.48</v>
      </c>
      <c r="F44" s="314"/>
      <c r="G44" s="305">
        <f>SUM(G40:G43)</f>
        <v>1041628.67</v>
      </c>
      <c r="H44" s="191">
        <f>SUM(H40:H43)</f>
        <v>0</v>
      </c>
      <c r="I44" s="305">
        <f>SUM(I40:I43)</f>
        <v>1041628.67</v>
      </c>
      <c r="J44" s="305">
        <f>SUM(J40:J43)</f>
        <v>566609.81000000006</v>
      </c>
      <c r="K44" s="314"/>
      <c r="L44" s="305">
        <f>SUM(L40:L43)</f>
        <v>0</v>
      </c>
      <c r="M44" s="305">
        <f>SUM(M40:M43)</f>
        <v>566609.81000000006</v>
      </c>
      <c r="N44" s="305">
        <f>SUM(N40:N43)</f>
        <v>0</v>
      </c>
      <c r="O44" s="191"/>
    </row>
    <row r="45" spans="1:15" ht="25.5" customHeight="1">
      <c r="A45" s="202">
        <v>9</v>
      </c>
      <c r="B45" s="1535" t="s">
        <v>1224</v>
      </c>
      <c r="C45" s="1536"/>
      <c r="D45" s="1536"/>
      <c r="E45" s="317">
        <v>1608238</v>
      </c>
      <c r="F45" s="304"/>
      <c r="G45" s="292"/>
      <c r="H45" s="209"/>
      <c r="I45" s="213"/>
      <c r="J45" s="292"/>
      <c r="K45" s="304"/>
      <c r="L45" s="292"/>
      <c r="M45" s="292"/>
      <c r="N45" s="292"/>
      <c r="O45" s="189"/>
    </row>
    <row r="46" spans="1:15" ht="13">
      <c r="A46" s="205"/>
      <c r="B46" s="206"/>
      <c r="C46" s="207"/>
      <c r="D46" s="208"/>
      <c r="E46" s="292"/>
      <c r="F46" s="292"/>
      <c r="G46" s="292"/>
      <c r="H46" s="209"/>
      <c r="I46" s="213"/>
      <c r="J46" s="292"/>
      <c r="K46" s="304"/>
      <c r="L46" s="292"/>
      <c r="M46" s="292"/>
      <c r="N46" s="292"/>
      <c r="O46" s="189"/>
    </row>
    <row r="47" spans="1:15">
      <c r="A47" s="202" t="s">
        <v>613</v>
      </c>
      <c r="B47" s="198">
        <v>454</v>
      </c>
      <c r="C47" s="199" t="s">
        <v>617</v>
      </c>
      <c r="D47" s="199" t="s">
        <v>618</v>
      </c>
      <c r="E47" s="974">
        <v>806917.25</v>
      </c>
      <c r="F47" s="974" t="s">
        <v>565</v>
      </c>
      <c r="G47" s="293">
        <f>IF(F47=$G$2,E47,0)</f>
        <v>806917.25</v>
      </c>
      <c r="H47" s="201">
        <v>0</v>
      </c>
      <c r="I47" s="201">
        <f>G47-H47</f>
        <v>806917.25</v>
      </c>
      <c r="J47" s="293">
        <f>IF(F47=$J$2,E47,0)</f>
        <v>0</v>
      </c>
      <c r="K47" s="293"/>
      <c r="L47" s="705"/>
      <c r="M47" s="201">
        <f>J47-L47</f>
        <v>0</v>
      </c>
      <c r="N47" s="293">
        <f>IF(F47=$N$2,E47,0)</f>
        <v>0</v>
      </c>
      <c r="O47" s="200">
        <v>4</v>
      </c>
    </row>
    <row r="48" spans="1:15">
      <c r="A48" s="202" t="s">
        <v>614</v>
      </c>
      <c r="B48" s="198">
        <v>454</v>
      </c>
      <c r="C48" s="203" t="s">
        <v>620</v>
      </c>
      <c r="D48" s="199" t="s">
        <v>621</v>
      </c>
      <c r="E48" s="974">
        <v>6509735.54</v>
      </c>
      <c r="F48" s="974" t="s">
        <v>565</v>
      </c>
      <c r="G48" s="293">
        <f>IF(F48=$G$2,E48,0)</f>
        <v>6509735.54</v>
      </c>
      <c r="H48" s="201">
        <v>0</v>
      </c>
      <c r="I48" s="201">
        <f>G48-H48</f>
        <v>6509735.54</v>
      </c>
      <c r="J48" s="293">
        <f t="shared" ref="J48:J59" si="25">IF(F48=$J$2,E48,0)</f>
        <v>0</v>
      </c>
      <c r="K48" s="293"/>
      <c r="L48" s="705"/>
      <c r="M48" s="201">
        <f t="shared" ref="M48:M50" si="26">J48-L48</f>
        <v>0</v>
      </c>
      <c r="N48" s="293">
        <f>IF(F48=$N$2,E48,0)</f>
        <v>0</v>
      </c>
      <c r="O48" s="200">
        <v>4</v>
      </c>
    </row>
    <row r="49" spans="1:15">
      <c r="A49" s="202" t="s">
        <v>615</v>
      </c>
      <c r="B49" s="198">
        <v>454</v>
      </c>
      <c r="C49" s="203" t="s">
        <v>623</v>
      </c>
      <c r="D49" s="199" t="s">
        <v>624</v>
      </c>
      <c r="E49" s="974">
        <v>1293119.76</v>
      </c>
      <c r="F49" s="974" t="s">
        <v>565</v>
      </c>
      <c r="G49" s="293">
        <f>IF(F49=$G$2,E49,0)</f>
        <v>1293119.76</v>
      </c>
      <c r="H49" s="201">
        <v>0</v>
      </c>
      <c r="I49" s="201">
        <f>G49-H49</f>
        <v>1293119.76</v>
      </c>
      <c r="J49" s="293">
        <f t="shared" si="25"/>
        <v>0</v>
      </c>
      <c r="K49" s="293"/>
      <c r="L49" s="705"/>
      <c r="M49" s="201">
        <f t="shared" si="26"/>
        <v>0</v>
      </c>
      <c r="N49" s="293">
        <f>IF(F49=$N$2,E49,0)</f>
        <v>0</v>
      </c>
      <c r="O49" s="200">
        <v>4</v>
      </c>
    </row>
    <row r="50" spans="1:15">
      <c r="A50" s="1087" t="s">
        <v>616</v>
      </c>
      <c r="B50" s="198">
        <v>454</v>
      </c>
      <c r="C50" s="214">
        <v>4184120</v>
      </c>
      <c r="D50" s="199" t="s">
        <v>1368</v>
      </c>
      <c r="E50" s="974">
        <v>1763500</v>
      </c>
      <c r="F50" s="974" t="s">
        <v>565</v>
      </c>
      <c r="G50" s="293">
        <f>IF(F50=$G$2,E50,0)</f>
        <v>1763500</v>
      </c>
      <c r="H50" s="201">
        <v>0</v>
      </c>
      <c r="I50" s="201">
        <f>G50-H50</f>
        <v>1763500</v>
      </c>
      <c r="J50" s="293">
        <f t="shared" si="25"/>
        <v>0</v>
      </c>
      <c r="K50" s="293"/>
      <c r="L50" s="705"/>
      <c r="M50" s="201">
        <f t="shared" si="26"/>
        <v>0</v>
      </c>
      <c r="N50" s="293">
        <f>IF(F50=$N$2,E50,0)</f>
        <v>0</v>
      </c>
      <c r="O50" s="200">
        <v>4</v>
      </c>
    </row>
    <row r="51" spans="1:15">
      <c r="A51" s="1086" t="s">
        <v>619</v>
      </c>
      <c r="B51" s="198">
        <v>454</v>
      </c>
      <c r="C51" s="203" t="s">
        <v>628</v>
      </c>
      <c r="D51" s="199" t="s">
        <v>629</v>
      </c>
      <c r="E51" s="974">
        <v>282235.03999999998</v>
      </c>
      <c r="F51" s="974" t="s">
        <v>566</v>
      </c>
      <c r="G51" s="293">
        <f t="shared" ref="G51:G57" si="27">IF(F51=$G$2,E51,0)</f>
        <v>0</v>
      </c>
      <c r="H51" s="201">
        <v>0</v>
      </c>
      <c r="I51" s="201">
        <f>G51-H51</f>
        <v>0</v>
      </c>
      <c r="J51" s="293">
        <f t="shared" si="25"/>
        <v>282235.03999999998</v>
      </c>
      <c r="K51" s="330" t="s">
        <v>607</v>
      </c>
      <c r="L51" s="975">
        <v>59680.321338987102</v>
      </c>
      <c r="M51" s="201">
        <f>J51-L51</f>
        <v>222554.71866101288</v>
      </c>
      <c r="N51" s="293">
        <f>IF(F51=$N$2,E51,0)</f>
        <v>0</v>
      </c>
      <c r="O51" s="200">
        <v>2</v>
      </c>
    </row>
    <row r="52" spans="1:15">
      <c r="A52" s="202" t="s">
        <v>622</v>
      </c>
      <c r="B52" s="198">
        <v>454</v>
      </c>
      <c r="C52" s="203" t="s">
        <v>631</v>
      </c>
      <c r="D52" s="199" t="s">
        <v>632</v>
      </c>
      <c r="E52" s="974">
        <v>44613.36</v>
      </c>
      <c r="F52" s="974" t="s">
        <v>566</v>
      </c>
      <c r="G52" s="293">
        <f t="shared" si="27"/>
        <v>0</v>
      </c>
      <c r="H52" s="201">
        <v>0</v>
      </c>
      <c r="I52" s="201">
        <f t="shared" ref="I52:I54" si="28">G52-H52</f>
        <v>0</v>
      </c>
      <c r="J52" s="293">
        <f t="shared" si="25"/>
        <v>44613.36</v>
      </c>
      <c r="K52" s="330" t="s">
        <v>607</v>
      </c>
      <c r="L52" s="975">
        <v>14554.870138128401</v>
      </c>
      <c r="M52" s="201">
        <f>J52-L52</f>
        <v>30058.4898618716</v>
      </c>
      <c r="N52" s="293">
        <f t="shared" ref="N52:N57" si="29">IF(F52=$N$2,E52,0)</f>
        <v>0</v>
      </c>
      <c r="O52" s="200">
        <v>2</v>
      </c>
    </row>
    <row r="53" spans="1:15">
      <c r="A53" s="202" t="s">
        <v>625</v>
      </c>
      <c r="B53" s="198">
        <v>454</v>
      </c>
      <c r="C53" s="203" t="s">
        <v>634</v>
      </c>
      <c r="D53" s="199" t="s">
        <v>635</v>
      </c>
      <c r="E53" s="974"/>
      <c r="F53" s="974" t="s">
        <v>566</v>
      </c>
      <c r="G53" s="293">
        <f t="shared" si="27"/>
        <v>0</v>
      </c>
      <c r="H53" s="201">
        <v>0</v>
      </c>
      <c r="I53" s="201">
        <f t="shared" si="28"/>
        <v>0</v>
      </c>
      <c r="J53" s="293">
        <f t="shared" si="25"/>
        <v>0</v>
      </c>
      <c r="K53" s="330" t="s">
        <v>607</v>
      </c>
      <c r="L53" s="975"/>
      <c r="M53" s="201">
        <f>J53-L53</f>
        <v>0</v>
      </c>
      <c r="N53" s="293">
        <f t="shared" si="29"/>
        <v>0</v>
      </c>
      <c r="O53" s="200">
        <v>2</v>
      </c>
    </row>
    <row r="54" spans="1:15">
      <c r="A54" s="202" t="s">
        <v>626</v>
      </c>
      <c r="B54" s="198">
        <v>454</v>
      </c>
      <c r="C54" s="214" t="s">
        <v>637</v>
      </c>
      <c r="D54" s="199" t="s">
        <v>638</v>
      </c>
      <c r="E54" s="974">
        <v>8328.32</v>
      </c>
      <c r="F54" s="974" t="s">
        <v>566</v>
      </c>
      <c r="G54" s="293">
        <f t="shared" si="27"/>
        <v>0</v>
      </c>
      <c r="H54" s="201">
        <v>0</v>
      </c>
      <c r="I54" s="201">
        <f t="shared" si="28"/>
        <v>0</v>
      </c>
      <c r="J54" s="293">
        <f t="shared" si="25"/>
        <v>8328.32</v>
      </c>
      <c r="K54" s="330" t="s">
        <v>607</v>
      </c>
      <c r="L54" s="1251">
        <v>2288.5917887616001</v>
      </c>
      <c r="M54" s="201">
        <f t="shared" ref="M54:M72" si="30">J54-L54</f>
        <v>6039.7282112384</v>
      </c>
      <c r="N54" s="293">
        <f t="shared" si="29"/>
        <v>0</v>
      </c>
      <c r="O54" s="200">
        <v>2</v>
      </c>
    </row>
    <row r="55" spans="1:15">
      <c r="A55" s="202" t="s">
        <v>627</v>
      </c>
      <c r="B55" s="198">
        <v>454</v>
      </c>
      <c r="C55" s="199" t="s">
        <v>640</v>
      </c>
      <c r="D55" s="199" t="s">
        <v>1220</v>
      </c>
      <c r="E55" s="1369">
        <v>-480842.67</v>
      </c>
      <c r="F55" s="974" t="s">
        <v>565</v>
      </c>
      <c r="G55" s="293">
        <f>IF(F55=$G$2,E55,0)</f>
        <v>-480842.67</v>
      </c>
      <c r="H55" s="201">
        <v>0</v>
      </c>
      <c r="I55" s="201">
        <f>G55-H55</f>
        <v>-480842.67</v>
      </c>
      <c r="J55" s="293">
        <f>IF(F55=$J$2,E55,0)</f>
        <v>0</v>
      </c>
      <c r="K55" s="293"/>
      <c r="L55" s="705"/>
      <c r="M55" s="201">
        <f t="shared" si="30"/>
        <v>0</v>
      </c>
      <c r="N55" s="293">
        <f t="shared" si="29"/>
        <v>0</v>
      </c>
      <c r="O55" s="200">
        <v>4</v>
      </c>
    </row>
    <row r="56" spans="1:15">
      <c r="A56" s="202" t="s">
        <v>630</v>
      </c>
      <c r="B56" s="198">
        <v>454</v>
      </c>
      <c r="C56" s="203" t="s">
        <v>642</v>
      </c>
      <c r="D56" s="199" t="s">
        <v>643</v>
      </c>
      <c r="E56" s="974">
        <v>47504.65</v>
      </c>
      <c r="F56" s="974" t="s">
        <v>567</v>
      </c>
      <c r="G56" s="293">
        <f>I56+H56</f>
        <v>2893.0331850000002</v>
      </c>
      <c r="H56" s="201">
        <f>E56*$D$267</f>
        <v>2893.0331850000002</v>
      </c>
      <c r="I56" s="201">
        <v>0</v>
      </c>
      <c r="J56" s="293">
        <f t="shared" si="25"/>
        <v>0</v>
      </c>
      <c r="K56" s="293"/>
      <c r="L56" s="705"/>
      <c r="M56" s="201">
        <f>J56-L56</f>
        <v>0</v>
      </c>
      <c r="N56" s="293">
        <f>IF(F56=$N$2,E56-H56,0)</f>
        <v>44611.616815000001</v>
      </c>
      <c r="O56" s="200" t="s">
        <v>644</v>
      </c>
    </row>
    <row r="57" spans="1:15">
      <c r="A57" s="202" t="s">
        <v>633</v>
      </c>
      <c r="B57" s="198">
        <v>454</v>
      </c>
      <c r="C57" s="203" t="s">
        <v>646</v>
      </c>
      <c r="D57" s="199" t="s">
        <v>647</v>
      </c>
      <c r="E57" s="974"/>
      <c r="F57" s="974" t="s">
        <v>565</v>
      </c>
      <c r="G57" s="293">
        <f t="shared" si="27"/>
        <v>0</v>
      </c>
      <c r="H57" s="201">
        <f>E57*$D$267</f>
        <v>0</v>
      </c>
      <c r="I57" s="201">
        <f>G57-H57</f>
        <v>0</v>
      </c>
      <c r="J57" s="293">
        <f t="shared" si="25"/>
        <v>0</v>
      </c>
      <c r="K57" s="293"/>
      <c r="L57" s="705"/>
      <c r="M57" s="201">
        <f t="shared" si="30"/>
        <v>0</v>
      </c>
      <c r="N57" s="293">
        <f t="shared" si="29"/>
        <v>0</v>
      </c>
      <c r="O57" s="200">
        <v>7</v>
      </c>
    </row>
    <row r="58" spans="1:15">
      <c r="A58" s="202" t="s">
        <v>636</v>
      </c>
      <c r="B58" s="198">
        <v>454</v>
      </c>
      <c r="C58" s="199" t="s">
        <v>649</v>
      </c>
      <c r="D58" s="199" t="s">
        <v>650</v>
      </c>
      <c r="E58" s="974">
        <v>1340461.1599999999</v>
      </c>
      <c r="F58" s="974" t="s">
        <v>567</v>
      </c>
      <c r="G58" s="293">
        <f>I58+H58</f>
        <v>81634.084644000002</v>
      </c>
      <c r="H58" s="201">
        <f>E58*$D$267</f>
        <v>81634.084644000002</v>
      </c>
      <c r="I58" s="201">
        <v>0</v>
      </c>
      <c r="J58" s="293">
        <f>IF(F58=$J$2,E58,0)</f>
        <v>0</v>
      </c>
      <c r="K58" s="293"/>
      <c r="L58" s="705"/>
      <c r="M58" s="201">
        <f>J58-L58</f>
        <v>0</v>
      </c>
      <c r="N58" s="293">
        <f>IF(F58=$N$2,E58-H58,0)</f>
        <v>1258827.0753559999</v>
      </c>
      <c r="O58" s="200" t="s">
        <v>644</v>
      </c>
    </row>
    <row r="59" spans="1:15">
      <c r="A59" s="202" t="s">
        <v>639</v>
      </c>
      <c r="B59" s="198">
        <v>454</v>
      </c>
      <c r="C59" s="203" t="s">
        <v>652</v>
      </c>
      <c r="D59" s="199" t="s">
        <v>653</v>
      </c>
      <c r="E59" s="974"/>
      <c r="F59" s="974" t="s">
        <v>565</v>
      </c>
      <c r="G59" s="293">
        <f>I59+H59</f>
        <v>0</v>
      </c>
      <c r="H59" s="201">
        <f>E59*$D$261</f>
        <v>0</v>
      </c>
      <c r="I59" s="201">
        <v>0</v>
      </c>
      <c r="J59" s="293">
        <f t="shared" si="25"/>
        <v>0</v>
      </c>
      <c r="K59" s="293"/>
      <c r="L59" s="705"/>
      <c r="M59" s="201">
        <f t="shared" si="30"/>
        <v>0</v>
      </c>
      <c r="N59" s="293">
        <f t="shared" ref="N59:N70" si="31">IF(F59=$N$2,E59,0)</f>
        <v>0</v>
      </c>
      <c r="O59" s="200">
        <v>7</v>
      </c>
    </row>
    <row r="60" spans="1:15">
      <c r="A60" s="202" t="s">
        <v>641</v>
      </c>
      <c r="B60" s="198">
        <v>454</v>
      </c>
      <c r="C60" s="203" t="s">
        <v>655</v>
      </c>
      <c r="D60" s="199" t="s">
        <v>656</v>
      </c>
      <c r="E60" s="974"/>
      <c r="F60" s="974" t="s">
        <v>565</v>
      </c>
      <c r="G60" s="293">
        <f t="shared" ref="G60:G70" si="32">IF(F60=$G$2,E60,0)</f>
        <v>0</v>
      </c>
      <c r="H60" s="201">
        <v>0</v>
      </c>
      <c r="I60" s="201">
        <f t="shared" ref="I60:I65" si="33">G60-H60</f>
        <v>0</v>
      </c>
      <c r="J60" s="293">
        <f t="shared" ref="J60:J71" si="34">IF(F60=$J$2,E60,0)</f>
        <v>0</v>
      </c>
      <c r="K60" s="293"/>
      <c r="L60" s="705"/>
      <c r="M60" s="201">
        <f t="shared" si="30"/>
        <v>0</v>
      </c>
      <c r="N60" s="293">
        <f t="shared" si="31"/>
        <v>0</v>
      </c>
      <c r="O60" s="200">
        <v>1</v>
      </c>
    </row>
    <row r="61" spans="1:15">
      <c r="A61" s="202" t="s">
        <v>645</v>
      </c>
      <c r="B61" s="198">
        <v>454</v>
      </c>
      <c r="C61" s="203" t="s">
        <v>658</v>
      </c>
      <c r="D61" s="199" t="s">
        <v>659</v>
      </c>
      <c r="E61" s="974">
        <v>11396044.6</v>
      </c>
      <c r="F61" s="974" t="s">
        <v>565</v>
      </c>
      <c r="G61" s="293">
        <f t="shared" si="32"/>
        <v>11396044.6</v>
      </c>
      <c r="H61" s="201">
        <v>0</v>
      </c>
      <c r="I61" s="201">
        <f>G61-H61</f>
        <v>11396044.6</v>
      </c>
      <c r="J61" s="293">
        <f t="shared" si="34"/>
        <v>0</v>
      </c>
      <c r="K61" s="293"/>
      <c r="L61" s="705"/>
      <c r="M61" s="201">
        <f t="shared" si="30"/>
        <v>0</v>
      </c>
      <c r="N61" s="293">
        <f t="shared" si="31"/>
        <v>0</v>
      </c>
      <c r="O61" s="200">
        <v>4</v>
      </c>
    </row>
    <row r="62" spans="1:15">
      <c r="A62" s="202" t="s">
        <v>648</v>
      </c>
      <c r="B62" s="198">
        <v>454</v>
      </c>
      <c r="C62" s="203" t="s">
        <v>661</v>
      </c>
      <c r="D62" s="199" t="s">
        <v>662</v>
      </c>
      <c r="E62" s="974">
        <v>532166.59</v>
      </c>
      <c r="F62" s="974" t="s">
        <v>565</v>
      </c>
      <c r="G62" s="293">
        <f t="shared" si="32"/>
        <v>532166.59</v>
      </c>
      <c r="H62" s="201">
        <v>0</v>
      </c>
      <c r="I62" s="201">
        <f>G62-H62</f>
        <v>532166.59</v>
      </c>
      <c r="J62" s="293">
        <f t="shared" si="34"/>
        <v>0</v>
      </c>
      <c r="K62" s="293"/>
      <c r="L62" s="705"/>
      <c r="M62" s="201">
        <f t="shared" si="30"/>
        <v>0</v>
      </c>
      <c r="N62" s="293">
        <f t="shared" si="31"/>
        <v>0</v>
      </c>
      <c r="O62" s="200">
        <v>4</v>
      </c>
    </row>
    <row r="63" spans="1:15">
      <c r="A63" s="202" t="s">
        <v>651</v>
      </c>
      <c r="B63" s="198">
        <v>454</v>
      </c>
      <c r="C63" s="203" t="s">
        <v>664</v>
      </c>
      <c r="D63" s="199" t="s">
        <v>665</v>
      </c>
      <c r="E63" s="974">
        <v>19497021.199999999</v>
      </c>
      <c r="F63" s="974" t="s">
        <v>565</v>
      </c>
      <c r="G63" s="293">
        <f t="shared" si="32"/>
        <v>19497021.199999999</v>
      </c>
      <c r="H63" s="201">
        <v>0</v>
      </c>
      <c r="I63" s="201">
        <f>G63-H63</f>
        <v>19497021.199999999</v>
      </c>
      <c r="J63" s="293">
        <f t="shared" si="34"/>
        <v>0</v>
      </c>
      <c r="K63" s="293"/>
      <c r="L63" s="705"/>
      <c r="M63" s="201">
        <f t="shared" si="30"/>
        <v>0</v>
      </c>
      <c r="N63" s="293">
        <f t="shared" si="31"/>
        <v>0</v>
      </c>
      <c r="O63" s="200">
        <v>4</v>
      </c>
    </row>
    <row r="64" spans="1:15">
      <c r="A64" s="202" t="s">
        <v>654</v>
      </c>
      <c r="B64" s="198">
        <v>454</v>
      </c>
      <c r="C64" s="203" t="s">
        <v>667</v>
      </c>
      <c r="D64" s="199" t="s">
        <v>668</v>
      </c>
      <c r="E64" s="974">
        <v>11003379.5</v>
      </c>
      <c r="F64" s="974" t="s">
        <v>565</v>
      </c>
      <c r="G64" s="293">
        <f t="shared" si="32"/>
        <v>11003379.5</v>
      </c>
      <c r="H64" s="1373">
        <v>2866540.7922</v>
      </c>
      <c r="I64" s="201">
        <f>G64-H64</f>
        <v>8136838.7078</v>
      </c>
      <c r="J64" s="293">
        <f t="shared" si="34"/>
        <v>0</v>
      </c>
      <c r="K64" s="293"/>
      <c r="L64" s="705"/>
      <c r="M64" s="201">
        <f t="shared" si="30"/>
        <v>0</v>
      </c>
      <c r="N64" s="293">
        <f t="shared" si="31"/>
        <v>0</v>
      </c>
      <c r="O64" s="200">
        <v>8</v>
      </c>
    </row>
    <row r="65" spans="1:15">
      <c r="A65" s="202" t="s">
        <v>657</v>
      </c>
      <c r="B65" s="198">
        <v>454</v>
      </c>
      <c r="C65" s="199" t="s">
        <v>670</v>
      </c>
      <c r="D65" s="199" t="s">
        <v>671</v>
      </c>
      <c r="E65" s="974">
        <v>22769302.899999999</v>
      </c>
      <c r="F65" s="974" t="s">
        <v>566</v>
      </c>
      <c r="G65" s="293">
        <f t="shared" si="32"/>
        <v>0</v>
      </c>
      <c r="H65" s="201">
        <v>0</v>
      </c>
      <c r="I65" s="201">
        <f t="shared" si="33"/>
        <v>0</v>
      </c>
      <c r="J65" s="293">
        <f t="shared" si="34"/>
        <v>22769302.899999999</v>
      </c>
      <c r="K65" s="330" t="s">
        <v>607</v>
      </c>
      <c r="L65" s="975">
        <v>4546791.8685539598</v>
      </c>
      <c r="M65" s="201">
        <f t="shared" ref="M65:M70" si="35">J65-L65</f>
        <v>18222511.03144604</v>
      </c>
      <c r="N65" s="293">
        <f t="shared" si="31"/>
        <v>0</v>
      </c>
      <c r="O65" s="200">
        <v>2</v>
      </c>
    </row>
    <row r="66" spans="1:15">
      <c r="A66" s="202" t="s">
        <v>660</v>
      </c>
      <c r="B66" s="198">
        <v>454</v>
      </c>
      <c r="C66" s="203" t="s">
        <v>672</v>
      </c>
      <c r="D66" s="199" t="s">
        <v>673</v>
      </c>
      <c r="E66" s="974"/>
      <c r="F66" s="974" t="s">
        <v>565</v>
      </c>
      <c r="G66" s="293">
        <f t="shared" si="32"/>
        <v>0</v>
      </c>
      <c r="H66" s="201">
        <v>0</v>
      </c>
      <c r="I66" s="201">
        <f>G66-H66</f>
        <v>0</v>
      </c>
      <c r="J66" s="293">
        <f t="shared" si="34"/>
        <v>0</v>
      </c>
      <c r="K66" s="293"/>
      <c r="L66" s="705"/>
      <c r="M66" s="201">
        <f t="shared" si="35"/>
        <v>0</v>
      </c>
      <c r="N66" s="293">
        <f t="shared" si="31"/>
        <v>0</v>
      </c>
      <c r="O66" s="200">
        <v>4</v>
      </c>
    </row>
    <row r="67" spans="1:15">
      <c r="A67" s="202" t="s">
        <v>663</v>
      </c>
      <c r="B67" s="198">
        <v>454</v>
      </c>
      <c r="C67" s="197" t="s">
        <v>1371</v>
      </c>
      <c r="D67" s="199" t="s">
        <v>1370</v>
      </c>
      <c r="E67" s="974"/>
      <c r="F67" s="974" t="s">
        <v>565</v>
      </c>
      <c r="G67" s="293">
        <f t="shared" si="32"/>
        <v>0</v>
      </c>
      <c r="H67" s="201">
        <v>0</v>
      </c>
      <c r="I67" s="201">
        <f>G67-H67</f>
        <v>0</v>
      </c>
      <c r="J67" s="293">
        <f t="shared" si="34"/>
        <v>0</v>
      </c>
      <c r="K67" s="293"/>
      <c r="L67" s="705"/>
      <c r="M67" s="201">
        <f t="shared" si="35"/>
        <v>0</v>
      </c>
      <c r="N67" s="293">
        <f t="shared" si="31"/>
        <v>0</v>
      </c>
      <c r="O67" s="200">
        <v>1</v>
      </c>
    </row>
    <row r="68" spans="1:15">
      <c r="A68" s="202" t="s">
        <v>666</v>
      </c>
      <c r="B68" s="198">
        <v>454</v>
      </c>
      <c r="C68" s="198">
        <v>4206515</v>
      </c>
      <c r="D68" s="215" t="s">
        <v>2051</v>
      </c>
      <c r="E68" s="974">
        <v>1552731.3</v>
      </c>
      <c r="F68" s="974" t="s">
        <v>566</v>
      </c>
      <c r="G68" s="293">
        <f t="shared" si="32"/>
        <v>0</v>
      </c>
      <c r="H68" s="201">
        <v>0</v>
      </c>
      <c r="I68" s="887">
        <f>G68-H68</f>
        <v>0</v>
      </c>
      <c r="J68" s="888">
        <f t="shared" si="34"/>
        <v>1552731.3</v>
      </c>
      <c r="K68" s="888" t="s">
        <v>607</v>
      </c>
      <c r="L68" s="705">
        <v>1147070.8805553999</v>
      </c>
      <c r="M68" s="201">
        <f t="shared" si="35"/>
        <v>405660.41944460012</v>
      </c>
      <c r="N68" s="293">
        <f t="shared" si="31"/>
        <v>0</v>
      </c>
      <c r="O68" s="200">
        <v>2</v>
      </c>
    </row>
    <row r="69" spans="1:15">
      <c r="A69" s="202" t="s">
        <v>669</v>
      </c>
      <c r="B69" s="198">
        <v>454</v>
      </c>
      <c r="C69" s="198">
        <v>4184122</v>
      </c>
      <c r="D69" s="215" t="s">
        <v>2053</v>
      </c>
      <c r="E69" s="974"/>
      <c r="F69" s="974" t="s">
        <v>565</v>
      </c>
      <c r="G69" s="293">
        <f t="shared" si="32"/>
        <v>0</v>
      </c>
      <c r="H69" s="201">
        <v>0</v>
      </c>
      <c r="I69" s="887">
        <f>G69-H69</f>
        <v>0</v>
      </c>
      <c r="J69" s="888">
        <f t="shared" si="34"/>
        <v>0</v>
      </c>
      <c r="K69" s="293"/>
      <c r="L69" s="705"/>
      <c r="M69" s="201">
        <f t="shared" si="35"/>
        <v>0</v>
      </c>
      <c r="N69" s="293">
        <f t="shared" si="31"/>
        <v>0</v>
      </c>
      <c r="O69" s="200">
        <v>4</v>
      </c>
    </row>
    <row r="70" spans="1:15">
      <c r="A70" s="197" t="s">
        <v>2050</v>
      </c>
      <c r="B70" s="198">
        <v>454</v>
      </c>
      <c r="C70" s="198">
        <v>4184124</v>
      </c>
      <c r="D70" s="215" t="s">
        <v>2055</v>
      </c>
      <c r="E70" s="974">
        <v>81401.820000000007</v>
      </c>
      <c r="F70" s="974" t="s">
        <v>565</v>
      </c>
      <c r="G70" s="293">
        <f t="shared" si="32"/>
        <v>81401.820000000007</v>
      </c>
      <c r="H70" s="201">
        <v>0</v>
      </c>
      <c r="I70" s="887">
        <f>G70-H70</f>
        <v>81401.820000000007</v>
      </c>
      <c r="J70" s="888">
        <f t="shared" si="34"/>
        <v>0</v>
      </c>
      <c r="K70" s="293"/>
      <c r="L70" s="705"/>
      <c r="M70" s="201">
        <f t="shared" si="35"/>
        <v>0</v>
      </c>
      <c r="N70" s="293">
        <f t="shared" si="31"/>
        <v>0</v>
      </c>
      <c r="O70" s="200">
        <v>4</v>
      </c>
    </row>
    <row r="71" spans="1:15">
      <c r="A71" s="890" t="s">
        <v>2052</v>
      </c>
      <c r="B71" s="1118">
        <v>454</v>
      </c>
      <c r="C71" s="1118">
        <v>4184821</v>
      </c>
      <c r="D71" s="1117" t="s">
        <v>2378</v>
      </c>
      <c r="E71" s="974">
        <v>86928.01</v>
      </c>
      <c r="F71" s="974" t="s">
        <v>567</v>
      </c>
      <c r="G71" s="293">
        <f>I71+H71</f>
        <v>5293.9158090000001</v>
      </c>
      <c r="H71" s="201">
        <f>E71*$D$267</f>
        <v>5293.9158090000001</v>
      </c>
      <c r="I71" s="201">
        <v>0</v>
      </c>
      <c r="J71" s="293">
        <f t="shared" si="34"/>
        <v>0</v>
      </c>
      <c r="K71" s="293"/>
      <c r="L71" s="705"/>
      <c r="M71" s="201">
        <f t="shared" si="30"/>
        <v>0</v>
      </c>
      <c r="N71" s="293">
        <f>IF(F71=$N$2,E71-H71,0)</f>
        <v>81634.094190999996</v>
      </c>
      <c r="O71" s="542" t="s">
        <v>644</v>
      </c>
    </row>
    <row r="72" spans="1:15" s="955" customFormat="1">
      <c r="A72" s="890" t="s">
        <v>2054</v>
      </c>
      <c r="B72" s="1118">
        <v>454</v>
      </c>
      <c r="C72" s="1118">
        <v>4184811</v>
      </c>
      <c r="D72" s="1117" t="s">
        <v>2379</v>
      </c>
      <c r="E72" s="974">
        <v>732372.56</v>
      </c>
      <c r="F72" s="974" t="s">
        <v>567</v>
      </c>
      <c r="G72" s="293">
        <f>I72+H72</f>
        <v>44601.488904000005</v>
      </c>
      <c r="H72" s="201">
        <f>E72*$D$267</f>
        <v>44601.488904000005</v>
      </c>
      <c r="I72" s="201">
        <v>0</v>
      </c>
      <c r="J72" s="888">
        <f t="shared" ref="J72" si="36">IF(F72=$J$2,E72,0)</f>
        <v>0</v>
      </c>
      <c r="K72" s="293"/>
      <c r="L72" s="705"/>
      <c r="M72" s="201">
        <f t="shared" si="30"/>
        <v>0</v>
      </c>
      <c r="N72" s="293">
        <f t="shared" ref="N72" si="37">IF(F72=$N$2,E72-H72,0)</f>
        <v>687771.07109600003</v>
      </c>
      <c r="O72" s="542" t="s">
        <v>644</v>
      </c>
    </row>
    <row r="73" spans="1:15" s="955" customFormat="1">
      <c r="A73" s="890" t="s">
        <v>2475</v>
      </c>
      <c r="B73" s="1118">
        <v>454</v>
      </c>
      <c r="C73" s="1118">
        <v>4184515</v>
      </c>
      <c r="D73" s="1117" t="s">
        <v>2474</v>
      </c>
      <c r="E73" s="974"/>
      <c r="F73" s="974" t="s">
        <v>567</v>
      </c>
      <c r="G73" s="293">
        <f>IF(F73=$G$2,E73,0)</f>
        <v>0</v>
      </c>
      <c r="H73" s="201">
        <v>0</v>
      </c>
      <c r="I73" s="201">
        <f>G73-H73</f>
        <v>0</v>
      </c>
      <c r="J73" s="888">
        <f>IF(F73=$J$2,E73,0)</f>
        <v>0</v>
      </c>
      <c r="K73" s="293"/>
      <c r="L73" s="705"/>
      <c r="M73" s="201">
        <f>J73-L73</f>
        <v>0</v>
      </c>
      <c r="N73" s="293">
        <f>IF(F73=$N$2,E73-H73,0)</f>
        <v>0</v>
      </c>
      <c r="O73" s="542">
        <v>6</v>
      </c>
    </row>
    <row r="74" spans="1:15" s="955" customFormat="1">
      <c r="A74" s="890" t="s">
        <v>2658</v>
      </c>
      <c r="B74" s="1118">
        <v>454</v>
      </c>
      <c r="C74" s="1333">
        <v>4184126</v>
      </c>
      <c r="D74" s="1334" t="s">
        <v>2660</v>
      </c>
      <c r="E74" s="974">
        <v>1675736</v>
      </c>
      <c r="F74" s="1337" t="s">
        <v>565</v>
      </c>
      <c r="G74" s="293">
        <f>IF(F74=$G$2,E74,0)</f>
        <v>1675736</v>
      </c>
      <c r="H74" s="201">
        <v>0</v>
      </c>
      <c r="I74" s="201">
        <f>G74-H74</f>
        <v>1675736</v>
      </c>
      <c r="J74" s="888">
        <f>IF(F74=$J$2,E74,0)</f>
        <v>0</v>
      </c>
      <c r="K74" s="293"/>
      <c r="L74" s="705"/>
      <c r="M74" s="201">
        <f t="shared" ref="M74:M77" si="38">J74-L74</f>
        <v>0</v>
      </c>
      <c r="N74" s="293">
        <f t="shared" ref="N74:N75" si="39">IF(F74=$N$2,E74-H74,0)</f>
        <v>0</v>
      </c>
      <c r="O74" s="542">
        <v>4</v>
      </c>
    </row>
    <row r="75" spans="1:15" s="955" customFormat="1">
      <c r="A75" s="890" t="s">
        <v>2659</v>
      </c>
      <c r="B75" s="1118">
        <v>454</v>
      </c>
      <c r="C75" s="1335">
        <v>4184526</v>
      </c>
      <c r="D75" s="1334" t="s">
        <v>2661</v>
      </c>
      <c r="E75" s="974">
        <v>10440</v>
      </c>
      <c r="F75" s="974" t="s">
        <v>566</v>
      </c>
      <c r="G75" s="293">
        <f>IF(F75=$G$2,E75,0)</f>
        <v>0</v>
      </c>
      <c r="H75" s="201">
        <v>0</v>
      </c>
      <c r="I75" s="201">
        <f>G75-H75</f>
        <v>0</v>
      </c>
      <c r="J75" s="888">
        <f>IF(F75=$J$2,E75,0)</f>
        <v>10440</v>
      </c>
      <c r="K75" s="293"/>
      <c r="L75" s="705">
        <v>1861.8595907377</v>
      </c>
      <c r="M75" s="201">
        <f t="shared" si="38"/>
        <v>8578.1404092622997</v>
      </c>
      <c r="N75" s="293">
        <f t="shared" si="39"/>
        <v>0</v>
      </c>
      <c r="O75" s="542">
        <v>2</v>
      </c>
    </row>
    <row r="76" spans="1:15" s="955" customFormat="1">
      <c r="A76" s="1437" t="s">
        <v>2893</v>
      </c>
      <c r="B76" s="1438">
        <v>454</v>
      </c>
      <c r="C76" s="1440">
        <v>4197020</v>
      </c>
      <c r="D76" s="1439" t="s">
        <v>2894</v>
      </c>
      <c r="E76" s="974">
        <v>31296.36</v>
      </c>
      <c r="F76" s="974" t="s">
        <v>565</v>
      </c>
      <c r="G76" s="974">
        <f t="shared" ref="G76:G77" si="40">IF(F76=$G$2,E76,0)</f>
        <v>31296.36</v>
      </c>
      <c r="H76" s="705">
        <v>0</v>
      </c>
      <c r="I76" s="705">
        <f>G76-H76</f>
        <v>31296.36</v>
      </c>
      <c r="J76" s="974">
        <f t="shared" ref="J76:J77" si="41">IF(F76=$J$2,E76,0)</f>
        <v>0</v>
      </c>
      <c r="K76" s="974"/>
      <c r="L76" s="705"/>
      <c r="M76" s="705">
        <f t="shared" si="38"/>
        <v>0</v>
      </c>
      <c r="N76" s="974">
        <f t="shared" ref="N76:N77" si="42">IF(F76=$N$2,E76,0)</f>
        <v>0</v>
      </c>
      <c r="O76" s="1076">
        <v>4</v>
      </c>
    </row>
    <row r="77" spans="1:15" s="955" customFormat="1">
      <c r="A77" s="1437" t="s">
        <v>2895</v>
      </c>
      <c r="B77" s="1464">
        <v>454</v>
      </c>
      <c r="C77" s="1440">
        <v>6120090</v>
      </c>
      <c r="D77" s="1439" t="s">
        <v>2896</v>
      </c>
      <c r="E77" s="974">
        <v>-14104.72</v>
      </c>
      <c r="F77" s="974" t="s">
        <v>565</v>
      </c>
      <c r="G77" s="974">
        <f t="shared" si="40"/>
        <v>-14104.72</v>
      </c>
      <c r="H77" s="705">
        <v>0</v>
      </c>
      <c r="I77" s="705">
        <f>G77-H77</f>
        <v>-14104.72</v>
      </c>
      <c r="J77" s="974">
        <f t="shared" si="41"/>
        <v>0</v>
      </c>
      <c r="K77" s="974"/>
      <c r="L77" s="705"/>
      <c r="M77" s="705">
        <f t="shared" si="38"/>
        <v>0</v>
      </c>
      <c r="N77" s="974">
        <f t="shared" si="42"/>
        <v>0</v>
      </c>
      <c r="O77" s="1076">
        <v>4</v>
      </c>
    </row>
    <row r="78" spans="1:15" s="955" customFormat="1">
      <c r="A78" s="1437"/>
      <c r="B78" s="1464"/>
      <c r="C78" s="1472"/>
      <c r="D78" s="1439"/>
      <c r="E78" s="974"/>
      <c r="F78" s="974"/>
      <c r="G78" s="1461"/>
      <c r="H78" s="1463"/>
      <c r="I78" s="1463"/>
      <c r="J78" s="1461"/>
      <c r="K78" s="1461"/>
      <c r="L78" s="1463"/>
      <c r="M78" s="1463"/>
      <c r="N78" s="1461"/>
      <c r="O78" s="1359"/>
    </row>
    <row r="79" spans="1:15" s="955" customFormat="1">
      <c r="A79" s="1437"/>
      <c r="B79" s="1464"/>
      <c r="C79" s="1472"/>
      <c r="D79" s="1439"/>
      <c r="E79" s="974"/>
      <c r="F79" s="974"/>
      <c r="G79" s="1461"/>
      <c r="H79" s="1463"/>
      <c r="I79" s="1463"/>
      <c r="J79" s="1461"/>
      <c r="K79" s="1461"/>
      <c r="L79" s="1463"/>
      <c r="M79" s="1463"/>
      <c r="N79" s="1461"/>
      <c r="O79" s="1359"/>
    </row>
    <row r="80" spans="1:15" ht="13">
      <c r="A80" s="202">
        <v>11</v>
      </c>
      <c r="B80" s="1540" t="s">
        <v>674</v>
      </c>
      <c r="C80" s="1538"/>
      <c r="D80" s="1539"/>
      <c r="E80" s="305">
        <f>SUM(E47:E77)</f>
        <v>80970288.529999986</v>
      </c>
      <c r="F80" s="314"/>
      <c r="G80" s="305">
        <f>SUM(G47:G77)</f>
        <v>54229793.752541997</v>
      </c>
      <c r="H80" s="305">
        <f>SUM(H47:H77)</f>
        <v>3000963.3147419998</v>
      </c>
      <c r="I80" s="305">
        <f>SUM(I47:I77)</f>
        <v>51228830.437799998</v>
      </c>
      <c r="J80" s="305">
        <f>SUM(J47:J77)</f>
        <v>24667650.919999998</v>
      </c>
      <c r="K80" s="314"/>
      <c r="L80" s="305">
        <f>SUM(L47:L77)</f>
        <v>5772248.3919659751</v>
      </c>
      <c r="M80" s="305">
        <f>SUM(M47:M77)</f>
        <v>18895402.528034024</v>
      </c>
      <c r="N80" s="305">
        <f>SUM(N47:N77)</f>
        <v>2072843.8574580001</v>
      </c>
      <c r="O80" s="191"/>
    </row>
    <row r="81" spans="1:15" ht="24.75" customHeight="1">
      <c r="A81" s="202">
        <v>12</v>
      </c>
      <c r="B81" s="1532" t="s">
        <v>1225</v>
      </c>
      <c r="C81" s="1533"/>
      <c r="D81" s="1534"/>
      <c r="E81" s="1073">
        <v>80970289</v>
      </c>
      <c r="F81" s="304"/>
      <c r="G81" s="320"/>
      <c r="H81" s="304"/>
      <c r="I81" s="304"/>
      <c r="J81" s="292"/>
      <c r="K81" s="304"/>
      <c r="L81" s="292"/>
      <c r="M81" s="292"/>
      <c r="N81" s="292"/>
      <c r="O81" s="189"/>
    </row>
    <row r="82" spans="1:15" ht="13">
      <c r="A82" s="205"/>
      <c r="B82" s="206"/>
      <c r="C82" s="207"/>
      <c r="D82" s="208"/>
      <c r="E82" s="292"/>
      <c r="F82" s="292"/>
      <c r="G82" s="292"/>
      <c r="H82" s="304"/>
      <c r="I82" s="304"/>
      <c r="J82" s="292"/>
      <c r="K82" s="304"/>
      <c r="L82" s="292"/>
      <c r="M82" s="292"/>
      <c r="N82" s="292"/>
      <c r="O82" s="189"/>
    </row>
    <row r="83" spans="1:15">
      <c r="A83" s="202" t="s">
        <v>675</v>
      </c>
      <c r="B83" s="198">
        <v>456</v>
      </c>
      <c r="C83" s="203" t="s">
        <v>679</v>
      </c>
      <c r="D83" s="199" t="s">
        <v>680</v>
      </c>
      <c r="E83" s="1369">
        <v>2642322.15</v>
      </c>
      <c r="F83" s="1369" t="s">
        <v>565</v>
      </c>
      <c r="G83" s="1371">
        <f t="shared" ref="G83:G91" si="43">IF(F83=$G$2,E83,0)</f>
        <v>2642322.15</v>
      </c>
      <c r="H83" s="1372">
        <v>0</v>
      </c>
      <c r="I83" s="1372">
        <f t="shared" ref="I83:I91" si="44">G83-H83</f>
        <v>2642322.15</v>
      </c>
      <c r="J83" s="1371">
        <f t="shared" ref="J83:J98" si="45">IF(F83=$J$2,E83,0)</f>
        <v>0</v>
      </c>
      <c r="K83" s="1371"/>
      <c r="L83" s="1373"/>
      <c r="M83" s="1372">
        <f t="shared" ref="M83:M98" si="46">J83-L83</f>
        <v>0</v>
      </c>
      <c r="N83" s="1371">
        <f t="shared" ref="N83:N91" si="47">IF(F83=$N$2,E83,0)</f>
        <v>0</v>
      </c>
      <c r="O83" s="1372">
        <v>1</v>
      </c>
    </row>
    <row r="84" spans="1:15">
      <c r="A84" s="202" t="s">
        <v>676</v>
      </c>
      <c r="B84" s="198">
        <v>456</v>
      </c>
      <c r="C84" s="203" t="s">
        <v>681</v>
      </c>
      <c r="D84" s="199" t="s">
        <v>682</v>
      </c>
      <c r="E84" s="1369"/>
      <c r="F84" s="1369" t="s">
        <v>565</v>
      </c>
      <c r="G84" s="1371">
        <f t="shared" si="43"/>
        <v>0</v>
      </c>
      <c r="H84" s="1372">
        <v>0</v>
      </c>
      <c r="I84" s="1372">
        <f t="shared" si="44"/>
        <v>0</v>
      </c>
      <c r="J84" s="1371">
        <f t="shared" si="45"/>
        <v>0</v>
      </c>
      <c r="K84" s="1371"/>
      <c r="L84" s="1373"/>
      <c r="M84" s="1372">
        <f t="shared" si="46"/>
        <v>0</v>
      </c>
      <c r="N84" s="1371">
        <f t="shared" si="47"/>
        <v>0</v>
      </c>
      <c r="O84" s="1372">
        <v>4</v>
      </c>
    </row>
    <row r="85" spans="1:15">
      <c r="A85" s="202" t="s">
        <v>677</v>
      </c>
      <c r="B85" s="198">
        <v>456</v>
      </c>
      <c r="C85" s="203" t="s">
        <v>683</v>
      </c>
      <c r="D85" s="199" t="s">
        <v>684</v>
      </c>
      <c r="E85" s="1369">
        <v>1231471.45</v>
      </c>
      <c r="F85" s="1369" t="s">
        <v>565</v>
      </c>
      <c r="G85" s="1371">
        <f t="shared" si="43"/>
        <v>1231471.45</v>
      </c>
      <c r="H85" s="1372">
        <v>0</v>
      </c>
      <c r="I85" s="1372">
        <f t="shared" si="44"/>
        <v>1231471.45</v>
      </c>
      <c r="J85" s="1371">
        <f t="shared" si="45"/>
        <v>0</v>
      </c>
      <c r="K85" s="1371"/>
      <c r="L85" s="1373"/>
      <c r="M85" s="1372">
        <f t="shared" si="46"/>
        <v>0</v>
      </c>
      <c r="N85" s="1371">
        <f t="shared" si="47"/>
        <v>0</v>
      </c>
      <c r="O85" s="1372">
        <v>4</v>
      </c>
    </row>
    <row r="86" spans="1:15">
      <c r="A86" s="202" t="s">
        <v>678</v>
      </c>
      <c r="B86" s="198">
        <v>456</v>
      </c>
      <c r="C86" s="203" t="s">
        <v>686</v>
      </c>
      <c r="D86" s="199" t="s">
        <v>687</v>
      </c>
      <c r="E86" s="1369"/>
      <c r="F86" s="1369" t="s">
        <v>565</v>
      </c>
      <c r="G86" s="1371">
        <f t="shared" si="43"/>
        <v>0</v>
      </c>
      <c r="H86" s="1372">
        <v>0</v>
      </c>
      <c r="I86" s="1372">
        <f t="shared" si="44"/>
        <v>0</v>
      </c>
      <c r="J86" s="1371">
        <f t="shared" si="45"/>
        <v>0</v>
      </c>
      <c r="K86" s="1371"/>
      <c r="L86" s="1373"/>
      <c r="M86" s="1372">
        <f t="shared" si="46"/>
        <v>0</v>
      </c>
      <c r="N86" s="1371">
        <f t="shared" si="47"/>
        <v>0</v>
      </c>
      <c r="O86" s="1372">
        <v>3</v>
      </c>
    </row>
    <row r="87" spans="1:15">
      <c r="A87" s="197" t="s">
        <v>685</v>
      </c>
      <c r="B87" s="198">
        <v>456</v>
      </c>
      <c r="C87" s="199" t="s">
        <v>689</v>
      </c>
      <c r="D87" s="199" t="s">
        <v>690</v>
      </c>
      <c r="E87" s="1369"/>
      <c r="F87" s="1369" t="s">
        <v>565</v>
      </c>
      <c r="G87" s="1371">
        <f t="shared" si="43"/>
        <v>0</v>
      </c>
      <c r="H87" s="1372">
        <v>0</v>
      </c>
      <c r="I87" s="1372">
        <f t="shared" si="44"/>
        <v>0</v>
      </c>
      <c r="J87" s="1371">
        <f t="shared" si="45"/>
        <v>0</v>
      </c>
      <c r="K87" s="1371"/>
      <c r="L87" s="1373"/>
      <c r="M87" s="1372">
        <f t="shared" si="46"/>
        <v>0</v>
      </c>
      <c r="N87" s="1371">
        <f t="shared" si="47"/>
        <v>0</v>
      </c>
      <c r="O87" s="1372">
        <v>1</v>
      </c>
    </row>
    <row r="88" spans="1:15">
      <c r="A88" s="197" t="s">
        <v>688</v>
      </c>
      <c r="B88" s="198">
        <v>456</v>
      </c>
      <c r="C88" s="199" t="s">
        <v>692</v>
      </c>
      <c r="D88" s="199" t="s">
        <v>693</v>
      </c>
      <c r="E88" s="1369">
        <v>1636308.89</v>
      </c>
      <c r="F88" s="1369" t="s">
        <v>565</v>
      </c>
      <c r="G88" s="1371">
        <f t="shared" si="43"/>
        <v>1636308.89</v>
      </c>
      <c r="H88" s="1372">
        <v>0</v>
      </c>
      <c r="I88" s="1372">
        <f t="shared" si="44"/>
        <v>1636308.89</v>
      </c>
      <c r="J88" s="1371">
        <f t="shared" si="45"/>
        <v>0</v>
      </c>
      <c r="K88" s="1371"/>
      <c r="L88" s="1373"/>
      <c r="M88" s="1372">
        <f t="shared" si="46"/>
        <v>0</v>
      </c>
      <c r="N88" s="1371">
        <f t="shared" si="47"/>
        <v>0</v>
      </c>
      <c r="O88" s="1372">
        <v>1</v>
      </c>
    </row>
    <row r="89" spans="1:15">
      <c r="A89" s="197" t="s">
        <v>691</v>
      </c>
      <c r="B89" s="198">
        <v>456</v>
      </c>
      <c r="C89" s="199" t="s">
        <v>695</v>
      </c>
      <c r="D89" s="199" t="s">
        <v>696</v>
      </c>
      <c r="E89" s="1369"/>
      <c r="F89" s="1369" t="s">
        <v>565</v>
      </c>
      <c r="G89" s="1371">
        <f t="shared" si="43"/>
        <v>0</v>
      </c>
      <c r="H89" s="1372">
        <v>0</v>
      </c>
      <c r="I89" s="1372">
        <f t="shared" si="44"/>
        <v>0</v>
      </c>
      <c r="J89" s="1371">
        <f t="shared" si="45"/>
        <v>0</v>
      </c>
      <c r="K89" s="1371"/>
      <c r="L89" s="1373"/>
      <c r="M89" s="1372">
        <f t="shared" si="46"/>
        <v>0</v>
      </c>
      <c r="N89" s="1371">
        <f t="shared" si="47"/>
        <v>0</v>
      </c>
      <c r="O89" s="1372">
        <v>3</v>
      </c>
    </row>
    <row r="90" spans="1:15">
      <c r="A90" s="197" t="s">
        <v>694</v>
      </c>
      <c r="B90" s="198">
        <v>456</v>
      </c>
      <c r="C90" s="198">
        <v>4186142</v>
      </c>
      <c r="D90" s="199" t="s">
        <v>1369</v>
      </c>
      <c r="E90" s="1369">
        <v>6855.34</v>
      </c>
      <c r="F90" s="1369" t="s">
        <v>565</v>
      </c>
      <c r="G90" s="1371">
        <f t="shared" si="43"/>
        <v>6855.34</v>
      </c>
      <c r="H90" s="1372">
        <v>0</v>
      </c>
      <c r="I90" s="1372">
        <f t="shared" si="44"/>
        <v>6855.34</v>
      </c>
      <c r="J90" s="1371">
        <f t="shared" si="45"/>
        <v>0</v>
      </c>
      <c r="K90" s="1371"/>
      <c r="L90" s="1373"/>
      <c r="M90" s="1372">
        <f t="shared" si="46"/>
        <v>0</v>
      </c>
      <c r="N90" s="1371">
        <f t="shared" si="47"/>
        <v>0</v>
      </c>
      <c r="O90" s="1372">
        <v>4</v>
      </c>
    </row>
    <row r="91" spans="1:15">
      <c r="A91" s="197" t="s">
        <v>697</v>
      </c>
      <c r="B91" s="198">
        <v>456</v>
      </c>
      <c r="C91" s="199" t="s">
        <v>698</v>
      </c>
      <c r="D91" s="199" t="s">
        <v>699</v>
      </c>
      <c r="E91" s="1369"/>
      <c r="F91" s="1369" t="s">
        <v>565</v>
      </c>
      <c r="G91" s="1371">
        <f t="shared" si="43"/>
        <v>0</v>
      </c>
      <c r="H91" s="1372">
        <f>E91*$D$261</f>
        <v>0</v>
      </c>
      <c r="I91" s="1372">
        <f t="shared" si="44"/>
        <v>0</v>
      </c>
      <c r="J91" s="1371">
        <f t="shared" si="45"/>
        <v>0</v>
      </c>
      <c r="K91" s="1371"/>
      <c r="L91" s="1373"/>
      <c r="M91" s="1372">
        <f t="shared" si="46"/>
        <v>0</v>
      </c>
      <c r="N91" s="1371">
        <f t="shared" si="47"/>
        <v>0</v>
      </c>
      <c r="O91" s="1372">
        <v>7</v>
      </c>
    </row>
    <row r="92" spans="1:15">
      <c r="A92" s="197" t="s">
        <v>700</v>
      </c>
      <c r="B92" s="198">
        <v>456</v>
      </c>
      <c r="C92" s="199" t="s">
        <v>701</v>
      </c>
      <c r="D92" s="199" t="s">
        <v>702</v>
      </c>
      <c r="E92" s="1369">
        <v>6574.89</v>
      </c>
      <c r="F92" s="1369" t="s">
        <v>567</v>
      </c>
      <c r="G92" s="1380">
        <f>I92+H92</f>
        <v>400.41080100000005</v>
      </c>
      <c r="H92" s="1381">
        <f>E92*$D$267</f>
        <v>400.41080100000005</v>
      </c>
      <c r="I92" s="1381">
        <v>0</v>
      </c>
      <c r="J92" s="1371">
        <f t="shared" si="45"/>
        <v>0</v>
      </c>
      <c r="K92" s="1371"/>
      <c r="L92" s="1373"/>
      <c r="M92" s="1372">
        <f t="shared" si="46"/>
        <v>0</v>
      </c>
      <c r="N92" s="1371">
        <f>IF(F92=$N$2,E92-H92,0)</f>
        <v>6174.4791990000003</v>
      </c>
      <c r="O92" s="1372" t="s">
        <v>644</v>
      </c>
    </row>
    <row r="93" spans="1:15">
      <c r="A93" s="197" t="s">
        <v>703</v>
      </c>
      <c r="B93" s="198">
        <v>456</v>
      </c>
      <c r="C93" s="199" t="s">
        <v>704</v>
      </c>
      <c r="D93" s="199" t="s">
        <v>705</v>
      </c>
      <c r="E93" s="1369">
        <v>1688.14</v>
      </c>
      <c r="F93" s="1369" t="s">
        <v>565</v>
      </c>
      <c r="G93" s="1371">
        <f t="shared" ref="G93:G132" si="48">IF(F93=$G$2,E93,0)</f>
        <v>1688.14</v>
      </c>
      <c r="H93" s="1372">
        <v>0</v>
      </c>
      <c r="I93" s="1372">
        <f t="shared" ref="I93:I98" si="49">G93-H93</f>
        <v>1688.14</v>
      </c>
      <c r="J93" s="1371">
        <f t="shared" si="45"/>
        <v>0</v>
      </c>
      <c r="K93" s="1371"/>
      <c r="L93" s="1373"/>
      <c r="M93" s="1372">
        <f t="shared" si="46"/>
        <v>0</v>
      </c>
      <c r="N93" s="1371">
        <f t="shared" ref="N93:N98" si="50">IF(F93=$N$2,E93,0)</f>
        <v>0</v>
      </c>
      <c r="O93" s="1372">
        <v>4</v>
      </c>
    </row>
    <row r="94" spans="1:15">
      <c r="A94" s="197" t="s">
        <v>706</v>
      </c>
      <c r="B94" s="198">
        <v>456</v>
      </c>
      <c r="C94" s="199" t="s">
        <v>707</v>
      </c>
      <c r="D94" s="199" t="s">
        <v>708</v>
      </c>
      <c r="E94" s="1369">
        <v>16942.400000000001</v>
      </c>
      <c r="F94" s="1369" t="s">
        <v>565</v>
      </c>
      <c r="G94" s="1371">
        <f t="shared" si="48"/>
        <v>16942.400000000001</v>
      </c>
      <c r="H94" s="1372">
        <v>0</v>
      </c>
      <c r="I94" s="1372">
        <f t="shared" si="49"/>
        <v>16942.400000000001</v>
      </c>
      <c r="J94" s="1371">
        <f t="shared" si="45"/>
        <v>0</v>
      </c>
      <c r="K94" s="1371"/>
      <c r="L94" s="1373"/>
      <c r="M94" s="1372">
        <f t="shared" si="46"/>
        <v>0</v>
      </c>
      <c r="N94" s="1371">
        <f t="shared" si="50"/>
        <v>0</v>
      </c>
      <c r="O94" s="1372">
        <v>4</v>
      </c>
    </row>
    <row r="95" spans="1:15">
      <c r="A95" s="197" t="s">
        <v>709</v>
      </c>
      <c r="B95" s="198">
        <v>456</v>
      </c>
      <c r="C95" s="199" t="s">
        <v>710</v>
      </c>
      <c r="D95" s="199" t="s">
        <v>711</v>
      </c>
      <c r="E95" s="1369">
        <v>5119.41</v>
      </c>
      <c r="F95" s="1369" t="s">
        <v>565</v>
      </c>
      <c r="G95" s="1371">
        <f t="shared" si="48"/>
        <v>5119.41</v>
      </c>
      <c r="H95" s="1372">
        <v>0</v>
      </c>
      <c r="I95" s="1372">
        <f t="shared" si="49"/>
        <v>5119.41</v>
      </c>
      <c r="J95" s="1371">
        <f t="shared" si="45"/>
        <v>0</v>
      </c>
      <c r="K95" s="1371"/>
      <c r="L95" s="1373"/>
      <c r="M95" s="1372">
        <f t="shared" si="46"/>
        <v>0</v>
      </c>
      <c r="N95" s="1371">
        <f t="shared" si="50"/>
        <v>0</v>
      </c>
      <c r="O95" s="1372">
        <v>4</v>
      </c>
    </row>
    <row r="96" spans="1:15">
      <c r="A96" s="197" t="s">
        <v>712</v>
      </c>
      <c r="B96" s="198">
        <v>456</v>
      </c>
      <c r="C96" s="199" t="s">
        <v>713</v>
      </c>
      <c r="D96" s="199" t="s">
        <v>714</v>
      </c>
      <c r="E96" s="1369">
        <v>1158.6600000000001</v>
      </c>
      <c r="F96" s="1369" t="s">
        <v>565</v>
      </c>
      <c r="G96" s="1371">
        <f t="shared" si="48"/>
        <v>1158.6600000000001</v>
      </c>
      <c r="H96" s="1372">
        <v>0</v>
      </c>
      <c r="I96" s="1372">
        <f t="shared" si="49"/>
        <v>1158.6600000000001</v>
      </c>
      <c r="J96" s="1371">
        <f t="shared" si="45"/>
        <v>0</v>
      </c>
      <c r="K96" s="1371"/>
      <c r="L96" s="1373"/>
      <c r="M96" s="1372">
        <f t="shared" si="46"/>
        <v>0</v>
      </c>
      <c r="N96" s="1371">
        <f t="shared" si="50"/>
        <v>0</v>
      </c>
      <c r="O96" s="1372">
        <v>4</v>
      </c>
    </row>
    <row r="97" spans="1:15">
      <c r="A97" s="197" t="s">
        <v>715</v>
      </c>
      <c r="B97" s="198">
        <v>456</v>
      </c>
      <c r="C97" s="199" t="s">
        <v>716</v>
      </c>
      <c r="D97" s="199" t="s">
        <v>717</v>
      </c>
      <c r="E97" s="1369">
        <v>985.91</v>
      </c>
      <c r="F97" s="1369" t="s">
        <v>565</v>
      </c>
      <c r="G97" s="1371">
        <f t="shared" si="48"/>
        <v>985.91</v>
      </c>
      <c r="H97" s="1372">
        <v>0</v>
      </c>
      <c r="I97" s="1372">
        <f t="shared" si="49"/>
        <v>985.91</v>
      </c>
      <c r="J97" s="1371">
        <f t="shared" si="45"/>
        <v>0</v>
      </c>
      <c r="K97" s="1371"/>
      <c r="L97" s="1373"/>
      <c r="M97" s="1372">
        <f t="shared" si="46"/>
        <v>0</v>
      </c>
      <c r="N97" s="1371">
        <f t="shared" si="50"/>
        <v>0</v>
      </c>
      <c r="O97" s="1372">
        <v>4</v>
      </c>
    </row>
    <row r="98" spans="1:15">
      <c r="A98" s="197" t="s">
        <v>718</v>
      </c>
      <c r="B98" s="198">
        <v>456</v>
      </c>
      <c r="C98" s="199" t="s">
        <v>719</v>
      </c>
      <c r="D98" s="199" t="s">
        <v>720</v>
      </c>
      <c r="E98" s="1369">
        <v>208656</v>
      </c>
      <c r="F98" s="1369" t="s">
        <v>565</v>
      </c>
      <c r="G98" s="1371">
        <f t="shared" si="48"/>
        <v>208656</v>
      </c>
      <c r="H98" s="1372">
        <v>0</v>
      </c>
      <c r="I98" s="1372">
        <f t="shared" si="49"/>
        <v>208656</v>
      </c>
      <c r="J98" s="1371">
        <f t="shared" si="45"/>
        <v>0</v>
      </c>
      <c r="K98" s="1371"/>
      <c r="L98" s="1373"/>
      <c r="M98" s="1372">
        <f t="shared" si="46"/>
        <v>0</v>
      </c>
      <c r="N98" s="1371">
        <f t="shared" si="50"/>
        <v>0</v>
      </c>
      <c r="O98" s="1372">
        <v>4</v>
      </c>
    </row>
    <row r="99" spans="1:15">
      <c r="A99" s="197" t="s">
        <v>721</v>
      </c>
      <c r="B99" s="198">
        <v>456</v>
      </c>
      <c r="C99" s="199" t="s">
        <v>722</v>
      </c>
      <c r="D99" s="199" t="s">
        <v>723</v>
      </c>
      <c r="E99" s="1363">
        <v>862022.74</v>
      </c>
      <c r="F99" s="1369" t="s">
        <v>566</v>
      </c>
      <c r="G99" s="1371">
        <f t="shared" si="48"/>
        <v>0</v>
      </c>
      <c r="H99" s="1372">
        <v>0</v>
      </c>
      <c r="I99" s="1372">
        <f t="shared" ref="I99:I109" si="51">G99-H99</f>
        <v>0</v>
      </c>
      <c r="J99" s="1371">
        <f t="shared" ref="J99:J109" si="52">IF(F99=$J$2,E99,0)</f>
        <v>862022.74</v>
      </c>
      <c r="K99" s="1374" t="s">
        <v>607</v>
      </c>
      <c r="L99" s="1250">
        <v>514093.75382163399</v>
      </c>
      <c r="M99" s="1372">
        <f t="shared" ref="M99:M109" si="53">J99-L99</f>
        <v>347928.986178366</v>
      </c>
      <c r="N99" s="1371">
        <f t="shared" ref="N99:N109" si="54">IF(F99=$N$2,E99,0)</f>
        <v>0</v>
      </c>
      <c r="O99" s="1372">
        <v>2</v>
      </c>
    </row>
    <row r="100" spans="1:15">
      <c r="A100" s="197" t="s">
        <v>724</v>
      </c>
      <c r="B100" s="198">
        <v>456</v>
      </c>
      <c r="C100" s="199" t="s">
        <v>725</v>
      </c>
      <c r="D100" s="199" t="s">
        <v>726</v>
      </c>
      <c r="E100" s="1369">
        <v>151967.13</v>
      </c>
      <c r="F100" s="1369" t="s">
        <v>566</v>
      </c>
      <c r="G100" s="1371">
        <f t="shared" si="48"/>
        <v>0</v>
      </c>
      <c r="H100" s="1372">
        <v>0</v>
      </c>
      <c r="I100" s="1372">
        <f t="shared" si="51"/>
        <v>0</v>
      </c>
      <c r="J100" s="1371">
        <f t="shared" si="52"/>
        <v>151967.13</v>
      </c>
      <c r="K100" s="1374" t="s">
        <v>607</v>
      </c>
      <c r="L100" s="1382">
        <v>39317.032314591801</v>
      </c>
      <c r="M100" s="1372">
        <f t="shared" si="53"/>
        <v>112650.0976854082</v>
      </c>
      <c r="N100" s="1371">
        <f t="shared" si="54"/>
        <v>0</v>
      </c>
      <c r="O100" s="1372">
        <v>2</v>
      </c>
    </row>
    <row r="101" spans="1:15">
      <c r="A101" s="197" t="s">
        <v>727</v>
      </c>
      <c r="B101" s="198">
        <v>456</v>
      </c>
      <c r="C101" s="199" t="s">
        <v>728</v>
      </c>
      <c r="D101" s="199" t="s">
        <v>729</v>
      </c>
      <c r="E101" s="1369">
        <v>101300</v>
      </c>
      <c r="F101" s="1369" t="s">
        <v>566</v>
      </c>
      <c r="G101" s="1371">
        <f t="shared" si="48"/>
        <v>0</v>
      </c>
      <c r="H101" s="1372">
        <v>0</v>
      </c>
      <c r="I101" s="1372">
        <f t="shared" si="51"/>
        <v>0</v>
      </c>
      <c r="J101" s="1371">
        <f t="shared" si="52"/>
        <v>101300</v>
      </c>
      <c r="K101" s="1374" t="s">
        <v>607</v>
      </c>
      <c r="L101" s="1373">
        <v>9667.2022743948</v>
      </c>
      <c r="M101" s="1372">
        <f t="shared" si="53"/>
        <v>91632.797725605196</v>
      </c>
      <c r="N101" s="1371">
        <f t="shared" si="54"/>
        <v>0</v>
      </c>
      <c r="O101" s="1372">
        <v>2</v>
      </c>
    </row>
    <row r="102" spans="1:15">
      <c r="A102" s="890" t="s">
        <v>730</v>
      </c>
      <c r="B102" s="198">
        <v>456</v>
      </c>
      <c r="C102" s="199" t="s">
        <v>732</v>
      </c>
      <c r="D102" s="199" t="s">
        <v>733</v>
      </c>
      <c r="E102" s="1369"/>
      <c r="F102" s="1369" t="s">
        <v>566</v>
      </c>
      <c r="G102" s="1371">
        <f t="shared" si="48"/>
        <v>0</v>
      </c>
      <c r="H102" s="1372">
        <v>0</v>
      </c>
      <c r="I102" s="1372">
        <f t="shared" si="51"/>
        <v>0</v>
      </c>
      <c r="J102" s="1371">
        <f t="shared" si="52"/>
        <v>0</v>
      </c>
      <c r="K102" s="1374" t="s">
        <v>607</v>
      </c>
      <c r="L102" s="1373"/>
      <c r="M102" s="1372">
        <f t="shared" si="53"/>
        <v>0</v>
      </c>
      <c r="N102" s="1371">
        <f t="shared" si="54"/>
        <v>0</v>
      </c>
      <c r="O102" s="1372">
        <v>2</v>
      </c>
    </row>
    <row r="103" spans="1:15">
      <c r="A103" s="890" t="s">
        <v>731</v>
      </c>
      <c r="B103" s="198">
        <v>456</v>
      </c>
      <c r="C103" s="199" t="s">
        <v>735</v>
      </c>
      <c r="D103" s="199" t="s">
        <v>736</v>
      </c>
      <c r="E103" s="1369"/>
      <c r="F103" s="1369" t="s">
        <v>566</v>
      </c>
      <c r="G103" s="1371">
        <f t="shared" si="48"/>
        <v>0</v>
      </c>
      <c r="H103" s="1372">
        <v>0</v>
      </c>
      <c r="I103" s="1372">
        <f t="shared" si="51"/>
        <v>0</v>
      </c>
      <c r="J103" s="1371">
        <f t="shared" si="52"/>
        <v>0</v>
      </c>
      <c r="K103" s="1374" t="s">
        <v>607</v>
      </c>
      <c r="L103" s="1373"/>
      <c r="M103" s="1372">
        <f t="shared" si="53"/>
        <v>0</v>
      </c>
      <c r="N103" s="1371">
        <f t="shared" si="54"/>
        <v>0</v>
      </c>
      <c r="O103" s="1372">
        <v>2</v>
      </c>
    </row>
    <row r="104" spans="1:15">
      <c r="A104" s="890" t="s">
        <v>734</v>
      </c>
      <c r="B104" s="198">
        <v>456</v>
      </c>
      <c r="C104" s="199" t="s">
        <v>738</v>
      </c>
      <c r="D104" s="199" t="s">
        <v>739</v>
      </c>
      <c r="E104" s="1369">
        <v>275</v>
      </c>
      <c r="F104" s="1369" t="s">
        <v>566</v>
      </c>
      <c r="G104" s="1371">
        <f t="shared" si="48"/>
        <v>0</v>
      </c>
      <c r="H104" s="1372">
        <v>0</v>
      </c>
      <c r="I104" s="1372">
        <f t="shared" si="51"/>
        <v>0</v>
      </c>
      <c r="J104" s="1371">
        <f t="shared" si="52"/>
        <v>275</v>
      </c>
      <c r="K104" s="1374" t="s">
        <v>607</v>
      </c>
      <c r="L104" s="1373">
        <v>275</v>
      </c>
      <c r="M104" s="1372">
        <f t="shared" si="53"/>
        <v>0</v>
      </c>
      <c r="N104" s="1371">
        <f t="shared" si="54"/>
        <v>0</v>
      </c>
      <c r="O104" s="1372">
        <v>2</v>
      </c>
    </row>
    <row r="105" spans="1:15">
      <c r="A105" s="890" t="s">
        <v>737</v>
      </c>
      <c r="B105" s="198">
        <v>456</v>
      </c>
      <c r="C105" s="199" t="s">
        <v>740</v>
      </c>
      <c r="D105" s="199" t="s">
        <v>741</v>
      </c>
      <c r="E105" s="1369"/>
      <c r="F105" s="1369" t="s">
        <v>566</v>
      </c>
      <c r="G105" s="1371">
        <f t="shared" si="48"/>
        <v>0</v>
      </c>
      <c r="H105" s="1372">
        <v>0</v>
      </c>
      <c r="I105" s="1372">
        <f t="shared" si="51"/>
        <v>0</v>
      </c>
      <c r="J105" s="1371">
        <f t="shared" si="52"/>
        <v>0</v>
      </c>
      <c r="K105" s="1374" t="s">
        <v>551</v>
      </c>
      <c r="L105" s="1373"/>
      <c r="M105" s="1372">
        <f t="shared" si="53"/>
        <v>0</v>
      </c>
      <c r="N105" s="1371">
        <f t="shared" si="54"/>
        <v>0</v>
      </c>
      <c r="O105" s="1372">
        <v>2</v>
      </c>
    </row>
    <row r="106" spans="1:15">
      <c r="A106" s="1089" t="s">
        <v>804</v>
      </c>
      <c r="B106" s="198">
        <v>456</v>
      </c>
      <c r="C106" s="199" t="s">
        <v>743</v>
      </c>
      <c r="D106" s="199" t="s">
        <v>744</v>
      </c>
      <c r="E106" s="1369"/>
      <c r="F106" s="1369" t="s">
        <v>566</v>
      </c>
      <c r="G106" s="1371">
        <f t="shared" si="48"/>
        <v>0</v>
      </c>
      <c r="H106" s="1372">
        <v>0</v>
      </c>
      <c r="I106" s="1372">
        <f t="shared" si="51"/>
        <v>0</v>
      </c>
      <c r="J106" s="1371">
        <f t="shared" si="52"/>
        <v>0</v>
      </c>
      <c r="K106" s="1374" t="s">
        <v>551</v>
      </c>
      <c r="L106" s="1373"/>
      <c r="M106" s="1372">
        <f t="shared" si="53"/>
        <v>0</v>
      </c>
      <c r="N106" s="1371">
        <f t="shared" si="54"/>
        <v>0</v>
      </c>
      <c r="O106" s="1372">
        <v>2</v>
      </c>
    </row>
    <row r="107" spans="1:15">
      <c r="A107" s="1088" t="s">
        <v>807</v>
      </c>
      <c r="B107" s="198">
        <v>456</v>
      </c>
      <c r="C107" s="199" t="s">
        <v>746</v>
      </c>
      <c r="D107" s="199" t="s">
        <v>747</v>
      </c>
      <c r="E107" s="1369"/>
      <c r="F107" s="1369" t="s">
        <v>566</v>
      </c>
      <c r="G107" s="1371">
        <f t="shared" si="48"/>
        <v>0</v>
      </c>
      <c r="H107" s="1372">
        <v>0</v>
      </c>
      <c r="I107" s="1372">
        <f t="shared" si="51"/>
        <v>0</v>
      </c>
      <c r="J107" s="1371">
        <f t="shared" si="52"/>
        <v>0</v>
      </c>
      <c r="K107" s="1374" t="s">
        <v>551</v>
      </c>
      <c r="L107" s="1373"/>
      <c r="M107" s="1372">
        <f t="shared" si="53"/>
        <v>0</v>
      </c>
      <c r="N107" s="1371">
        <f t="shared" si="54"/>
        <v>0</v>
      </c>
      <c r="O107" s="1372">
        <v>2</v>
      </c>
    </row>
    <row r="108" spans="1:15">
      <c r="A108" s="1089" t="s">
        <v>810</v>
      </c>
      <c r="B108" s="198">
        <v>456</v>
      </c>
      <c r="C108" s="199" t="s">
        <v>749</v>
      </c>
      <c r="D108" s="199" t="s">
        <v>750</v>
      </c>
      <c r="E108" s="1369"/>
      <c r="F108" s="1369" t="s">
        <v>566</v>
      </c>
      <c r="G108" s="1371">
        <f t="shared" si="48"/>
        <v>0</v>
      </c>
      <c r="H108" s="1372">
        <v>0</v>
      </c>
      <c r="I108" s="1372">
        <f t="shared" si="51"/>
        <v>0</v>
      </c>
      <c r="J108" s="1371">
        <f t="shared" si="52"/>
        <v>0</v>
      </c>
      <c r="K108" s="1374" t="s">
        <v>551</v>
      </c>
      <c r="L108" s="1373"/>
      <c r="M108" s="1372">
        <f t="shared" si="53"/>
        <v>0</v>
      </c>
      <c r="N108" s="1371">
        <f t="shared" si="54"/>
        <v>0</v>
      </c>
      <c r="O108" s="1372">
        <v>2</v>
      </c>
    </row>
    <row r="109" spans="1:15">
      <c r="A109" s="197" t="s">
        <v>742</v>
      </c>
      <c r="B109" s="198">
        <v>456</v>
      </c>
      <c r="C109" s="199" t="s">
        <v>752</v>
      </c>
      <c r="D109" s="199" t="s">
        <v>753</v>
      </c>
      <c r="E109" s="1369"/>
      <c r="F109" s="1369" t="s">
        <v>566</v>
      </c>
      <c r="G109" s="1371">
        <f t="shared" si="48"/>
        <v>0</v>
      </c>
      <c r="H109" s="1372">
        <v>0</v>
      </c>
      <c r="I109" s="1372">
        <f t="shared" si="51"/>
        <v>0</v>
      </c>
      <c r="J109" s="1371">
        <f t="shared" si="52"/>
        <v>0</v>
      </c>
      <c r="K109" s="1374" t="s">
        <v>551</v>
      </c>
      <c r="L109" s="1382"/>
      <c r="M109" s="1372">
        <f t="shared" si="53"/>
        <v>0</v>
      </c>
      <c r="N109" s="1371">
        <f t="shared" si="54"/>
        <v>0</v>
      </c>
      <c r="O109" s="1372">
        <v>2</v>
      </c>
    </row>
    <row r="110" spans="1:15">
      <c r="A110" s="197" t="s">
        <v>745</v>
      </c>
      <c r="B110" s="198">
        <v>456</v>
      </c>
      <c r="C110" s="199" t="s">
        <v>755</v>
      </c>
      <c r="D110" s="199" t="s">
        <v>756</v>
      </c>
      <c r="E110" s="1369">
        <v>97449.26</v>
      </c>
      <c r="F110" s="1369" t="s">
        <v>567</v>
      </c>
      <c r="G110" s="1371">
        <f t="shared" si="48"/>
        <v>0</v>
      </c>
      <c r="H110" s="1372">
        <v>0</v>
      </c>
      <c r="I110" s="1372">
        <f t="shared" ref="I110:I132" si="55">G110-H110</f>
        <v>0</v>
      </c>
      <c r="J110" s="1371">
        <f t="shared" ref="J110:J132" si="56">IF(F110=$J$2,E110,0)</f>
        <v>0</v>
      </c>
      <c r="K110" s="1371"/>
      <c r="L110" s="1373"/>
      <c r="M110" s="1372">
        <f t="shared" ref="M110:M132" si="57">J110-L110</f>
        <v>0</v>
      </c>
      <c r="N110" s="1371">
        <f t="shared" ref="N110:N117" si="58">IF(F110=$N$2,E110,0)</f>
        <v>97449.26</v>
      </c>
      <c r="O110" s="1372">
        <v>6</v>
      </c>
    </row>
    <row r="111" spans="1:15">
      <c r="A111" s="197" t="s">
        <v>748</v>
      </c>
      <c r="B111" s="198">
        <v>456</v>
      </c>
      <c r="C111" s="199" t="s">
        <v>758</v>
      </c>
      <c r="D111" s="199" t="s">
        <v>759</v>
      </c>
      <c r="E111" s="1369">
        <v>24069278.530000001</v>
      </c>
      <c r="F111" s="1369" t="s">
        <v>565</v>
      </c>
      <c r="G111" s="1371">
        <f t="shared" si="48"/>
        <v>24069278.530000001</v>
      </c>
      <c r="H111" s="1372">
        <v>0</v>
      </c>
      <c r="I111" s="1372">
        <f t="shared" si="55"/>
        <v>24069278.530000001</v>
      </c>
      <c r="J111" s="1371">
        <f t="shared" si="56"/>
        <v>0</v>
      </c>
      <c r="K111" s="1371"/>
      <c r="L111" s="1373"/>
      <c r="M111" s="1372">
        <f t="shared" si="57"/>
        <v>0</v>
      </c>
      <c r="N111" s="1371">
        <f t="shared" si="58"/>
        <v>0</v>
      </c>
      <c r="O111" s="1372">
        <v>4</v>
      </c>
    </row>
    <row r="112" spans="1:15">
      <c r="A112" s="197" t="s">
        <v>751</v>
      </c>
      <c r="B112" s="198">
        <v>456</v>
      </c>
      <c r="C112" s="199" t="s">
        <v>761</v>
      </c>
      <c r="D112" s="889" t="s">
        <v>1701</v>
      </c>
      <c r="E112" s="1369"/>
      <c r="F112" s="1369" t="s">
        <v>567</v>
      </c>
      <c r="G112" s="1371">
        <f t="shared" si="48"/>
        <v>0</v>
      </c>
      <c r="H112" s="1372">
        <v>0</v>
      </c>
      <c r="I112" s="1372">
        <f t="shared" si="55"/>
        <v>0</v>
      </c>
      <c r="J112" s="1371">
        <f t="shared" si="56"/>
        <v>0</v>
      </c>
      <c r="K112" s="1371"/>
      <c r="L112" s="1373"/>
      <c r="M112" s="1372">
        <f t="shared" si="57"/>
        <v>0</v>
      </c>
      <c r="N112" s="1371">
        <f t="shared" si="58"/>
        <v>0</v>
      </c>
      <c r="O112" s="1372">
        <v>6</v>
      </c>
    </row>
    <row r="113" spans="1:15">
      <c r="A113" s="197" t="s">
        <v>754</v>
      </c>
      <c r="B113" s="198">
        <v>456</v>
      </c>
      <c r="C113" s="199" t="s">
        <v>763</v>
      </c>
      <c r="D113" s="889" t="s">
        <v>1702</v>
      </c>
      <c r="E113" s="1369">
        <v>-34541319.299999997</v>
      </c>
      <c r="F113" s="1369" t="s">
        <v>567</v>
      </c>
      <c r="G113" s="1371">
        <f t="shared" si="48"/>
        <v>0</v>
      </c>
      <c r="H113" s="1372">
        <v>0</v>
      </c>
      <c r="I113" s="1372">
        <f t="shared" si="55"/>
        <v>0</v>
      </c>
      <c r="J113" s="1371">
        <f t="shared" si="56"/>
        <v>0</v>
      </c>
      <c r="K113" s="1371"/>
      <c r="L113" s="1373"/>
      <c r="M113" s="1372">
        <f t="shared" si="57"/>
        <v>0</v>
      </c>
      <c r="N113" s="1371">
        <f t="shared" si="58"/>
        <v>-34541319.299999997</v>
      </c>
      <c r="O113" s="1372">
        <v>6</v>
      </c>
    </row>
    <row r="114" spans="1:15">
      <c r="A114" s="197" t="s">
        <v>757</v>
      </c>
      <c r="B114" s="198">
        <v>456</v>
      </c>
      <c r="C114" s="199" t="s">
        <v>765</v>
      </c>
      <c r="D114" s="199" t="s">
        <v>766</v>
      </c>
      <c r="E114" s="1369"/>
      <c r="F114" s="1369" t="s">
        <v>567</v>
      </c>
      <c r="G114" s="1371">
        <f t="shared" si="48"/>
        <v>0</v>
      </c>
      <c r="H114" s="1372">
        <v>0</v>
      </c>
      <c r="I114" s="1372">
        <f t="shared" si="55"/>
        <v>0</v>
      </c>
      <c r="J114" s="1371">
        <f t="shared" si="56"/>
        <v>0</v>
      </c>
      <c r="K114" s="1371"/>
      <c r="L114" s="1373"/>
      <c r="M114" s="1372">
        <f t="shared" si="57"/>
        <v>0</v>
      </c>
      <c r="N114" s="1371">
        <f t="shared" si="58"/>
        <v>0</v>
      </c>
      <c r="O114" s="1372">
        <v>6</v>
      </c>
    </row>
    <row r="115" spans="1:15">
      <c r="A115" s="197" t="s">
        <v>760</v>
      </c>
      <c r="B115" s="198">
        <v>456</v>
      </c>
      <c r="C115" s="199" t="s">
        <v>768</v>
      </c>
      <c r="D115" s="199" t="s">
        <v>769</v>
      </c>
      <c r="E115" s="1369">
        <v>34541319.299999997</v>
      </c>
      <c r="F115" s="1369" t="s">
        <v>567</v>
      </c>
      <c r="G115" s="1371">
        <f t="shared" si="48"/>
        <v>0</v>
      </c>
      <c r="H115" s="1372">
        <v>0</v>
      </c>
      <c r="I115" s="1372">
        <f t="shared" si="55"/>
        <v>0</v>
      </c>
      <c r="J115" s="1371">
        <f t="shared" si="56"/>
        <v>0</v>
      </c>
      <c r="K115" s="1371"/>
      <c r="L115" s="1373"/>
      <c r="M115" s="1372">
        <f t="shared" si="57"/>
        <v>0</v>
      </c>
      <c r="N115" s="1371">
        <f t="shared" si="58"/>
        <v>34541319.299999997</v>
      </c>
      <c r="O115" s="1372">
        <v>6</v>
      </c>
    </row>
    <row r="116" spans="1:15">
      <c r="A116" s="197" t="s">
        <v>762</v>
      </c>
      <c r="B116" s="198">
        <v>456</v>
      </c>
      <c r="C116" s="199" t="s">
        <v>771</v>
      </c>
      <c r="D116" s="889" t="s">
        <v>1703</v>
      </c>
      <c r="E116" s="1369"/>
      <c r="F116" s="1369" t="s">
        <v>567</v>
      </c>
      <c r="G116" s="1371">
        <f t="shared" si="48"/>
        <v>0</v>
      </c>
      <c r="H116" s="1372">
        <v>0</v>
      </c>
      <c r="I116" s="1372">
        <f t="shared" si="55"/>
        <v>0</v>
      </c>
      <c r="J116" s="1371">
        <f t="shared" si="56"/>
        <v>0</v>
      </c>
      <c r="K116" s="1371"/>
      <c r="L116" s="1373"/>
      <c r="M116" s="1372">
        <f t="shared" si="57"/>
        <v>0</v>
      </c>
      <c r="N116" s="1371">
        <f t="shared" si="58"/>
        <v>0</v>
      </c>
      <c r="O116" s="1372">
        <v>6</v>
      </c>
    </row>
    <row r="117" spans="1:15">
      <c r="A117" s="197" t="s">
        <v>764</v>
      </c>
      <c r="B117" s="198">
        <v>456</v>
      </c>
      <c r="C117" s="199" t="s">
        <v>773</v>
      </c>
      <c r="D117" s="199" t="s">
        <v>774</v>
      </c>
      <c r="E117" s="1369"/>
      <c r="F117" s="1369" t="s">
        <v>567</v>
      </c>
      <c r="G117" s="1371">
        <f t="shared" si="48"/>
        <v>0</v>
      </c>
      <c r="H117" s="1372">
        <v>0</v>
      </c>
      <c r="I117" s="1372">
        <f t="shared" si="55"/>
        <v>0</v>
      </c>
      <c r="J117" s="1371">
        <f t="shared" si="56"/>
        <v>0</v>
      </c>
      <c r="K117" s="1371"/>
      <c r="L117" s="1373"/>
      <c r="M117" s="1372">
        <f t="shared" si="57"/>
        <v>0</v>
      </c>
      <c r="N117" s="1371">
        <f t="shared" si="58"/>
        <v>0</v>
      </c>
      <c r="O117" s="1372">
        <v>6</v>
      </c>
    </row>
    <row r="118" spans="1:15">
      <c r="A118" s="197" t="s">
        <v>767</v>
      </c>
      <c r="B118" s="198">
        <v>456</v>
      </c>
      <c r="C118" s="199" t="s">
        <v>776</v>
      </c>
      <c r="D118" s="199" t="s">
        <v>777</v>
      </c>
      <c r="E118" s="1369"/>
      <c r="F118" s="1369" t="s">
        <v>566</v>
      </c>
      <c r="G118" s="1371">
        <f t="shared" si="48"/>
        <v>0</v>
      </c>
      <c r="H118" s="1372">
        <v>0</v>
      </c>
      <c r="I118" s="1372">
        <f t="shared" si="55"/>
        <v>0</v>
      </c>
      <c r="J118" s="1371">
        <f t="shared" si="56"/>
        <v>0</v>
      </c>
      <c r="K118" s="1374" t="s">
        <v>551</v>
      </c>
      <c r="L118" s="1373"/>
      <c r="M118" s="1372">
        <f t="shared" si="57"/>
        <v>0</v>
      </c>
      <c r="N118" s="1371">
        <f t="shared" ref="N118:N119" si="59">IF(F118=$N$2,E118,0)</f>
        <v>0</v>
      </c>
      <c r="O118" s="1372">
        <v>2</v>
      </c>
    </row>
    <row r="119" spans="1:15">
      <c r="A119" s="197" t="s">
        <v>770</v>
      </c>
      <c r="B119" s="198">
        <v>456</v>
      </c>
      <c r="C119" s="199" t="s">
        <v>779</v>
      </c>
      <c r="D119" s="199" t="s">
        <v>780</v>
      </c>
      <c r="E119" s="1382"/>
      <c r="F119" s="1369" t="s">
        <v>566</v>
      </c>
      <c r="G119" s="1371">
        <f t="shared" si="48"/>
        <v>0</v>
      </c>
      <c r="H119" s="1372">
        <v>0</v>
      </c>
      <c r="I119" s="1372">
        <f t="shared" si="55"/>
        <v>0</v>
      </c>
      <c r="J119" s="1371">
        <f t="shared" si="56"/>
        <v>0</v>
      </c>
      <c r="K119" s="1374" t="s">
        <v>551</v>
      </c>
      <c r="L119" s="1382"/>
      <c r="M119" s="1372">
        <f t="shared" si="57"/>
        <v>0</v>
      </c>
      <c r="N119" s="1371">
        <f t="shared" si="59"/>
        <v>0</v>
      </c>
      <c r="O119" s="1372">
        <v>2</v>
      </c>
    </row>
    <row r="120" spans="1:15">
      <c r="A120" s="197" t="s">
        <v>772</v>
      </c>
      <c r="B120" s="198">
        <v>456</v>
      </c>
      <c r="C120" s="199" t="s">
        <v>783</v>
      </c>
      <c r="D120" s="199" t="s">
        <v>784</v>
      </c>
      <c r="E120" s="1369">
        <v>114014.77</v>
      </c>
      <c r="F120" s="1369" t="s">
        <v>565</v>
      </c>
      <c r="G120" s="1371">
        <f t="shared" si="48"/>
        <v>114014.77</v>
      </c>
      <c r="H120" s="1372">
        <v>0</v>
      </c>
      <c r="I120" s="1372">
        <f t="shared" si="55"/>
        <v>114014.77</v>
      </c>
      <c r="J120" s="1371">
        <f t="shared" si="56"/>
        <v>0</v>
      </c>
      <c r="K120" s="1371"/>
      <c r="L120" s="1373"/>
      <c r="M120" s="1372">
        <f t="shared" si="57"/>
        <v>0</v>
      </c>
      <c r="N120" s="1371">
        <f t="shared" ref="N120:N135" si="60">IF(F120=$N$2,E120,0)</f>
        <v>0</v>
      </c>
      <c r="O120" s="1372">
        <v>1</v>
      </c>
    </row>
    <row r="121" spans="1:15">
      <c r="A121" s="197" t="s">
        <v>775</v>
      </c>
      <c r="B121" s="198">
        <v>456</v>
      </c>
      <c r="C121" s="199" t="s">
        <v>787</v>
      </c>
      <c r="D121" s="199" t="s">
        <v>788</v>
      </c>
      <c r="E121" s="1369">
        <v>6324920.3499999996</v>
      </c>
      <c r="F121" s="1369" t="s">
        <v>565</v>
      </c>
      <c r="G121" s="1371">
        <f t="shared" si="48"/>
        <v>6324920.3499999996</v>
      </c>
      <c r="H121" s="1372">
        <v>0</v>
      </c>
      <c r="I121" s="1372">
        <f t="shared" si="55"/>
        <v>6324920.3499999996</v>
      </c>
      <c r="J121" s="1371">
        <f t="shared" si="56"/>
        <v>0</v>
      </c>
      <c r="K121" s="1371"/>
      <c r="L121" s="1373"/>
      <c r="M121" s="1372">
        <f t="shared" si="57"/>
        <v>0</v>
      </c>
      <c r="N121" s="1371">
        <f t="shared" si="60"/>
        <v>0</v>
      </c>
      <c r="O121" s="1372">
        <v>4</v>
      </c>
    </row>
    <row r="122" spans="1:15">
      <c r="A122" s="197" t="s">
        <v>778</v>
      </c>
      <c r="B122" s="198">
        <v>456</v>
      </c>
      <c r="C122" s="199" t="s">
        <v>790</v>
      </c>
      <c r="D122" s="199" t="s">
        <v>791</v>
      </c>
      <c r="E122" s="1369">
        <v>117724</v>
      </c>
      <c r="F122" s="1369" t="s">
        <v>565</v>
      </c>
      <c r="G122" s="1371">
        <f t="shared" si="48"/>
        <v>117724</v>
      </c>
      <c r="H122" s="1372">
        <v>0</v>
      </c>
      <c r="I122" s="1372">
        <f t="shared" si="55"/>
        <v>117724</v>
      </c>
      <c r="J122" s="1371">
        <f t="shared" si="56"/>
        <v>0</v>
      </c>
      <c r="K122" s="1371"/>
      <c r="L122" s="1373"/>
      <c r="M122" s="1372">
        <f t="shared" si="57"/>
        <v>0</v>
      </c>
      <c r="N122" s="1371">
        <f t="shared" si="60"/>
        <v>0</v>
      </c>
      <c r="O122" s="1372">
        <v>4</v>
      </c>
    </row>
    <row r="123" spans="1:15">
      <c r="A123" s="890" t="s">
        <v>781</v>
      </c>
      <c r="B123" s="198">
        <v>456</v>
      </c>
      <c r="C123" s="199" t="s">
        <v>793</v>
      </c>
      <c r="D123" s="199" t="s">
        <v>794</v>
      </c>
      <c r="E123" s="1369"/>
      <c r="F123" s="1369" t="s">
        <v>565</v>
      </c>
      <c r="G123" s="1371">
        <f t="shared" si="48"/>
        <v>0</v>
      </c>
      <c r="H123" s="1372">
        <v>0</v>
      </c>
      <c r="I123" s="1372">
        <f t="shared" si="55"/>
        <v>0</v>
      </c>
      <c r="J123" s="1371">
        <f t="shared" si="56"/>
        <v>0</v>
      </c>
      <c r="K123" s="1371"/>
      <c r="L123" s="1373"/>
      <c r="M123" s="1372">
        <f t="shared" si="57"/>
        <v>0</v>
      </c>
      <c r="N123" s="1371">
        <f t="shared" si="60"/>
        <v>0</v>
      </c>
      <c r="O123" s="1372">
        <v>4</v>
      </c>
    </row>
    <row r="124" spans="1:15">
      <c r="A124" s="890" t="s">
        <v>782</v>
      </c>
      <c r="B124" s="198">
        <v>456</v>
      </c>
      <c r="C124" s="199" t="s">
        <v>796</v>
      </c>
      <c r="D124" s="199" t="s">
        <v>797</v>
      </c>
      <c r="E124" s="1369"/>
      <c r="F124" s="1369" t="s">
        <v>565</v>
      </c>
      <c r="G124" s="1371">
        <f t="shared" si="48"/>
        <v>0</v>
      </c>
      <c r="H124" s="1372">
        <v>0</v>
      </c>
      <c r="I124" s="1372">
        <f t="shared" si="55"/>
        <v>0</v>
      </c>
      <c r="J124" s="1371">
        <f t="shared" si="56"/>
        <v>0</v>
      </c>
      <c r="K124" s="1371"/>
      <c r="L124" s="1373"/>
      <c r="M124" s="1372">
        <f t="shared" si="57"/>
        <v>0</v>
      </c>
      <c r="N124" s="1371">
        <f t="shared" si="60"/>
        <v>0</v>
      </c>
      <c r="O124" s="1372">
        <v>1</v>
      </c>
    </row>
    <row r="125" spans="1:15">
      <c r="A125" s="890" t="s">
        <v>785</v>
      </c>
      <c r="B125" s="198">
        <v>456</v>
      </c>
      <c r="C125" s="199" t="s">
        <v>799</v>
      </c>
      <c r="D125" s="199" t="s">
        <v>800</v>
      </c>
      <c r="E125" s="1369"/>
      <c r="F125" s="1369" t="s">
        <v>565</v>
      </c>
      <c r="G125" s="1371">
        <f t="shared" si="48"/>
        <v>0</v>
      </c>
      <c r="H125" s="1372">
        <v>0</v>
      </c>
      <c r="I125" s="1372">
        <f t="shared" si="55"/>
        <v>0</v>
      </c>
      <c r="J125" s="1371">
        <f t="shared" si="56"/>
        <v>0</v>
      </c>
      <c r="K125" s="1371"/>
      <c r="L125" s="1373"/>
      <c r="M125" s="1372">
        <f t="shared" si="57"/>
        <v>0</v>
      </c>
      <c r="N125" s="1371">
        <f t="shared" si="60"/>
        <v>0</v>
      </c>
      <c r="O125" s="1372">
        <v>4</v>
      </c>
    </row>
    <row r="126" spans="1:15">
      <c r="A126" s="890" t="s">
        <v>786</v>
      </c>
      <c r="B126" s="198">
        <v>456</v>
      </c>
      <c r="C126" s="199" t="s">
        <v>802</v>
      </c>
      <c r="D126" s="199" t="s">
        <v>803</v>
      </c>
      <c r="E126" s="1369">
        <v>3337298.66</v>
      </c>
      <c r="F126" s="1369" t="s">
        <v>565</v>
      </c>
      <c r="G126" s="1371">
        <f t="shared" si="48"/>
        <v>3337298.66</v>
      </c>
      <c r="H126" s="1373">
        <v>22184.161970000001</v>
      </c>
      <c r="I126" s="1372">
        <f t="shared" si="55"/>
        <v>3315114.4980300004</v>
      </c>
      <c r="J126" s="1371">
        <f t="shared" si="56"/>
        <v>0</v>
      </c>
      <c r="K126" s="1371"/>
      <c r="L126" s="1373"/>
      <c r="M126" s="1372">
        <f t="shared" si="57"/>
        <v>0</v>
      </c>
      <c r="N126" s="1371">
        <f t="shared" si="60"/>
        <v>0</v>
      </c>
      <c r="O126" s="1372">
        <v>8</v>
      </c>
    </row>
    <row r="127" spans="1:15">
      <c r="A127" s="890" t="s">
        <v>789</v>
      </c>
      <c r="B127" s="198">
        <v>456</v>
      </c>
      <c r="C127" s="199" t="s">
        <v>805</v>
      </c>
      <c r="D127" s="199" t="s">
        <v>806</v>
      </c>
      <c r="E127" s="1369">
        <v>10857864.07</v>
      </c>
      <c r="F127" s="1369" t="s">
        <v>565</v>
      </c>
      <c r="G127" s="1371">
        <f t="shared" si="48"/>
        <v>10857864.07</v>
      </c>
      <c r="H127" s="1372">
        <v>0</v>
      </c>
      <c r="I127" s="1372">
        <f t="shared" si="55"/>
        <v>10857864.07</v>
      </c>
      <c r="J127" s="1371">
        <f t="shared" si="56"/>
        <v>0</v>
      </c>
      <c r="K127" s="1371"/>
      <c r="L127" s="1373"/>
      <c r="M127" s="1372">
        <f t="shared" si="57"/>
        <v>0</v>
      </c>
      <c r="N127" s="1371">
        <f t="shared" si="60"/>
        <v>0</v>
      </c>
      <c r="O127" s="1372">
        <v>4</v>
      </c>
    </row>
    <row r="128" spans="1:15">
      <c r="A128" s="890" t="s">
        <v>792</v>
      </c>
      <c r="B128" s="198">
        <v>456</v>
      </c>
      <c r="C128" s="199" t="s">
        <v>808</v>
      </c>
      <c r="D128" s="199" t="s">
        <v>809</v>
      </c>
      <c r="E128" s="1369">
        <v>2088.4499999999998</v>
      </c>
      <c r="F128" s="1369" t="s">
        <v>565</v>
      </c>
      <c r="G128" s="1371">
        <f t="shared" si="48"/>
        <v>2088.4499999999998</v>
      </c>
      <c r="H128" s="1372">
        <v>0</v>
      </c>
      <c r="I128" s="1372">
        <f t="shared" si="55"/>
        <v>2088.4499999999998</v>
      </c>
      <c r="J128" s="1371">
        <f t="shared" si="56"/>
        <v>0</v>
      </c>
      <c r="K128" s="1371"/>
      <c r="L128" s="1373"/>
      <c r="M128" s="1372">
        <f t="shared" si="57"/>
        <v>0</v>
      </c>
      <c r="N128" s="1371">
        <f t="shared" si="60"/>
        <v>0</v>
      </c>
      <c r="O128" s="1372">
        <v>4</v>
      </c>
    </row>
    <row r="129" spans="1:15">
      <c r="A129" s="890" t="s">
        <v>795</v>
      </c>
      <c r="B129" s="198">
        <v>456</v>
      </c>
      <c r="C129" s="199" t="s">
        <v>811</v>
      </c>
      <c r="D129" s="199" t="s">
        <v>812</v>
      </c>
      <c r="E129" s="1369">
        <v>2638010.84</v>
      </c>
      <c r="F129" s="1369" t="s">
        <v>565</v>
      </c>
      <c r="G129" s="1371">
        <f t="shared" si="48"/>
        <v>2638010.84</v>
      </c>
      <c r="H129" s="1372">
        <v>0</v>
      </c>
      <c r="I129" s="1372">
        <f t="shared" si="55"/>
        <v>2638010.84</v>
      </c>
      <c r="J129" s="1371">
        <f t="shared" si="56"/>
        <v>0</v>
      </c>
      <c r="K129" s="1371"/>
      <c r="L129" s="1373"/>
      <c r="M129" s="1372">
        <f t="shared" si="57"/>
        <v>0</v>
      </c>
      <c r="N129" s="1371">
        <f t="shared" si="60"/>
        <v>0</v>
      </c>
      <c r="O129" s="1372">
        <v>6</v>
      </c>
    </row>
    <row r="130" spans="1:15">
      <c r="A130" s="890" t="s">
        <v>798</v>
      </c>
      <c r="B130" s="198">
        <v>456</v>
      </c>
      <c r="C130" s="197" t="s">
        <v>1371</v>
      </c>
      <c r="D130" s="199" t="s">
        <v>1370</v>
      </c>
      <c r="E130" s="1369"/>
      <c r="F130" s="1369" t="s">
        <v>565</v>
      </c>
      <c r="G130" s="1371">
        <f t="shared" si="48"/>
        <v>0</v>
      </c>
      <c r="H130" s="1372">
        <v>0</v>
      </c>
      <c r="I130" s="1372">
        <f t="shared" si="55"/>
        <v>0</v>
      </c>
      <c r="J130" s="1371">
        <f t="shared" si="56"/>
        <v>0</v>
      </c>
      <c r="K130" s="1371"/>
      <c r="L130" s="1373"/>
      <c r="M130" s="1372">
        <f t="shared" si="57"/>
        <v>0</v>
      </c>
      <c r="N130" s="1371">
        <f t="shared" si="60"/>
        <v>0</v>
      </c>
      <c r="O130" s="1372">
        <v>1</v>
      </c>
    </row>
    <row r="131" spans="1:15">
      <c r="A131" s="890" t="s">
        <v>801</v>
      </c>
      <c r="B131" s="198">
        <v>456</v>
      </c>
      <c r="C131" s="198">
        <v>4186911</v>
      </c>
      <c r="D131" s="215" t="s">
        <v>2056</v>
      </c>
      <c r="E131" s="1369">
        <v>3353919</v>
      </c>
      <c r="F131" s="1369" t="s">
        <v>567</v>
      </c>
      <c r="G131" s="1371">
        <f t="shared" si="48"/>
        <v>0</v>
      </c>
      <c r="H131" s="1372">
        <v>0</v>
      </c>
      <c r="I131" s="1372">
        <f t="shared" si="55"/>
        <v>0</v>
      </c>
      <c r="J131" s="1371">
        <f t="shared" si="56"/>
        <v>0</v>
      </c>
      <c r="K131" s="1371"/>
      <c r="L131" s="1373"/>
      <c r="M131" s="1372">
        <f t="shared" si="57"/>
        <v>0</v>
      </c>
      <c r="N131" s="1371">
        <f t="shared" si="60"/>
        <v>3353919</v>
      </c>
      <c r="O131" s="1372">
        <v>6</v>
      </c>
    </row>
    <row r="132" spans="1:15">
      <c r="A132" s="890" t="s">
        <v>804</v>
      </c>
      <c r="B132" s="198">
        <v>456</v>
      </c>
      <c r="C132" s="198">
        <v>4186925</v>
      </c>
      <c r="D132" s="215" t="s">
        <v>2057</v>
      </c>
      <c r="E132" s="1369">
        <v>420965361.60000002</v>
      </c>
      <c r="F132" s="1369" t="s">
        <v>567</v>
      </c>
      <c r="G132" s="1371">
        <f t="shared" si="48"/>
        <v>0</v>
      </c>
      <c r="H132" s="1372">
        <v>0</v>
      </c>
      <c r="I132" s="1372">
        <f t="shared" si="55"/>
        <v>0</v>
      </c>
      <c r="J132" s="1371">
        <f t="shared" si="56"/>
        <v>0</v>
      </c>
      <c r="K132" s="1371"/>
      <c r="L132" s="1373"/>
      <c r="M132" s="1372">
        <f t="shared" si="57"/>
        <v>0</v>
      </c>
      <c r="N132" s="1371">
        <f t="shared" si="60"/>
        <v>420965361.60000002</v>
      </c>
      <c r="O132" s="1372">
        <v>6</v>
      </c>
    </row>
    <row r="133" spans="1:15" s="955" customFormat="1">
      <c r="A133" s="890" t="s">
        <v>807</v>
      </c>
      <c r="B133" s="1118">
        <v>456</v>
      </c>
      <c r="C133" s="1118">
        <v>4186132</v>
      </c>
      <c r="D133" s="1117" t="s">
        <v>2380</v>
      </c>
      <c r="E133" s="1369">
        <v>614774.21</v>
      </c>
      <c r="F133" s="1369" t="s">
        <v>565</v>
      </c>
      <c r="G133" s="1371">
        <f t="shared" ref="G133:G138" si="61">IF(F133=$G$2,E133,0)</f>
        <v>614774.21</v>
      </c>
      <c r="H133" s="1372">
        <v>0</v>
      </c>
      <c r="I133" s="1372">
        <f t="shared" ref="I133:I138" si="62">G133-H133</f>
        <v>614774.21</v>
      </c>
      <c r="J133" s="1371">
        <f t="shared" ref="J133:J138" si="63">IF(F133=$J$2,E133,0)</f>
        <v>0</v>
      </c>
      <c r="K133" s="1371"/>
      <c r="L133" s="1373"/>
      <c r="M133" s="1372">
        <f t="shared" ref="M133:M138" si="64">J133-L133</f>
        <v>0</v>
      </c>
      <c r="N133" s="1371">
        <f t="shared" si="60"/>
        <v>0</v>
      </c>
      <c r="O133" s="1381">
        <v>4</v>
      </c>
    </row>
    <row r="134" spans="1:15" s="955" customFormat="1">
      <c r="A134" s="890" t="s">
        <v>810</v>
      </c>
      <c r="B134" s="1118">
        <v>456</v>
      </c>
      <c r="C134" s="1118">
        <v>4186116</v>
      </c>
      <c r="D134" s="1117" t="s">
        <v>2381</v>
      </c>
      <c r="E134" s="1369"/>
      <c r="F134" s="1369" t="s">
        <v>565</v>
      </c>
      <c r="G134" s="1371">
        <f t="shared" si="61"/>
        <v>0</v>
      </c>
      <c r="H134" s="1372">
        <v>0</v>
      </c>
      <c r="I134" s="1372">
        <f t="shared" si="62"/>
        <v>0</v>
      </c>
      <c r="J134" s="1371">
        <f t="shared" si="63"/>
        <v>0</v>
      </c>
      <c r="K134" s="1371"/>
      <c r="L134" s="1373"/>
      <c r="M134" s="1372">
        <f t="shared" si="64"/>
        <v>0</v>
      </c>
      <c r="N134" s="1371">
        <f t="shared" si="60"/>
        <v>0</v>
      </c>
      <c r="O134" s="1381">
        <v>4</v>
      </c>
    </row>
    <row r="135" spans="1:15" s="955" customFormat="1">
      <c r="A135" s="890" t="s">
        <v>1685</v>
      </c>
      <c r="B135" s="1118">
        <v>456</v>
      </c>
      <c r="C135" s="1118">
        <v>4186115</v>
      </c>
      <c r="D135" s="14" t="s">
        <v>2382</v>
      </c>
      <c r="E135" s="1369"/>
      <c r="F135" s="1369" t="s">
        <v>565</v>
      </c>
      <c r="G135" s="1371">
        <f t="shared" si="61"/>
        <v>0</v>
      </c>
      <c r="H135" s="1372">
        <v>0</v>
      </c>
      <c r="I135" s="1372">
        <f t="shared" si="62"/>
        <v>0</v>
      </c>
      <c r="J135" s="1371">
        <f t="shared" si="63"/>
        <v>0</v>
      </c>
      <c r="K135" s="1371"/>
      <c r="L135" s="1373"/>
      <c r="M135" s="1372">
        <f t="shared" si="64"/>
        <v>0</v>
      </c>
      <c r="N135" s="1371">
        <f t="shared" si="60"/>
        <v>0</v>
      </c>
      <c r="O135" s="1381">
        <v>4</v>
      </c>
    </row>
    <row r="136" spans="1:15" s="955" customFormat="1">
      <c r="A136" s="890" t="s">
        <v>1686</v>
      </c>
      <c r="B136" s="1118">
        <v>456</v>
      </c>
      <c r="C136" s="1118">
        <v>4186156</v>
      </c>
      <c r="D136" s="1117" t="s">
        <v>2383</v>
      </c>
      <c r="E136" s="1369">
        <v>101362.4</v>
      </c>
      <c r="F136" s="1369" t="s">
        <v>567</v>
      </c>
      <c r="G136" s="1371">
        <f>H136+I136</f>
        <v>6172.9701599999999</v>
      </c>
      <c r="H136" s="1372">
        <f>E136*D267</f>
        <v>6172.9701599999999</v>
      </c>
      <c r="I136" s="1372">
        <v>0</v>
      </c>
      <c r="J136" s="1371">
        <f t="shared" si="63"/>
        <v>0</v>
      </c>
      <c r="K136" s="1371"/>
      <c r="L136" s="1373"/>
      <c r="M136" s="1372">
        <f>J136-L136</f>
        <v>0</v>
      </c>
      <c r="N136" s="1371">
        <f>IF(F136=$N$2,E136-H136,0)</f>
        <v>95189.429839999997</v>
      </c>
      <c r="O136" s="1381" t="s">
        <v>644</v>
      </c>
    </row>
    <row r="137" spans="1:15" s="955" customFormat="1">
      <c r="A137" s="890" t="s">
        <v>2058</v>
      </c>
      <c r="B137" s="1118">
        <v>456</v>
      </c>
      <c r="C137" s="889" t="s">
        <v>2384</v>
      </c>
      <c r="D137" s="1117" t="s">
        <v>2385</v>
      </c>
      <c r="E137" s="1369">
        <v>85924664.650000006</v>
      </c>
      <c r="F137" s="1369" t="s">
        <v>565</v>
      </c>
      <c r="G137" s="1371">
        <f t="shared" si="61"/>
        <v>85924664.650000006</v>
      </c>
      <c r="H137" s="1372">
        <v>0</v>
      </c>
      <c r="I137" s="1372">
        <f t="shared" si="62"/>
        <v>85924664.650000006</v>
      </c>
      <c r="J137" s="1371">
        <f t="shared" si="63"/>
        <v>0</v>
      </c>
      <c r="K137" s="1371"/>
      <c r="L137" s="1373"/>
      <c r="M137" s="1372">
        <f t="shared" si="64"/>
        <v>0</v>
      </c>
      <c r="N137" s="1371">
        <f>IF(F137=$N$2,E137,0)</f>
        <v>0</v>
      </c>
      <c r="O137" s="1381">
        <v>4</v>
      </c>
    </row>
    <row r="138" spans="1:15" s="955" customFormat="1">
      <c r="A138" s="890" t="s">
        <v>2059</v>
      </c>
      <c r="B138" s="1118">
        <v>456</v>
      </c>
      <c r="C138" s="889" t="s">
        <v>692</v>
      </c>
      <c r="D138" s="1117" t="s">
        <v>2386</v>
      </c>
      <c r="E138" s="1369"/>
      <c r="F138" s="1369" t="s">
        <v>565</v>
      </c>
      <c r="G138" s="1371">
        <f t="shared" si="61"/>
        <v>0</v>
      </c>
      <c r="H138" s="1372">
        <f>G138</f>
        <v>0</v>
      </c>
      <c r="I138" s="1372">
        <f t="shared" si="62"/>
        <v>0</v>
      </c>
      <c r="J138" s="1371">
        <f t="shared" si="63"/>
        <v>0</v>
      </c>
      <c r="K138" s="1371"/>
      <c r="L138" s="1373"/>
      <c r="M138" s="1372">
        <f t="shared" si="64"/>
        <v>0</v>
      </c>
      <c r="N138" s="1371">
        <f>IF(F138=$N$2,E138,0)</f>
        <v>0</v>
      </c>
      <c r="O138" s="1381">
        <v>5</v>
      </c>
    </row>
    <row r="139" spans="1:15" s="955" customFormat="1">
      <c r="A139" s="890" t="s">
        <v>2438</v>
      </c>
      <c r="B139" s="1118">
        <v>456</v>
      </c>
      <c r="C139" s="1118">
        <v>4186732</v>
      </c>
      <c r="D139" s="1117" t="s">
        <v>2439</v>
      </c>
      <c r="E139" s="1369"/>
      <c r="F139" s="1369" t="s">
        <v>566</v>
      </c>
      <c r="G139" s="1371">
        <f>IF(F139=$G$2,E139,0)</f>
        <v>0</v>
      </c>
      <c r="H139" s="1372">
        <v>0</v>
      </c>
      <c r="I139" s="1372">
        <f t="shared" ref="I139" si="65">G139-H139</f>
        <v>0</v>
      </c>
      <c r="J139" s="1371">
        <f t="shared" ref="J139" si="66">IF(F139=$J$2,E139,0)</f>
        <v>0</v>
      </c>
      <c r="K139" s="1380" t="s">
        <v>607</v>
      </c>
      <c r="L139" s="1373"/>
      <c r="M139" s="1372">
        <f t="shared" ref="M139" si="67">J139-L139</f>
        <v>0</v>
      </c>
      <c r="N139" s="1371">
        <f>IF(F139=$N$2,E139,0)</f>
        <v>0</v>
      </c>
      <c r="O139" s="1381">
        <v>2</v>
      </c>
    </row>
    <row r="140" spans="1:15" s="955" customFormat="1">
      <c r="A140" s="890" t="s">
        <v>2664</v>
      </c>
      <c r="B140" s="1118">
        <v>456</v>
      </c>
      <c r="C140" s="1333">
        <v>4171023</v>
      </c>
      <c r="D140" s="1338" t="s">
        <v>2662</v>
      </c>
      <c r="E140" s="1369">
        <v>17908772.140000001</v>
      </c>
      <c r="F140" s="1369" t="s">
        <v>567</v>
      </c>
      <c r="G140" s="1371">
        <f t="shared" ref="G140:G144" si="68">IF(F140=$G$2,E140,0)</f>
        <v>0</v>
      </c>
      <c r="H140" s="1372">
        <v>0</v>
      </c>
      <c r="I140" s="1372">
        <f t="shared" ref="I140:I144" si="69">G140-H140</f>
        <v>0</v>
      </c>
      <c r="J140" s="1371">
        <f t="shared" ref="J140:J144" si="70">IF(F140=$J$2,E140,0)</f>
        <v>0</v>
      </c>
      <c r="K140" s="1380"/>
      <c r="L140" s="1373"/>
      <c r="M140" s="1372">
        <f t="shared" ref="M140:M144" si="71">J140-L140</f>
        <v>0</v>
      </c>
      <c r="N140" s="1371">
        <f t="shared" ref="N140:N144" si="72">IF(F140=$N$2,E140,0)</f>
        <v>17908772.140000001</v>
      </c>
      <c r="O140" s="1381">
        <v>6</v>
      </c>
    </row>
    <row r="141" spans="1:15" s="955" customFormat="1">
      <c r="A141" s="890" t="s">
        <v>2665</v>
      </c>
      <c r="B141" s="1118">
        <v>456</v>
      </c>
      <c r="C141" s="1339">
        <v>4186182</v>
      </c>
      <c r="D141" s="1336" t="s">
        <v>2663</v>
      </c>
      <c r="E141" s="1369">
        <v>32500</v>
      </c>
      <c r="F141" s="1369" t="s">
        <v>567</v>
      </c>
      <c r="G141" s="1371">
        <f t="shared" si="68"/>
        <v>0</v>
      </c>
      <c r="H141" s="1372">
        <v>0</v>
      </c>
      <c r="I141" s="1372">
        <f t="shared" si="69"/>
        <v>0</v>
      </c>
      <c r="J141" s="1371">
        <f t="shared" si="70"/>
        <v>0</v>
      </c>
      <c r="K141" s="1380"/>
      <c r="L141" s="1373"/>
      <c r="M141" s="1372">
        <f t="shared" si="71"/>
        <v>0</v>
      </c>
      <c r="N141" s="1371">
        <f t="shared" si="72"/>
        <v>32500</v>
      </c>
      <c r="O141" s="1381">
        <v>6</v>
      </c>
    </row>
    <row r="142" spans="1:15" s="465" customFormat="1">
      <c r="A142" s="1340" t="s">
        <v>2779</v>
      </c>
      <c r="B142" s="1457">
        <v>456</v>
      </c>
      <c r="C142" s="1468" t="s">
        <v>2780</v>
      </c>
      <c r="D142" s="543" t="s">
        <v>2781</v>
      </c>
      <c r="E142" s="1369"/>
      <c r="F142" s="1369" t="s">
        <v>565</v>
      </c>
      <c r="G142" s="1380">
        <f t="shared" si="68"/>
        <v>0</v>
      </c>
      <c r="H142" s="1381">
        <v>0</v>
      </c>
      <c r="I142" s="1381">
        <f t="shared" si="69"/>
        <v>0</v>
      </c>
      <c r="J142" s="1380">
        <f t="shared" si="70"/>
        <v>0</v>
      </c>
      <c r="K142" s="1380"/>
      <c r="L142" s="1373"/>
      <c r="M142" s="1381">
        <f t="shared" si="71"/>
        <v>0</v>
      </c>
      <c r="N142" s="1380">
        <f t="shared" si="72"/>
        <v>0</v>
      </c>
      <c r="O142" s="1381">
        <v>1</v>
      </c>
    </row>
    <row r="143" spans="1:15" s="465" customFormat="1">
      <c r="A143" s="1340" t="s">
        <v>2782</v>
      </c>
      <c r="B143" s="1457">
        <v>456</v>
      </c>
      <c r="C143" s="1468" t="s">
        <v>2783</v>
      </c>
      <c r="D143" s="543" t="s">
        <v>2784</v>
      </c>
      <c r="E143" s="1369"/>
      <c r="F143" s="1369" t="s">
        <v>565</v>
      </c>
      <c r="G143" s="1380">
        <f t="shared" si="68"/>
        <v>0</v>
      </c>
      <c r="H143" s="1381">
        <v>0</v>
      </c>
      <c r="I143" s="1381">
        <f t="shared" si="69"/>
        <v>0</v>
      </c>
      <c r="J143" s="1380">
        <f t="shared" si="70"/>
        <v>0</v>
      </c>
      <c r="K143" s="1380"/>
      <c r="L143" s="1373"/>
      <c r="M143" s="1381">
        <f t="shared" si="71"/>
        <v>0</v>
      </c>
      <c r="N143" s="1380">
        <f t="shared" si="72"/>
        <v>0</v>
      </c>
      <c r="O143" s="1381">
        <v>1</v>
      </c>
    </row>
    <row r="144" spans="1:15" s="955" customFormat="1">
      <c r="A144" s="1467" t="s">
        <v>2898</v>
      </c>
      <c r="B144" s="1438">
        <v>456</v>
      </c>
      <c r="C144" s="1438">
        <v>4186115</v>
      </c>
      <c r="D144" s="1441" t="s">
        <v>2899</v>
      </c>
      <c r="E144" s="1466">
        <v>611344.63</v>
      </c>
      <c r="F144" s="1466" t="s">
        <v>567</v>
      </c>
      <c r="G144" s="1369">
        <f t="shared" si="68"/>
        <v>0</v>
      </c>
      <c r="H144" s="1373">
        <v>0</v>
      </c>
      <c r="I144" s="1373">
        <f t="shared" si="69"/>
        <v>0</v>
      </c>
      <c r="J144" s="1369">
        <f t="shared" si="70"/>
        <v>0</v>
      </c>
      <c r="K144" s="1369"/>
      <c r="L144" s="1373"/>
      <c r="M144" s="1373">
        <f t="shared" si="71"/>
        <v>0</v>
      </c>
      <c r="N144" s="1369">
        <f t="shared" si="72"/>
        <v>611344.63</v>
      </c>
      <c r="O144" s="1373">
        <v>6</v>
      </c>
    </row>
    <row r="145" spans="1:15" s="955" customFormat="1">
      <c r="A145" s="1467"/>
      <c r="B145" s="1438"/>
      <c r="C145" s="1438"/>
      <c r="D145" s="1441"/>
      <c r="E145" s="1466"/>
      <c r="F145" s="1466"/>
      <c r="G145" s="1462"/>
      <c r="H145" s="1460"/>
      <c r="I145" s="1460"/>
      <c r="J145" s="1462"/>
      <c r="K145" s="1462"/>
      <c r="L145" s="1460"/>
      <c r="M145" s="1460"/>
      <c r="N145" s="1462"/>
      <c r="O145" s="1460"/>
    </row>
    <row r="146" spans="1:15">
      <c r="A146" s="325"/>
      <c r="B146" s="322"/>
      <c r="C146" s="321"/>
      <c r="D146" s="323"/>
      <c r="E146" s="974"/>
      <c r="F146" s="974"/>
      <c r="G146" s="301"/>
      <c r="H146" s="299"/>
      <c r="I146" s="299"/>
      <c r="J146" s="297"/>
      <c r="K146" s="297"/>
      <c r="L146" s="299"/>
      <c r="M146" s="299"/>
      <c r="N146" s="297"/>
      <c r="O146" s="298"/>
    </row>
    <row r="147" spans="1:15" ht="13">
      <c r="A147" s="202">
        <v>13</v>
      </c>
      <c r="B147" s="1540" t="s">
        <v>813</v>
      </c>
      <c r="C147" s="1538"/>
      <c r="D147" s="1539"/>
      <c r="E147" s="305">
        <f>SUM(E83:E146)</f>
        <v>583944995.66999996</v>
      </c>
      <c r="F147" s="314"/>
      <c r="G147" s="305">
        <f>SUM(G83:G146)</f>
        <v>139758720.260961</v>
      </c>
      <c r="H147" s="305">
        <f>SUM(H83:H146)</f>
        <v>28757.542931000004</v>
      </c>
      <c r="I147" s="305">
        <f>SUM(I83:I146)</f>
        <v>139729962.71803001</v>
      </c>
      <c r="J147" s="305">
        <f>SUM(J83:J146)</f>
        <v>1115564.8700000001</v>
      </c>
      <c r="K147" s="314"/>
      <c r="L147" s="305">
        <f>SUM(L83:L146)</f>
        <v>563352.9884106206</v>
      </c>
      <c r="M147" s="305">
        <f>SUM(M83:M146)</f>
        <v>552211.88158937939</v>
      </c>
      <c r="N147" s="305">
        <f>SUM(N83:N146)</f>
        <v>443070710.53903902</v>
      </c>
      <c r="O147" s="190"/>
    </row>
    <row r="148" spans="1:15" ht="25.5" customHeight="1">
      <c r="A148" s="202">
        <v>14</v>
      </c>
      <c r="B148" s="1532" t="s">
        <v>1226</v>
      </c>
      <c r="C148" s="1533"/>
      <c r="D148" s="1534"/>
      <c r="E148" s="1073">
        <v>583944996</v>
      </c>
      <c r="F148" s="304"/>
      <c r="G148" s="320"/>
      <c r="H148" s="304"/>
      <c r="I148" s="304"/>
      <c r="J148" s="320"/>
      <c r="K148" s="304"/>
      <c r="L148" s="292"/>
      <c r="M148" s="292"/>
      <c r="N148" s="292"/>
      <c r="O148" s="189"/>
    </row>
    <row r="149" spans="1:15" ht="13">
      <c r="A149" s="205"/>
      <c r="B149" s="206"/>
      <c r="C149" s="207"/>
      <c r="D149" s="208"/>
      <c r="E149" s="292"/>
      <c r="F149" s="292"/>
      <c r="G149" s="292"/>
      <c r="H149" s="304"/>
      <c r="I149" s="304"/>
      <c r="J149" s="292"/>
      <c r="K149" s="304"/>
      <c r="L149" s="292"/>
      <c r="M149" s="292"/>
      <c r="N149" s="292"/>
      <c r="O149" s="189"/>
    </row>
    <row r="150" spans="1:15">
      <c r="A150" s="202" t="s">
        <v>814</v>
      </c>
      <c r="B150" s="198">
        <v>456.1</v>
      </c>
      <c r="C150" s="203" t="s">
        <v>815</v>
      </c>
      <c r="D150" s="199" t="s">
        <v>816</v>
      </c>
      <c r="E150" s="1382"/>
      <c r="F150" s="1369" t="s">
        <v>565</v>
      </c>
      <c r="G150" s="1371">
        <f t="shared" ref="G150:G162" si="73">IF(F150=$G$2,E150,0)</f>
        <v>0</v>
      </c>
      <c r="H150" s="1372">
        <f>G150</f>
        <v>0</v>
      </c>
      <c r="I150" s="1372">
        <f t="shared" ref="I150:I169" si="74">G150-H150</f>
        <v>0</v>
      </c>
      <c r="J150" s="1371">
        <f t="shared" ref="J150:J163" si="75">IF(F150=$J$2,E150,0)</f>
        <v>0</v>
      </c>
      <c r="K150" s="1374"/>
      <c r="L150" s="1375"/>
      <c r="M150" s="1372">
        <f>J150-L150</f>
        <v>0</v>
      </c>
      <c r="N150" s="1371">
        <f t="shared" ref="N150:N169" si="76">IF(F150=$N$2,E150,0)</f>
        <v>0</v>
      </c>
      <c r="O150" s="1372">
        <v>5</v>
      </c>
    </row>
    <row r="151" spans="1:15">
      <c r="A151" s="202" t="s">
        <v>817</v>
      </c>
      <c r="B151" s="198">
        <v>456.1</v>
      </c>
      <c r="C151" s="203" t="s">
        <v>818</v>
      </c>
      <c r="D151" s="199" t="s">
        <v>819</v>
      </c>
      <c r="E151" s="1382">
        <v>296028</v>
      </c>
      <c r="F151" s="1369" t="s">
        <v>565</v>
      </c>
      <c r="G151" s="1371">
        <f t="shared" si="73"/>
        <v>296028</v>
      </c>
      <c r="H151" s="1372">
        <v>0</v>
      </c>
      <c r="I151" s="1372">
        <f t="shared" si="74"/>
        <v>296028</v>
      </c>
      <c r="J151" s="1371">
        <f t="shared" si="75"/>
        <v>0</v>
      </c>
      <c r="K151" s="1374"/>
      <c r="L151" s="1375"/>
      <c r="M151" s="1372">
        <f>J151-L151</f>
        <v>0</v>
      </c>
      <c r="N151" s="1371">
        <f t="shared" si="76"/>
        <v>0</v>
      </c>
      <c r="O151" s="1372">
        <v>4</v>
      </c>
    </row>
    <row r="152" spans="1:15">
      <c r="A152" s="202" t="s">
        <v>820</v>
      </c>
      <c r="B152" s="198">
        <v>456.1</v>
      </c>
      <c r="C152" s="203" t="s">
        <v>821</v>
      </c>
      <c r="D152" s="199" t="s">
        <v>822</v>
      </c>
      <c r="E152" s="1382">
        <v>898962.96</v>
      </c>
      <c r="F152" s="1369" t="s">
        <v>565</v>
      </c>
      <c r="G152" s="1371">
        <f t="shared" si="73"/>
        <v>898962.96</v>
      </c>
      <c r="H152" s="1372">
        <v>0</v>
      </c>
      <c r="I152" s="1372">
        <f t="shared" si="74"/>
        <v>898962.96</v>
      </c>
      <c r="J152" s="1371">
        <f t="shared" si="75"/>
        <v>0</v>
      </c>
      <c r="K152" s="1374"/>
      <c r="L152" s="1375"/>
      <c r="M152" s="1372">
        <f>J152-L152</f>
        <v>0</v>
      </c>
      <c r="N152" s="1371">
        <f t="shared" si="76"/>
        <v>0</v>
      </c>
      <c r="O152" s="1372">
        <v>4</v>
      </c>
    </row>
    <row r="153" spans="1:15">
      <c r="A153" s="202" t="s">
        <v>823</v>
      </c>
      <c r="B153" s="198">
        <v>456.1</v>
      </c>
      <c r="C153" s="203" t="s">
        <v>824</v>
      </c>
      <c r="D153" s="199" t="s">
        <v>825</v>
      </c>
      <c r="E153" s="1382">
        <v>122348.8</v>
      </c>
      <c r="F153" s="1369" t="s">
        <v>567</v>
      </c>
      <c r="G153" s="1371">
        <f t="shared" si="73"/>
        <v>0</v>
      </c>
      <c r="H153" s="1372">
        <v>0</v>
      </c>
      <c r="I153" s="1372">
        <f t="shared" si="74"/>
        <v>0</v>
      </c>
      <c r="J153" s="1371">
        <f t="shared" si="75"/>
        <v>0</v>
      </c>
      <c r="K153" s="1374"/>
      <c r="L153" s="1375"/>
      <c r="M153" s="1372">
        <f>J153-L153</f>
        <v>0</v>
      </c>
      <c r="N153" s="1371">
        <f t="shared" si="76"/>
        <v>122348.8</v>
      </c>
      <c r="O153" s="1372">
        <v>6</v>
      </c>
    </row>
    <row r="154" spans="1:15">
      <c r="A154" s="202" t="s">
        <v>826</v>
      </c>
      <c r="B154" s="198">
        <v>456.1</v>
      </c>
      <c r="C154" s="203" t="s">
        <v>827</v>
      </c>
      <c r="D154" s="199" t="s">
        <v>828</v>
      </c>
      <c r="E154" s="1382">
        <v>70881961.409999996</v>
      </c>
      <c r="F154" s="1369" t="s">
        <v>567</v>
      </c>
      <c r="G154" s="1371">
        <f t="shared" si="73"/>
        <v>0</v>
      </c>
      <c r="H154" s="1372">
        <v>0</v>
      </c>
      <c r="I154" s="1372">
        <f t="shared" si="74"/>
        <v>0</v>
      </c>
      <c r="J154" s="1371">
        <f t="shared" si="75"/>
        <v>0</v>
      </c>
      <c r="K154" s="1374"/>
      <c r="L154" s="1375"/>
      <c r="M154" s="1372">
        <f>J154-L154</f>
        <v>0</v>
      </c>
      <c r="N154" s="1371">
        <f t="shared" si="76"/>
        <v>70881961.409999996</v>
      </c>
      <c r="O154" s="1372">
        <v>6</v>
      </c>
    </row>
    <row r="155" spans="1:15">
      <c r="A155" s="202" t="s">
        <v>829</v>
      </c>
      <c r="B155" s="198">
        <v>456.1</v>
      </c>
      <c r="C155" s="203" t="s">
        <v>830</v>
      </c>
      <c r="D155" s="199" t="s">
        <v>831</v>
      </c>
      <c r="E155" s="1382"/>
      <c r="F155" s="1369" t="s">
        <v>567</v>
      </c>
      <c r="G155" s="1371">
        <f t="shared" si="73"/>
        <v>0</v>
      </c>
      <c r="H155" s="1372">
        <v>0</v>
      </c>
      <c r="I155" s="1372">
        <f t="shared" si="74"/>
        <v>0</v>
      </c>
      <c r="J155" s="1371">
        <f t="shared" si="75"/>
        <v>0</v>
      </c>
      <c r="K155" s="1374"/>
      <c r="L155" s="1375"/>
      <c r="M155" s="1372">
        <f t="shared" ref="M155" si="77">J155-L155</f>
        <v>0</v>
      </c>
      <c r="N155" s="1371">
        <f t="shared" si="76"/>
        <v>0</v>
      </c>
      <c r="O155" s="1372">
        <v>6</v>
      </c>
    </row>
    <row r="156" spans="1:15">
      <c r="A156" s="202" t="s">
        <v>832</v>
      </c>
      <c r="B156" s="198">
        <v>456.1</v>
      </c>
      <c r="C156" s="203" t="s">
        <v>833</v>
      </c>
      <c r="D156" s="199" t="s">
        <v>834</v>
      </c>
      <c r="E156" s="1382">
        <v>35750160</v>
      </c>
      <c r="F156" s="1369" t="s">
        <v>565</v>
      </c>
      <c r="G156" s="1371">
        <f t="shared" si="73"/>
        <v>35750160</v>
      </c>
      <c r="H156" s="1372">
        <f>G156</f>
        <v>35750160</v>
      </c>
      <c r="I156" s="1372">
        <f t="shared" si="74"/>
        <v>0</v>
      </c>
      <c r="J156" s="1371">
        <f t="shared" si="75"/>
        <v>0</v>
      </c>
      <c r="K156" s="1374"/>
      <c r="L156" s="1375"/>
      <c r="M156" s="1372">
        <f t="shared" ref="M156:M169" si="78">J156-L156</f>
        <v>0</v>
      </c>
      <c r="N156" s="1371">
        <f t="shared" si="76"/>
        <v>0</v>
      </c>
      <c r="O156" s="1372">
        <v>5</v>
      </c>
    </row>
    <row r="157" spans="1:15">
      <c r="A157" s="202" t="s">
        <v>835</v>
      </c>
      <c r="B157" s="198">
        <v>456.1</v>
      </c>
      <c r="C157" s="203" t="s">
        <v>836</v>
      </c>
      <c r="D157" s="199" t="s">
        <v>837</v>
      </c>
      <c r="E157" s="1382">
        <v>8909868.2400000002</v>
      </c>
      <c r="F157" s="1369" t="s">
        <v>565</v>
      </c>
      <c r="G157" s="1371">
        <f t="shared" si="73"/>
        <v>8909868.2400000002</v>
      </c>
      <c r="H157" s="1372">
        <v>0</v>
      </c>
      <c r="I157" s="1372">
        <f t="shared" si="74"/>
        <v>8909868.2400000002</v>
      </c>
      <c r="J157" s="1371">
        <f t="shared" si="75"/>
        <v>0</v>
      </c>
      <c r="K157" s="1374"/>
      <c r="L157" s="1375"/>
      <c r="M157" s="1372">
        <f t="shared" si="78"/>
        <v>0</v>
      </c>
      <c r="N157" s="1371">
        <f t="shared" si="76"/>
        <v>0</v>
      </c>
      <c r="O157" s="1372">
        <v>4</v>
      </c>
    </row>
    <row r="158" spans="1:15">
      <c r="A158" s="202" t="s">
        <v>838</v>
      </c>
      <c r="B158" s="198">
        <v>456.1</v>
      </c>
      <c r="C158" s="203" t="s">
        <v>839</v>
      </c>
      <c r="D158" s="199" t="s">
        <v>840</v>
      </c>
      <c r="E158" s="1382"/>
      <c r="F158" s="1369" t="s">
        <v>565</v>
      </c>
      <c r="G158" s="1371">
        <f t="shared" si="73"/>
        <v>0</v>
      </c>
      <c r="H158" s="1372">
        <v>0</v>
      </c>
      <c r="I158" s="1372">
        <f t="shared" si="74"/>
        <v>0</v>
      </c>
      <c r="J158" s="1371">
        <f t="shared" si="75"/>
        <v>0</v>
      </c>
      <c r="K158" s="1374"/>
      <c r="L158" s="1375"/>
      <c r="M158" s="1372">
        <f t="shared" si="78"/>
        <v>0</v>
      </c>
      <c r="N158" s="1371">
        <f t="shared" si="76"/>
        <v>0</v>
      </c>
      <c r="O158" s="1372">
        <v>4</v>
      </c>
    </row>
    <row r="159" spans="1:15">
      <c r="A159" s="1090" t="s">
        <v>841</v>
      </c>
      <c r="B159" s="198">
        <v>456.1</v>
      </c>
      <c r="C159" s="203" t="s">
        <v>843</v>
      </c>
      <c r="D159" s="199" t="s">
        <v>844</v>
      </c>
      <c r="E159" s="1382"/>
      <c r="F159" s="1369" t="s">
        <v>565</v>
      </c>
      <c r="G159" s="1371">
        <f t="shared" si="73"/>
        <v>0</v>
      </c>
      <c r="H159" s="1372">
        <v>0</v>
      </c>
      <c r="I159" s="1372">
        <f t="shared" si="74"/>
        <v>0</v>
      </c>
      <c r="J159" s="1371">
        <f t="shared" si="75"/>
        <v>0</v>
      </c>
      <c r="K159" s="1374"/>
      <c r="L159" s="1375"/>
      <c r="M159" s="1372">
        <f t="shared" si="78"/>
        <v>0</v>
      </c>
      <c r="N159" s="1371">
        <f t="shared" si="76"/>
        <v>0</v>
      </c>
      <c r="O159" s="1372">
        <v>4</v>
      </c>
    </row>
    <row r="160" spans="1:15">
      <c r="A160" s="1090" t="s">
        <v>842</v>
      </c>
      <c r="B160" s="198">
        <v>456.1</v>
      </c>
      <c r="C160" s="203" t="s">
        <v>846</v>
      </c>
      <c r="D160" s="199" t="s">
        <v>847</v>
      </c>
      <c r="E160" s="1382">
        <v>402147.6</v>
      </c>
      <c r="F160" s="1369" t="s">
        <v>565</v>
      </c>
      <c r="G160" s="1371">
        <f t="shared" si="73"/>
        <v>402147.6</v>
      </c>
      <c r="H160" s="1372">
        <v>0</v>
      </c>
      <c r="I160" s="1372">
        <f t="shared" si="74"/>
        <v>402147.6</v>
      </c>
      <c r="J160" s="1371">
        <f t="shared" si="75"/>
        <v>0</v>
      </c>
      <c r="K160" s="1374"/>
      <c r="L160" s="1375"/>
      <c r="M160" s="1372">
        <f t="shared" si="78"/>
        <v>0</v>
      </c>
      <c r="N160" s="1371">
        <f t="shared" si="76"/>
        <v>0</v>
      </c>
      <c r="O160" s="1372">
        <v>4</v>
      </c>
    </row>
    <row r="161" spans="1:15">
      <c r="A161" s="1090" t="s">
        <v>845</v>
      </c>
      <c r="B161" s="198">
        <v>456.1</v>
      </c>
      <c r="C161" s="203" t="s">
        <v>849</v>
      </c>
      <c r="D161" s="199" t="s">
        <v>850</v>
      </c>
      <c r="E161" s="1382"/>
      <c r="F161" s="1369" t="s">
        <v>565</v>
      </c>
      <c r="G161" s="1371">
        <f t="shared" si="73"/>
        <v>0</v>
      </c>
      <c r="H161" s="1372">
        <v>0</v>
      </c>
      <c r="I161" s="1372">
        <f t="shared" si="74"/>
        <v>0</v>
      </c>
      <c r="J161" s="1371">
        <f t="shared" si="75"/>
        <v>0</v>
      </c>
      <c r="K161" s="1374"/>
      <c r="L161" s="1375"/>
      <c r="M161" s="1372">
        <f t="shared" si="78"/>
        <v>0</v>
      </c>
      <c r="N161" s="1371">
        <f t="shared" si="76"/>
        <v>0</v>
      </c>
      <c r="O161" s="1372">
        <v>4</v>
      </c>
    </row>
    <row r="162" spans="1:15">
      <c r="A162" s="1090" t="s">
        <v>848</v>
      </c>
      <c r="B162" s="198">
        <v>456.1</v>
      </c>
      <c r="C162" s="203" t="s">
        <v>852</v>
      </c>
      <c r="D162" s="199" t="s">
        <v>853</v>
      </c>
      <c r="E162" s="1382"/>
      <c r="F162" s="1369" t="s">
        <v>565</v>
      </c>
      <c r="G162" s="1371">
        <f t="shared" si="73"/>
        <v>0</v>
      </c>
      <c r="H162" s="1372">
        <v>0</v>
      </c>
      <c r="I162" s="1372">
        <f t="shared" si="74"/>
        <v>0</v>
      </c>
      <c r="J162" s="1371">
        <f t="shared" si="75"/>
        <v>0</v>
      </c>
      <c r="K162" s="1374"/>
      <c r="L162" s="1375"/>
      <c r="M162" s="1372">
        <f t="shared" si="78"/>
        <v>0</v>
      </c>
      <c r="N162" s="1371">
        <f t="shared" si="76"/>
        <v>0</v>
      </c>
      <c r="O162" s="1372">
        <v>4</v>
      </c>
    </row>
    <row r="163" spans="1:15">
      <c r="A163" s="1090" t="s">
        <v>851</v>
      </c>
      <c r="B163" s="198">
        <v>456.1</v>
      </c>
      <c r="C163" s="203" t="s">
        <v>855</v>
      </c>
      <c r="D163" s="199" t="s">
        <v>856</v>
      </c>
      <c r="E163" s="1382">
        <v>651331.07999999996</v>
      </c>
      <c r="F163" s="1369" t="s">
        <v>565</v>
      </c>
      <c r="G163" s="1371">
        <f t="shared" ref="G163" si="79">IF(F163=$G$2,E163,0)</f>
        <v>651331.07999999996</v>
      </c>
      <c r="H163" s="1372">
        <v>0</v>
      </c>
      <c r="I163" s="1372">
        <f t="shared" si="74"/>
        <v>651331.07999999996</v>
      </c>
      <c r="J163" s="1371">
        <f t="shared" si="75"/>
        <v>0</v>
      </c>
      <c r="K163" s="1374"/>
      <c r="L163" s="1375"/>
      <c r="M163" s="1372">
        <f t="shared" si="78"/>
        <v>0</v>
      </c>
      <c r="N163" s="1371">
        <f t="shared" si="76"/>
        <v>0</v>
      </c>
      <c r="O163" s="1372">
        <v>4</v>
      </c>
    </row>
    <row r="164" spans="1:15">
      <c r="A164" s="1090" t="s">
        <v>854</v>
      </c>
      <c r="B164" s="198">
        <v>456.1</v>
      </c>
      <c r="C164" s="203" t="s">
        <v>858</v>
      </c>
      <c r="D164" s="199" t="s">
        <v>859</v>
      </c>
      <c r="E164" s="1382">
        <v>207840.12</v>
      </c>
      <c r="F164" s="1369" t="s">
        <v>565</v>
      </c>
      <c r="G164" s="1371">
        <f t="shared" ref="G164:G169" si="80">IF(F164=$G$2,E164,0)</f>
        <v>207840.12</v>
      </c>
      <c r="H164" s="1372">
        <v>0</v>
      </c>
      <c r="I164" s="1372">
        <f t="shared" si="74"/>
        <v>207840.12</v>
      </c>
      <c r="J164" s="1371">
        <f t="shared" ref="J164" si="81">IF(F164=$J$2,E164,0)</f>
        <v>0</v>
      </c>
      <c r="K164" s="1374"/>
      <c r="L164" s="1375"/>
      <c r="M164" s="1372">
        <f t="shared" si="78"/>
        <v>0</v>
      </c>
      <c r="N164" s="1371">
        <f t="shared" si="76"/>
        <v>0</v>
      </c>
      <c r="O164" s="1372">
        <v>4</v>
      </c>
    </row>
    <row r="165" spans="1:15">
      <c r="A165" s="1090" t="s">
        <v>857</v>
      </c>
      <c r="B165" s="198">
        <v>456.1</v>
      </c>
      <c r="C165" s="203" t="s">
        <v>862</v>
      </c>
      <c r="D165" s="199" t="s">
        <v>863</v>
      </c>
      <c r="E165" s="1382">
        <v>42492.12</v>
      </c>
      <c r="F165" s="1369" t="s">
        <v>565</v>
      </c>
      <c r="G165" s="1371">
        <f t="shared" si="80"/>
        <v>42492.12</v>
      </c>
      <c r="H165" s="1372">
        <v>0</v>
      </c>
      <c r="I165" s="1372">
        <f t="shared" si="74"/>
        <v>42492.12</v>
      </c>
      <c r="J165" s="1371">
        <f>IF(F165=$J$2,E165,0)</f>
        <v>0</v>
      </c>
      <c r="K165" s="1374"/>
      <c r="L165" s="1375"/>
      <c r="M165" s="1372">
        <f t="shared" si="78"/>
        <v>0</v>
      </c>
      <c r="N165" s="1371">
        <f t="shared" si="76"/>
        <v>0</v>
      </c>
      <c r="O165" s="1372">
        <v>4</v>
      </c>
    </row>
    <row r="166" spans="1:15">
      <c r="A166" s="1090" t="s">
        <v>860</v>
      </c>
      <c r="B166" s="198">
        <v>456.1</v>
      </c>
      <c r="C166" s="203" t="s">
        <v>865</v>
      </c>
      <c r="D166" s="199" t="s">
        <v>866</v>
      </c>
      <c r="E166" s="1382"/>
      <c r="F166" s="1369" t="s">
        <v>567</v>
      </c>
      <c r="G166" s="1371">
        <f t="shared" si="80"/>
        <v>0</v>
      </c>
      <c r="H166" s="1372">
        <v>0</v>
      </c>
      <c r="I166" s="1372">
        <f t="shared" si="74"/>
        <v>0</v>
      </c>
      <c r="J166" s="1371">
        <f>IF(F166=$J$2,E166,0)</f>
        <v>0</v>
      </c>
      <c r="K166" s="1374"/>
      <c r="L166" s="1375"/>
      <c r="M166" s="1372">
        <f t="shared" si="78"/>
        <v>0</v>
      </c>
      <c r="N166" s="1371">
        <f t="shared" si="76"/>
        <v>0</v>
      </c>
      <c r="O166" s="1372">
        <v>6</v>
      </c>
    </row>
    <row r="167" spans="1:15" s="955" customFormat="1">
      <c r="A167" s="890" t="s">
        <v>861</v>
      </c>
      <c r="B167" s="1118">
        <v>456.1</v>
      </c>
      <c r="C167" s="889" t="s">
        <v>2388</v>
      </c>
      <c r="D167" s="889" t="s">
        <v>2389</v>
      </c>
      <c r="E167" s="1382">
        <v>96303.72</v>
      </c>
      <c r="F167" s="1369" t="s">
        <v>565</v>
      </c>
      <c r="G167" s="1371">
        <f t="shared" si="80"/>
        <v>96303.72</v>
      </c>
      <c r="H167" s="1372">
        <v>0</v>
      </c>
      <c r="I167" s="1372">
        <f t="shared" si="74"/>
        <v>96303.72</v>
      </c>
      <c r="J167" s="1371">
        <f>IF(F167=$J$2,E167,0)</f>
        <v>0</v>
      </c>
      <c r="K167" s="1383"/>
      <c r="L167" s="1373"/>
      <c r="M167" s="1372">
        <f t="shared" si="78"/>
        <v>0</v>
      </c>
      <c r="N167" s="1371">
        <f t="shared" si="76"/>
        <v>0</v>
      </c>
      <c r="O167" s="1381">
        <v>4</v>
      </c>
    </row>
    <row r="168" spans="1:15" s="955" customFormat="1">
      <c r="A168" s="890" t="s">
        <v>864</v>
      </c>
      <c r="B168" s="1118">
        <v>456.1</v>
      </c>
      <c r="C168" s="889" t="s">
        <v>2390</v>
      </c>
      <c r="D168" s="889" t="s">
        <v>2391</v>
      </c>
      <c r="E168" s="1382">
        <v>104526.97</v>
      </c>
      <c r="F168" s="1369" t="s">
        <v>565</v>
      </c>
      <c r="G168" s="1371">
        <f t="shared" si="80"/>
        <v>104526.97</v>
      </c>
      <c r="H168" s="1372">
        <v>0</v>
      </c>
      <c r="I168" s="1372">
        <f t="shared" si="74"/>
        <v>104526.97</v>
      </c>
      <c r="J168" s="1371">
        <f>IF(F168=$J$2,E168,0)</f>
        <v>0</v>
      </c>
      <c r="K168" s="1383"/>
      <c r="L168" s="1373"/>
      <c r="M168" s="1372">
        <f t="shared" si="78"/>
        <v>0</v>
      </c>
      <c r="N168" s="1371">
        <f t="shared" si="76"/>
        <v>0</v>
      </c>
      <c r="O168" s="1381">
        <v>4</v>
      </c>
    </row>
    <row r="169" spans="1:15">
      <c r="A169" s="890" t="s">
        <v>2387</v>
      </c>
      <c r="B169" s="1118">
        <v>456.1</v>
      </c>
      <c r="C169" s="889" t="s">
        <v>2392</v>
      </c>
      <c r="D169" s="1117" t="s">
        <v>2393</v>
      </c>
      <c r="E169" s="1382">
        <v>3054806.5</v>
      </c>
      <c r="F169" s="1382" t="s">
        <v>567</v>
      </c>
      <c r="G169" s="1371">
        <f t="shared" si="80"/>
        <v>0</v>
      </c>
      <c r="H169" s="1372">
        <v>0</v>
      </c>
      <c r="I169" s="1372">
        <f t="shared" si="74"/>
        <v>0</v>
      </c>
      <c r="J169" s="1371">
        <f>IF(F169=$J$2,E169,0)</f>
        <v>0</v>
      </c>
      <c r="K169" s="1383"/>
      <c r="L169" s="1373"/>
      <c r="M169" s="1372">
        <f t="shared" si="78"/>
        <v>0</v>
      </c>
      <c r="N169" s="1371">
        <f t="shared" si="76"/>
        <v>3054806.5</v>
      </c>
      <c r="O169" s="1381">
        <v>6</v>
      </c>
    </row>
    <row r="170" spans="1:15" s="955" customFormat="1">
      <c r="A170" s="1340" t="s">
        <v>2666</v>
      </c>
      <c r="B170" s="1341">
        <v>456.1</v>
      </c>
      <c r="C170" s="1343" t="s">
        <v>865</v>
      </c>
      <c r="D170" s="1342" t="s">
        <v>2667</v>
      </c>
      <c r="E170" s="1382">
        <v>15249.85</v>
      </c>
      <c r="F170" s="1382" t="s">
        <v>567</v>
      </c>
      <c r="G170" s="1384">
        <f t="shared" ref="G170:G172" si="82">IF(F170=$G$2,E170,0)</f>
        <v>0</v>
      </c>
      <c r="H170" s="1381">
        <v>0</v>
      </c>
      <c r="I170" s="1381">
        <f t="shared" ref="I170:I172" si="83">G170-H170</f>
        <v>0</v>
      </c>
      <c r="J170" s="1384">
        <f t="shared" ref="J170:J172" si="84">IF(F170=$J$2,E170,0)</f>
        <v>0</v>
      </c>
      <c r="K170" s="1383"/>
      <c r="L170" s="1373"/>
      <c r="M170" s="1372">
        <f t="shared" ref="M170:M172" si="85">J170-L170</f>
        <v>0</v>
      </c>
      <c r="N170" s="1371">
        <f t="shared" ref="N170:N172" si="86">IF(F170=$N$2,E170,0)</f>
        <v>15249.85</v>
      </c>
      <c r="O170" s="1381">
        <v>6</v>
      </c>
    </row>
    <row r="171" spans="1:15" s="955" customFormat="1">
      <c r="A171" s="1340" t="s">
        <v>2668</v>
      </c>
      <c r="B171" s="1341">
        <v>456.1</v>
      </c>
      <c r="C171" s="1343" t="s">
        <v>2670</v>
      </c>
      <c r="D171" s="1342" t="s">
        <v>2669</v>
      </c>
      <c r="E171" s="1382">
        <v>35.08</v>
      </c>
      <c r="F171" s="1382" t="s">
        <v>567</v>
      </c>
      <c r="G171" s="1384">
        <f t="shared" si="82"/>
        <v>0</v>
      </c>
      <c r="H171" s="1381">
        <v>0</v>
      </c>
      <c r="I171" s="1381">
        <f t="shared" si="83"/>
        <v>0</v>
      </c>
      <c r="J171" s="1384">
        <f t="shared" si="84"/>
        <v>0</v>
      </c>
      <c r="K171" s="1383"/>
      <c r="L171" s="1373"/>
      <c r="M171" s="1372">
        <f t="shared" si="85"/>
        <v>0</v>
      </c>
      <c r="N171" s="1371">
        <f t="shared" si="86"/>
        <v>35.08</v>
      </c>
      <c r="O171" s="1381">
        <v>6</v>
      </c>
    </row>
    <row r="172" spans="1:15" s="465" customFormat="1">
      <c r="A172" s="1340" t="s">
        <v>2785</v>
      </c>
      <c r="B172" s="1457">
        <v>456.1</v>
      </c>
      <c r="C172" s="1468" t="s">
        <v>2786</v>
      </c>
      <c r="D172" s="543" t="s">
        <v>2787</v>
      </c>
      <c r="E172" s="1382">
        <v>8479669</v>
      </c>
      <c r="F172" s="1382" t="s">
        <v>567</v>
      </c>
      <c r="G172" s="1384">
        <f t="shared" si="82"/>
        <v>0</v>
      </c>
      <c r="H172" s="1381">
        <v>0</v>
      </c>
      <c r="I172" s="1381">
        <f t="shared" si="83"/>
        <v>0</v>
      </c>
      <c r="J172" s="1384">
        <f t="shared" si="84"/>
        <v>0</v>
      </c>
      <c r="K172" s="1383"/>
      <c r="L172" s="1373"/>
      <c r="M172" s="1381">
        <f t="shared" si="85"/>
        <v>0</v>
      </c>
      <c r="N172" s="1380">
        <f t="shared" si="86"/>
        <v>8479669</v>
      </c>
      <c r="O172" s="1381">
        <v>6</v>
      </c>
    </row>
    <row r="173" spans="1:15" s="463" customFormat="1">
      <c r="A173" s="1437"/>
      <c r="B173" s="1438"/>
      <c r="C173" s="1440"/>
      <c r="D173" s="1441"/>
      <c r="E173" s="1382"/>
      <c r="F173" s="1382"/>
      <c r="G173" s="1369"/>
      <c r="H173" s="1373"/>
      <c r="I173" s="1373"/>
      <c r="J173" s="1369"/>
      <c r="K173" s="1382"/>
      <c r="L173" s="1373"/>
      <c r="M173" s="1373"/>
      <c r="N173" s="1379"/>
      <c r="O173" s="1373"/>
    </row>
    <row r="174" spans="1:15">
      <c r="A174" s="325"/>
      <c r="B174" s="322"/>
      <c r="C174" s="321"/>
      <c r="D174" s="323"/>
      <c r="E174" s="300"/>
      <c r="F174" s="300"/>
      <c r="G174" s="301"/>
      <c r="H174" s="299"/>
      <c r="I174" s="299"/>
      <c r="J174" s="297"/>
      <c r="K174" s="300"/>
      <c r="L174" s="299"/>
      <c r="M174" s="299"/>
      <c r="N174" s="297"/>
      <c r="O174" s="298"/>
    </row>
    <row r="175" spans="1:15" ht="13">
      <c r="A175" s="202">
        <v>16</v>
      </c>
      <c r="B175" s="1540" t="s">
        <v>867</v>
      </c>
      <c r="C175" s="1538"/>
      <c r="D175" s="1539"/>
      <c r="E175" s="305">
        <f>SUM(E150:E174)</f>
        <v>129913731.44999999</v>
      </c>
      <c r="F175" s="314"/>
      <c r="G175" s="305">
        <f>SUM(G150:G174)</f>
        <v>47359660.809999995</v>
      </c>
      <c r="H175" s="305">
        <f>SUM(H150:H174)</f>
        <v>35750160</v>
      </c>
      <c r="I175" s="305">
        <f>SUM(I150:I174)</f>
        <v>11609500.809999999</v>
      </c>
      <c r="J175" s="305">
        <f>SUM(J150:J174)</f>
        <v>0</v>
      </c>
      <c r="K175" s="314"/>
      <c r="L175" s="305">
        <f>SUM(L150:L174)</f>
        <v>0</v>
      </c>
      <c r="M175" s="305">
        <f>SUM(M150:M174)</f>
        <v>0</v>
      </c>
      <c r="N175" s="305">
        <f>SUM(N150:N174)</f>
        <v>82554070.639999986</v>
      </c>
      <c r="O175" s="191"/>
    </row>
    <row r="176" spans="1:15" ht="25.5" customHeight="1">
      <c r="A176" s="202">
        <v>17</v>
      </c>
      <c r="B176" s="1532" t="s">
        <v>1221</v>
      </c>
      <c r="C176" s="1533"/>
      <c r="D176" s="1534"/>
      <c r="E176" s="1073">
        <v>129913731</v>
      </c>
      <c r="F176" s="304"/>
      <c r="G176" s="316"/>
      <c r="H176" s="304"/>
      <c r="I176" s="306"/>
      <c r="J176" s="290"/>
      <c r="K176" s="306"/>
      <c r="L176" s="290"/>
      <c r="M176" s="290"/>
      <c r="N176" s="290"/>
      <c r="O176" s="189"/>
    </row>
    <row r="177" spans="1:15" ht="13">
      <c r="A177" s="205"/>
      <c r="B177" s="206"/>
      <c r="C177" s="207"/>
      <c r="D177" s="208"/>
      <c r="E177" s="290"/>
      <c r="F177" s="290"/>
      <c r="G177" s="290"/>
      <c r="H177" s="306"/>
      <c r="I177" s="306"/>
      <c r="J177" s="290"/>
      <c r="K177" s="306"/>
      <c r="L177" s="290"/>
      <c r="M177" s="290"/>
      <c r="N177" s="290"/>
      <c r="O177" s="189"/>
    </row>
    <row r="178" spans="1:15" ht="13">
      <c r="A178" s="325"/>
      <c r="B178" s="324"/>
      <c r="C178" s="343"/>
      <c r="D178" s="343"/>
      <c r="E178" s="344"/>
      <c r="F178" s="344"/>
      <c r="G178" s="344"/>
      <c r="H178" s="344"/>
      <c r="I178" s="344"/>
      <c r="J178" s="344"/>
      <c r="K178" s="344"/>
      <c r="L178" s="344"/>
      <c r="M178" s="344"/>
      <c r="N178" s="344"/>
      <c r="O178" s="298"/>
    </row>
    <row r="179" spans="1:15" ht="13">
      <c r="A179" s="325"/>
      <c r="B179" s="345"/>
      <c r="C179" s="343"/>
      <c r="D179" s="343"/>
      <c r="E179" s="344"/>
      <c r="F179" s="344"/>
      <c r="G179" s="344"/>
      <c r="H179" s="344"/>
      <c r="I179" s="344"/>
      <c r="J179" s="344"/>
      <c r="K179" s="344"/>
      <c r="L179" s="344"/>
      <c r="M179" s="344"/>
      <c r="N179" s="344"/>
      <c r="O179" s="298"/>
    </row>
    <row r="180" spans="1:15" ht="13">
      <c r="A180" s="197">
        <v>19</v>
      </c>
      <c r="B180" s="1540" t="s">
        <v>868</v>
      </c>
      <c r="C180" s="1538"/>
      <c r="D180" s="1539"/>
      <c r="E180" s="291">
        <f>SUM(E178:E179)</f>
        <v>0</v>
      </c>
      <c r="F180" s="349"/>
      <c r="G180" s="291">
        <f>SUM(G178:G179)</f>
        <v>0</v>
      </c>
      <c r="H180" s="291">
        <f>SUM(H178:H179)</f>
        <v>0</v>
      </c>
      <c r="I180" s="291">
        <f>SUM(I178:I179)</f>
        <v>0</v>
      </c>
      <c r="J180" s="291">
        <f>SUM(J178:J179)</f>
        <v>0</v>
      </c>
      <c r="K180" s="314"/>
      <c r="L180" s="291">
        <f>SUM(L178:L179)</f>
        <v>0</v>
      </c>
      <c r="M180" s="291">
        <f>SUM(M178:M179)</f>
        <v>0</v>
      </c>
      <c r="N180" s="291">
        <f>SUM(N178:N179)</f>
        <v>0</v>
      </c>
      <c r="O180" s="291"/>
    </row>
    <row r="181" spans="1:15" ht="26.25" customHeight="1">
      <c r="A181" s="197">
        <v>20</v>
      </c>
      <c r="B181" s="1548" t="s">
        <v>1227</v>
      </c>
      <c r="C181" s="1549"/>
      <c r="D181" s="1550"/>
      <c r="E181" s="303">
        <v>0</v>
      </c>
      <c r="F181" s="290"/>
      <c r="G181" s="292"/>
      <c r="H181" s="304"/>
      <c r="I181" s="304"/>
      <c r="J181" s="292"/>
      <c r="K181" s="304"/>
      <c r="L181" s="292"/>
      <c r="M181" s="292"/>
      <c r="N181" s="292"/>
      <c r="O181" s="394"/>
    </row>
    <row r="182" spans="1:15" ht="13">
      <c r="A182" s="205"/>
      <c r="B182" s="206"/>
      <c r="C182" s="207"/>
      <c r="D182" s="208"/>
      <c r="E182" s="290"/>
      <c r="F182" s="290"/>
      <c r="G182" s="292"/>
      <c r="H182" s="304"/>
      <c r="I182" s="304"/>
      <c r="J182" s="292"/>
      <c r="K182" s="304"/>
      <c r="L182" s="292"/>
      <c r="M182" s="292"/>
      <c r="N182" s="292"/>
      <c r="O182" s="394"/>
    </row>
    <row r="183" spans="1:15" ht="13">
      <c r="A183" s="325"/>
      <c r="B183" s="324"/>
      <c r="C183" s="343"/>
      <c r="D183" s="343"/>
      <c r="E183" s="344"/>
      <c r="F183" s="344"/>
      <c r="G183" s="303"/>
      <c r="H183" s="303"/>
      <c r="I183" s="303"/>
      <c r="J183" s="303"/>
      <c r="K183" s="303"/>
      <c r="L183" s="303"/>
      <c r="M183" s="303"/>
      <c r="N183" s="303"/>
      <c r="O183" s="299"/>
    </row>
    <row r="184" spans="1:15" ht="13">
      <c r="A184" s="325"/>
      <c r="B184" s="345"/>
      <c r="C184" s="343"/>
      <c r="D184" s="343"/>
      <c r="E184" s="344"/>
      <c r="F184" s="344"/>
      <c r="G184" s="303"/>
      <c r="H184" s="303"/>
      <c r="I184" s="303"/>
      <c r="J184" s="303"/>
      <c r="K184" s="303"/>
      <c r="L184" s="303"/>
      <c r="M184" s="303"/>
      <c r="N184" s="303"/>
      <c r="O184" s="299"/>
    </row>
    <row r="185" spans="1:15" ht="13">
      <c r="A185" s="197">
        <v>22</v>
      </c>
      <c r="B185" s="1540" t="s">
        <v>869</v>
      </c>
      <c r="C185" s="1538"/>
      <c r="D185" s="1539"/>
      <c r="E185" s="291">
        <f>SUM(E183:E184)</f>
        <v>0</v>
      </c>
      <c r="F185" s="349"/>
      <c r="G185" s="291">
        <f>SUM(G183:G184)</f>
        <v>0</v>
      </c>
      <c r="H185" s="291">
        <f>SUM(H183:H184)</f>
        <v>0</v>
      </c>
      <c r="I185" s="291">
        <f>SUM(I183:I184)</f>
        <v>0</v>
      </c>
      <c r="J185" s="291">
        <f>SUM(J183:J184)</f>
        <v>0</v>
      </c>
      <c r="K185" s="314"/>
      <c r="L185" s="291">
        <f>SUM(L183:L184)</f>
        <v>0</v>
      </c>
      <c r="M185" s="291">
        <f>SUM(M183:M184)</f>
        <v>0</v>
      </c>
      <c r="N185" s="291">
        <f>SUM(N183:N184)</f>
        <v>0</v>
      </c>
      <c r="O185" s="291"/>
    </row>
    <row r="186" spans="1:15" ht="26.25" customHeight="1">
      <c r="A186" s="197">
        <v>23</v>
      </c>
      <c r="B186" s="1548" t="s">
        <v>1228</v>
      </c>
      <c r="C186" s="1549"/>
      <c r="D186" s="1550"/>
      <c r="E186" s="303">
        <v>0</v>
      </c>
      <c r="F186" s="290"/>
      <c r="G186" s="290"/>
      <c r="H186" s="306"/>
      <c r="I186" s="306"/>
      <c r="J186" s="290"/>
      <c r="K186" s="306"/>
      <c r="L186" s="290"/>
      <c r="M186" s="290"/>
      <c r="N186" s="290"/>
      <c r="O186" s="189"/>
    </row>
    <row r="187" spans="1:15" ht="13">
      <c r="A187" s="205"/>
      <c r="B187" s="206"/>
      <c r="C187" s="207"/>
      <c r="D187" s="208"/>
      <c r="E187" s="290"/>
      <c r="F187" s="290"/>
      <c r="G187" s="290"/>
      <c r="H187" s="306"/>
      <c r="I187" s="306"/>
      <c r="J187" s="290"/>
      <c r="K187" s="306"/>
      <c r="L187" s="290"/>
      <c r="M187" s="290"/>
      <c r="N187" s="290"/>
      <c r="O187" s="189"/>
    </row>
    <row r="188" spans="1:15" ht="13">
      <c r="A188" s="205"/>
      <c r="B188" s="206" t="s">
        <v>870</v>
      </c>
      <c r="C188" s="207"/>
      <c r="D188" s="208"/>
      <c r="E188" s="1357"/>
      <c r="F188" s="290"/>
      <c r="G188" s="290"/>
      <c r="H188" s="306"/>
      <c r="I188" s="306"/>
      <c r="J188" s="290"/>
      <c r="K188" s="306"/>
      <c r="L188" s="290"/>
      <c r="M188" s="290"/>
      <c r="N188" s="290"/>
      <c r="O188" s="189"/>
    </row>
    <row r="189" spans="1:15">
      <c r="A189" s="1090" t="s">
        <v>871</v>
      </c>
      <c r="B189" s="216">
        <v>417</v>
      </c>
      <c r="C189" s="296">
        <v>4863130</v>
      </c>
      <c r="D189" s="212" t="s">
        <v>873</v>
      </c>
      <c r="E189" s="1364">
        <v>579273.89</v>
      </c>
      <c r="F189" s="974" t="s">
        <v>566</v>
      </c>
      <c r="G189" s="293">
        <f t="shared" ref="G189:G201" si="87">IF(F189=$G$2,E189,0)</f>
        <v>0</v>
      </c>
      <c r="H189" s="201">
        <v>0</v>
      </c>
      <c r="I189" s="201">
        <f t="shared" ref="I189:I203" si="88">G189-H189</f>
        <v>0</v>
      </c>
      <c r="J189" s="293">
        <f t="shared" ref="J189:J201" si="89">IF(F189=$J$2,E189,0)</f>
        <v>579273.89</v>
      </c>
      <c r="K189" s="541" t="s">
        <v>607</v>
      </c>
      <c r="L189" s="1470">
        <v>113393.74320067</v>
      </c>
      <c r="M189" s="293">
        <f t="shared" ref="M189:M205" si="90">J189-L189</f>
        <v>465880.14679933002</v>
      </c>
      <c r="N189" s="293">
        <f>IF(F189=$N$2,E189,0)</f>
        <v>0</v>
      </c>
      <c r="O189" s="200">
        <v>2</v>
      </c>
    </row>
    <row r="190" spans="1:15">
      <c r="A190" s="1090" t="s">
        <v>872</v>
      </c>
      <c r="B190" s="216">
        <v>417</v>
      </c>
      <c r="C190" s="296">
        <v>4862110</v>
      </c>
      <c r="D190" s="212" t="s">
        <v>875</v>
      </c>
      <c r="E190" s="975">
        <v>8363125.5800000001</v>
      </c>
      <c r="F190" s="974" t="s">
        <v>566</v>
      </c>
      <c r="G190" s="293">
        <f t="shared" si="87"/>
        <v>0</v>
      </c>
      <c r="H190" s="201">
        <v>0</v>
      </c>
      <c r="I190" s="201">
        <f t="shared" si="88"/>
        <v>0</v>
      </c>
      <c r="J190" s="293">
        <f t="shared" si="89"/>
        <v>8363125.5800000001</v>
      </c>
      <c r="K190" s="541" t="s">
        <v>551</v>
      </c>
      <c r="L190" s="974">
        <v>1636370.71968942</v>
      </c>
      <c r="M190" s="293">
        <f t="shared" si="90"/>
        <v>6726754.8603105806</v>
      </c>
      <c r="N190" s="293">
        <f t="shared" ref="N190:N201" si="91">IF(F190=$N$2,E190,0)</f>
        <v>0</v>
      </c>
      <c r="O190" s="200">
        <v>2</v>
      </c>
    </row>
    <row r="191" spans="1:15">
      <c r="A191" s="1090" t="s">
        <v>874</v>
      </c>
      <c r="B191" s="216">
        <v>417</v>
      </c>
      <c r="C191" s="296">
        <v>4862115</v>
      </c>
      <c r="D191" s="212" t="s">
        <v>877</v>
      </c>
      <c r="E191" s="975">
        <v>381528</v>
      </c>
      <c r="F191" s="974" t="s">
        <v>566</v>
      </c>
      <c r="G191" s="293">
        <f t="shared" si="87"/>
        <v>0</v>
      </c>
      <c r="H191" s="201">
        <v>0</v>
      </c>
      <c r="I191" s="201">
        <f t="shared" si="88"/>
        <v>0</v>
      </c>
      <c r="J191" s="293">
        <f t="shared" si="89"/>
        <v>381528</v>
      </c>
      <c r="K191" s="541" t="s">
        <v>551</v>
      </c>
      <c r="L191" s="974">
        <v>75186.088468167596</v>
      </c>
      <c r="M191" s="293">
        <f t="shared" si="90"/>
        <v>306341.91153183242</v>
      </c>
      <c r="N191" s="293">
        <f t="shared" si="91"/>
        <v>0</v>
      </c>
      <c r="O191" s="200">
        <v>2</v>
      </c>
    </row>
    <row r="192" spans="1:15">
      <c r="A192" s="1090" t="s">
        <v>876</v>
      </c>
      <c r="B192" s="216">
        <v>417</v>
      </c>
      <c r="C192" s="296">
        <v>4862120</v>
      </c>
      <c r="D192" s="212" t="s">
        <v>879</v>
      </c>
      <c r="E192" s="975">
        <v>78007.929999999993</v>
      </c>
      <c r="F192" s="974" t="s">
        <v>566</v>
      </c>
      <c r="G192" s="293">
        <f t="shared" si="87"/>
        <v>0</v>
      </c>
      <c r="H192" s="201">
        <v>0</v>
      </c>
      <c r="I192" s="201">
        <f t="shared" si="88"/>
        <v>0</v>
      </c>
      <c r="J192" s="293">
        <f t="shared" si="89"/>
        <v>78007.929999999993</v>
      </c>
      <c r="K192" s="541" t="s">
        <v>551</v>
      </c>
      <c r="L192" s="1369">
        <v>15263.910643380899</v>
      </c>
      <c r="M192" s="293">
        <f t="shared" si="90"/>
        <v>62744.019356619094</v>
      </c>
      <c r="N192" s="293">
        <f t="shared" si="91"/>
        <v>0</v>
      </c>
      <c r="O192" s="200">
        <v>2</v>
      </c>
    </row>
    <row r="193" spans="1:15">
      <c r="A193" s="1090" t="s">
        <v>878</v>
      </c>
      <c r="B193" s="216">
        <v>417</v>
      </c>
      <c r="C193" s="296">
        <v>4862135</v>
      </c>
      <c r="D193" s="212" t="s">
        <v>881</v>
      </c>
      <c r="E193" s="1365">
        <v>14770442.08</v>
      </c>
      <c r="F193" s="974" t="s">
        <v>566</v>
      </c>
      <c r="G193" s="293">
        <f t="shared" si="87"/>
        <v>0</v>
      </c>
      <c r="H193" s="201">
        <v>0</v>
      </c>
      <c r="I193" s="201">
        <f t="shared" si="88"/>
        <v>0</v>
      </c>
      <c r="J193" s="293">
        <f t="shared" si="89"/>
        <v>14770442.08</v>
      </c>
      <c r="K193" s="541" t="s">
        <v>551</v>
      </c>
      <c r="L193" s="1365">
        <v>3088534.2736134501</v>
      </c>
      <c r="M193" s="293">
        <f t="shared" si="90"/>
        <v>11681907.806386549</v>
      </c>
      <c r="N193" s="293">
        <f t="shared" si="91"/>
        <v>0</v>
      </c>
      <c r="O193" s="200">
        <v>2</v>
      </c>
    </row>
    <row r="194" spans="1:15">
      <c r="A194" s="1090" t="s">
        <v>880</v>
      </c>
      <c r="B194" s="216">
        <v>417</v>
      </c>
      <c r="C194" s="296">
        <v>4864115</v>
      </c>
      <c r="D194" s="212" t="s">
        <v>884</v>
      </c>
      <c r="E194" s="1365">
        <v>354333.61</v>
      </c>
      <c r="F194" s="974" t="s">
        <v>566</v>
      </c>
      <c r="G194" s="293">
        <f t="shared" si="87"/>
        <v>0</v>
      </c>
      <c r="H194" s="201">
        <v>0</v>
      </c>
      <c r="I194" s="201">
        <f t="shared" si="88"/>
        <v>0</v>
      </c>
      <c r="J194" s="293">
        <f t="shared" si="89"/>
        <v>354333.61</v>
      </c>
      <c r="K194" s="541" t="s">
        <v>551</v>
      </c>
      <c r="L194" s="1365">
        <v>64320.026518875697</v>
      </c>
      <c r="M194" s="293">
        <f t="shared" si="90"/>
        <v>290013.58348112431</v>
      </c>
      <c r="N194" s="293">
        <f t="shared" si="91"/>
        <v>0</v>
      </c>
      <c r="O194" s="200">
        <v>2</v>
      </c>
    </row>
    <row r="195" spans="1:15">
      <c r="A195" s="1090" t="s">
        <v>882</v>
      </c>
      <c r="B195" s="216">
        <v>417</v>
      </c>
      <c r="C195" s="296">
        <v>4862125</v>
      </c>
      <c r="D195" s="212" t="s">
        <v>886</v>
      </c>
      <c r="E195" s="1365">
        <v>15064952.779999999</v>
      </c>
      <c r="F195" s="974" t="s">
        <v>566</v>
      </c>
      <c r="G195" s="293">
        <f t="shared" si="87"/>
        <v>0</v>
      </c>
      <c r="H195" s="201">
        <v>0</v>
      </c>
      <c r="I195" s="201">
        <f t="shared" si="88"/>
        <v>0</v>
      </c>
      <c r="J195" s="293">
        <f t="shared" si="89"/>
        <v>15064952.779999999</v>
      </c>
      <c r="K195" s="541" t="s">
        <v>551</v>
      </c>
      <c r="L195" s="1369">
        <v>2585152.88909146</v>
      </c>
      <c r="M195" s="293">
        <f t="shared" si="90"/>
        <v>12479799.890908539</v>
      </c>
      <c r="N195" s="293">
        <f t="shared" si="91"/>
        <v>0</v>
      </c>
      <c r="O195" s="200">
        <v>2</v>
      </c>
    </row>
    <row r="196" spans="1:15">
      <c r="A196" s="1090" t="s">
        <v>883</v>
      </c>
      <c r="B196" s="216">
        <v>417</v>
      </c>
      <c r="C196" s="296">
        <v>4862130</v>
      </c>
      <c r="D196" s="212" t="s">
        <v>888</v>
      </c>
      <c r="E196" s="1365">
        <v>3865535.36</v>
      </c>
      <c r="F196" s="974" t="s">
        <v>566</v>
      </c>
      <c r="G196" s="293">
        <f t="shared" si="87"/>
        <v>0</v>
      </c>
      <c r="H196" s="201">
        <v>0</v>
      </c>
      <c r="I196" s="201">
        <f t="shared" si="88"/>
        <v>0</v>
      </c>
      <c r="J196" s="293">
        <f t="shared" si="89"/>
        <v>3865535.36</v>
      </c>
      <c r="K196" s="541" t="s">
        <v>551</v>
      </c>
      <c r="L196" s="1369">
        <v>722260.11523874302</v>
      </c>
      <c r="M196" s="293">
        <f t="shared" si="90"/>
        <v>3143275.244761257</v>
      </c>
      <c r="N196" s="293">
        <f t="shared" si="91"/>
        <v>0</v>
      </c>
      <c r="O196" s="200">
        <v>2</v>
      </c>
    </row>
    <row r="197" spans="1:15">
      <c r="A197" s="1090" t="s">
        <v>885</v>
      </c>
      <c r="B197" s="216">
        <v>417</v>
      </c>
      <c r="C197" s="296">
        <v>4863120</v>
      </c>
      <c r="D197" s="212" t="s">
        <v>890</v>
      </c>
      <c r="E197" s="1365">
        <v>454848.62</v>
      </c>
      <c r="F197" s="974" t="s">
        <v>566</v>
      </c>
      <c r="G197" s="293">
        <f t="shared" si="87"/>
        <v>0</v>
      </c>
      <c r="H197" s="201">
        <v>0</v>
      </c>
      <c r="I197" s="201">
        <f t="shared" si="88"/>
        <v>0</v>
      </c>
      <c r="J197" s="293">
        <f t="shared" si="89"/>
        <v>454848.62</v>
      </c>
      <c r="K197" s="541" t="s">
        <v>607</v>
      </c>
      <c r="L197" s="1369">
        <v>171962.72723270999</v>
      </c>
      <c r="M197" s="293">
        <f t="shared" si="90"/>
        <v>282885.89276729</v>
      </c>
      <c r="N197" s="293">
        <f t="shared" si="91"/>
        <v>0</v>
      </c>
      <c r="O197" s="200">
        <v>2</v>
      </c>
    </row>
    <row r="198" spans="1:15">
      <c r="A198" s="1090" t="s">
        <v>887</v>
      </c>
      <c r="B198" s="216">
        <v>417</v>
      </c>
      <c r="C198" s="296">
        <v>4863110</v>
      </c>
      <c r="D198" s="212" t="s">
        <v>892</v>
      </c>
      <c r="E198" s="1365">
        <v>4104815.36</v>
      </c>
      <c r="F198" s="974" t="s">
        <v>566</v>
      </c>
      <c r="G198" s="293">
        <f t="shared" si="87"/>
        <v>0</v>
      </c>
      <c r="H198" s="201">
        <v>0</v>
      </c>
      <c r="I198" s="201">
        <f t="shared" si="88"/>
        <v>0</v>
      </c>
      <c r="J198" s="293">
        <f t="shared" si="89"/>
        <v>4104815.36</v>
      </c>
      <c r="K198" s="541" t="s">
        <v>607</v>
      </c>
      <c r="L198" s="1369">
        <v>839399.29919591395</v>
      </c>
      <c r="M198" s="293">
        <f t="shared" si="90"/>
        <v>3265416.0608040858</v>
      </c>
      <c r="N198" s="293">
        <f t="shared" si="91"/>
        <v>0</v>
      </c>
      <c r="O198" s="200">
        <v>2</v>
      </c>
    </row>
    <row r="199" spans="1:15">
      <c r="A199" s="1090" t="s">
        <v>889</v>
      </c>
      <c r="B199" s="216">
        <v>417</v>
      </c>
      <c r="C199" s="296">
        <v>4863115</v>
      </c>
      <c r="D199" s="212" t="s">
        <v>894</v>
      </c>
      <c r="E199" s="1365">
        <v>1119202.8600000001</v>
      </c>
      <c r="F199" s="974" t="s">
        <v>566</v>
      </c>
      <c r="G199" s="293">
        <f t="shared" si="87"/>
        <v>0</v>
      </c>
      <c r="H199" s="201">
        <v>0</v>
      </c>
      <c r="I199" s="201">
        <f t="shared" si="88"/>
        <v>0</v>
      </c>
      <c r="J199" s="293">
        <f t="shared" si="89"/>
        <v>1119202.8600000001</v>
      </c>
      <c r="K199" s="541" t="s">
        <v>607</v>
      </c>
      <c r="L199" s="1369">
        <v>190875.74970491699</v>
      </c>
      <c r="M199" s="293">
        <f t="shared" si="90"/>
        <v>928327.11029508314</v>
      </c>
      <c r="N199" s="293">
        <f t="shared" si="91"/>
        <v>0</v>
      </c>
      <c r="O199" s="200">
        <v>2</v>
      </c>
    </row>
    <row r="200" spans="1:15">
      <c r="A200" s="1090" t="s">
        <v>891</v>
      </c>
      <c r="B200" s="216">
        <v>417</v>
      </c>
      <c r="C200" s="296">
        <v>4863125</v>
      </c>
      <c r="D200" s="212" t="s">
        <v>896</v>
      </c>
      <c r="E200" s="1365">
        <v>2301475.73</v>
      </c>
      <c r="F200" s="974" t="s">
        <v>566</v>
      </c>
      <c r="G200" s="293">
        <f t="shared" si="87"/>
        <v>0</v>
      </c>
      <c r="H200" s="201">
        <v>0</v>
      </c>
      <c r="I200" s="201">
        <f t="shared" si="88"/>
        <v>0</v>
      </c>
      <c r="J200" s="293">
        <f t="shared" si="89"/>
        <v>2301475.73</v>
      </c>
      <c r="K200" s="541" t="s">
        <v>607</v>
      </c>
      <c r="L200" s="1369">
        <v>352233.66050454602</v>
      </c>
      <c r="M200" s="293">
        <f t="shared" si="90"/>
        <v>1949242.069495454</v>
      </c>
      <c r="N200" s="293">
        <f t="shared" si="91"/>
        <v>0</v>
      </c>
      <c r="O200" s="200">
        <v>2</v>
      </c>
    </row>
    <row r="201" spans="1:15">
      <c r="A201" s="1090" t="s">
        <v>893</v>
      </c>
      <c r="B201" s="216">
        <v>417</v>
      </c>
      <c r="C201" s="296">
        <v>4864120</v>
      </c>
      <c r="D201" s="212" t="s">
        <v>898</v>
      </c>
      <c r="E201" s="975">
        <v>93967.6</v>
      </c>
      <c r="F201" s="974" t="s">
        <v>566</v>
      </c>
      <c r="G201" s="293">
        <f t="shared" si="87"/>
        <v>0</v>
      </c>
      <c r="H201" s="201">
        <v>0</v>
      </c>
      <c r="I201" s="201">
        <f t="shared" si="88"/>
        <v>0</v>
      </c>
      <c r="J201" s="293">
        <f t="shared" si="89"/>
        <v>93967.6</v>
      </c>
      <c r="K201" s="541" t="s">
        <v>551</v>
      </c>
      <c r="L201" s="974">
        <v>12292.8253260782</v>
      </c>
      <c r="M201" s="293">
        <f t="shared" si="90"/>
        <v>81674.774673921813</v>
      </c>
      <c r="N201" s="293">
        <f t="shared" si="91"/>
        <v>0</v>
      </c>
      <c r="O201" s="200">
        <v>2</v>
      </c>
    </row>
    <row r="202" spans="1:15" s="955" customFormat="1">
      <c r="A202" s="890" t="s">
        <v>895</v>
      </c>
      <c r="B202" s="1115">
        <v>417</v>
      </c>
      <c r="C202" s="1116">
        <v>4864116</v>
      </c>
      <c r="D202" s="1117" t="s">
        <v>2394</v>
      </c>
      <c r="E202" s="1366">
        <v>1488414.54</v>
      </c>
      <c r="F202" s="974" t="s">
        <v>566</v>
      </c>
      <c r="G202" s="293">
        <f>IF(F202=$G$2,E202,0)</f>
        <v>0</v>
      </c>
      <c r="H202" s="201">
        <v>0</v>
      </c>
      <c r="I202" s="201">
        <f t="shared" si="88"/>
        <v>0</v>
      </c>
      <c r="J202" s="293">
        <f>IF(F202=$J$2,E202,0)</f>
        <v>1488414.54</v>
      </c>
      <c r="K202" s="541" t="s">
        <v>551</v>
      </c>
      <c r="L202" s="1397">
        <v>339725.60362876998</v>
      </c>
      <c r="M202" s="293">
        <f t="shared" si="90"/>
        <v>1148688.9363712301</v>
      </c>
      <c r="N202" s="293">
        <f>IF(F202=$N$2,E202,0)</f>
        <v>0</v>
      </c>
      <c r="O202" s="200">
        <v>2</v>
      </c>
    </row>
    <row r="203" spans="1:15" s="955" customFormat="1">
      <c r="A203" s="890" t="s">
        <v>897</v>
      </c>
      <c r="B203" s="1115">
        <v>417</v>
      </c>
      <c r="C203" s="1116">
        <v>4864121</v>
      </c>
      <c r="D203" s="1117" t="s">
        <v>2395</v>
      </c>
      <c r="E203" s="1367">
        <v>140794.32</v>
      </c>
      <c r="F203" s="974" t="s">
        <v>566</v>
      </c>
      <c r="G203" s="293">
        <f>IF(F203=$G$2,E203,0)</f>
        <v>0</v>
      </c>
      <c r="H203" s="201">
        <v>0</v>
      </c>
      <c r="I203" s="201">
        <f t="shared" si="88"/>
        <v>0</v>
      </c>
      <c r="J203" s="293">
        <f>IF(F203=$J$2,E203,0)</f>
        <v>140794.32</v>
      </c>
      <c r="K203" s="541" t="s">
        <v>551</v>
      </c>
      <c r="L203" s="974">
        <v>28349.734677888799</v>
      </c>
      <c r="M203" s="293">
        <f t="shared" si="90"/>
        <v>112444.5853221112</v>
      </c>
      <c r="N203" s="293">
        <f>IF(F203=$N$2,E203,0)</f>
        <v>0</v>
      </c>
      <c r="O203" s="200">
        <v>2</v>
      </c>
    </row>
    <row r="204" spans="1:15">
      <c r="A204" s="1344" t="s">
        <v>2671</v>
      </c>
      <c r="B204" s="1333">
        <v>417</v>
      </c>
      <c r="C204" s="1333">
        <v>4864117</v>
      </c>
      <c r="D204" s="1334" t="s">
        <v>2672</v>
      </c>
      <c r="E204" s="1469">
        <v>261361.21</v>
      </c>
      <c r="F204" s="974" t="s">
        <v>566</v>
      </c>
      <c r="G204" s="293">
        <f t="shared" ref="G204:G205" si="92">IF(F204=$G$2,E204,0)</f>
        <v>0</v>
      </c>
      <c r="H204" s="201">
        <v>0</v>
      </c>
      <c r="I204" s="201">
        <f t="shared" ref="I204:I205" si="93">G204-H204</f>
        <v>0</v>
      </c>
      <c r="J204" s="293">
        <f t="shared" ref="J204:J205" si="94">IF(F204=$J$2,E204,0)</f>
        <v>261361.21</v>
      </c>
      <c r="K204" s="541" t="s">
        <v>551</v>
      </c>
      <c r="L204" s="974">
        <v>48699.029299510003</v>
      </c>
      <c r="M204" s="293">
        <f t="shared" si="90"/>
        <v>212662.18070048999</v>
      </c>
      <c r="N204" s="293">
        <f t="shared" ref="N204:N205" si="95">IF(F204=$N$2,E204,0)</f>
        <v>0</v>
      </c>
      <c r="O204" s="200">
        <v>2</v>
      </c>
    </row>
    <row r="205" spans="1:15" s="955" customFormat="1">
      <c r="A205" s="1344" t="s">
        <v>2673</v>
      </c>
      <c r="B205" s="1333">
        <v>417</v>
      </c>
      <c r="C205" s="1333">
        <v>4864122</v>
      </c>
      <c r="D205" s="1334" t="s">
        <v>2674</v>
      </c>
      <c r="E205" s="1469">
        <v>38726.400000000001</v>
      </c>
      <c r="F205" s="974" t="s">
        <v>566</v>
      </c>
      <c r="G205" s="293">
        <f t="shared" si="92"/>
        <v>0</v>
      </c>
      <c r="H205" s="201">
        <v>0</v>
      </c>
      <c r="I205" s="201">
        <f t="shared" si="93"/>
        <v>0</v>
      </c>
      <c r="J205" s="293">
        <f t="shared" si="94"/>
        <v>38726.400000000001</v>
      </c>
      <c r="K205" s="541" t="s">
        <v>551</v>
      </c>
      <c r="L205" s="974">
        <v>6632.7538652679004</v>
      </c>
      <c r="M205" s="293">
        <f t="shared" si="90"/>
        <v>32093.646134732102</v>
      </c>
      <c r="N205" s="293">
        <f t="shared" si="95"/>
        <v>0</v>
      </c>
      <c r="O205" s="200">
        <v>2</v>
      </c>
    </row>
    <row r="206" spans="1:15" s="463" customFormat="1">
      <c r="A206" s="1340" t="s">
        <v>2788</v>
      </c>
      <c r="B206" s="1471">
        <v>417</v>
      </c>
      <c r="C206" s="1116">
        <v>4864200</v>
      </c>
      <c r="D206" s="543" t="s">
        <v>2789</v>
      </c>
      <c r="E206" s="1369">
        <v>-18880.080000000002</v>
      </c>
      <c r="F206" s="974" t="s">
        <v>566</v>
      </c>
      <c r="G206" s="293">
        <f t="shared" ref="G206:G214" si="96">IF(F206=$G$2,E206,0)</f>
        <v>0</v>
      </c>
      <c r="H206" s="201">
        <v>0</v>
      </c>
      <c r="I206" s="201">
        <f t="shared" ref="I206:I214" si="97">G206-H206</f>
        <v>0</v>
      </c>
      <c r="J206" s="293">
        <f t="shared" ref="J206:J214" si="98">IF(F206=$J$2,E206,0)</f>
        <v>-18880.080000000002</v>
      </c>
      <c r="K206" s="541" t="s">
        <v>551</v>
      </c>
      <c r="L206" s="974">
        <v>2099.9352485134</v>
      </c>
      <c r="M206" s="293">
        <f t="shared" ref="M206:M214" si="99">J206-L206</f>
        <v>-20980.015248513402</v>
      </c>
      <c r="N206" s="293">
        <f t="shared" ref="N206:N214" si="100">IF(F206=$N$2,E206,0)</f>
        <v>0</v>
      </c>
      <c r="O206" s="200">
        <v>2</v>
      </c>
    </row>
    <row r="207" spans="1:15" s="463" customFormat="1">
      <c r="A207" s="1340" t="s">
        <v>2790</v>
      </c>
      <c r="B207" s="1471">
        <v>417</v>
      </c>
      <c r="C207" s="1116">
        <v>4864201</v>
      </c>
      <c r="D207" s="543" t="s">
        <v>2791</v>
      </c>
      <c r="E207" s="1369">
        <v>95856</v>
      </c>
      <c r="F207" s="974" t="s">
        <v>566</v>
      </c>
      <c r="G207" s="293">
        <f t="shared" si="96"/>
        <v>0</v>
      </c>
      <c r="H207" s="201">
        <v>0</v>
      </c>
      <c r="I207" s="201">
        <f t="shared" si="97"/>
        <v>0</v>
      </c>
      <c r="J207" s="293">
        <f t="shared" si="98"/>
        <v>95856</v>
      </c>
      <c r="K207" s="541" t="s">
        <v>551</v>
      </c>
      <c r="L207" s="974">
        <v>18889.931342305601</v>
      </c>
      <c r="M207" s="293">
        <f t="shared" si="99"/>
        <v>76966.068657694399</v>
      </c>
      <c r="N207" s="293">
        <f t="shared" si="100"/>
        <v>0</v>
      </c>
      <c r="O207" s="200">
        <v>2</v>
      </c>
    </row>
    <row r="208" spans="1:15" s="463" customFormat="1">
      <c r="A208" s="1340" t="s">
        <v>2792</v>
      </c>
      <c r="B208" s="1471">
        <v>417</v>
      </c>
      <c r="C208" s="1116">
        <v>4864202</v>
      </c>
      <c r="D208" s="543" t="s">
        <v>2793</v>
      </c>
      <c r="E208" s="1369">
        <v>91748.160000000003</v>
      </c>
      <c r="F208" s="974" t="s">
        <v>566</v>
      </c>
      <c r="G208" s="293">
        <f t="shared" si="96"/>
        <v>0</v>
      </c>
      <c r="H208" s="201">
        <v>0</v>
      </c>
      <c r="I208" s="201">
        <f t="shared" si="97"/>
        <v>0</v>
      </c>
      <c r="J208" s="293">
        <f t="shared" si="98"/>
        <v>91748.160000000003</v>
      </c>
      <c r="K208" s="541" t="s">
        <v>551</v>
      </c>
      <c r="L208" s="974">
        <v>13299.556385842399</v>
      </c>
      <c r="M208" s="293">
        <f t="shared" si="99"/>
        <v>78448.603614157604</v>
      </c>
      <c r="N208" s="293">
        <f t="shared" si="100"/>
        <v>0</v>
      </c>
      <c r="O208" s="200">
        <v>2</v>
      </c>
    </row>
    <row r="209" spans="1:15" s="463" customFormat="1">
      <c r="A209" s="1340" t="s">
        <v>2794</v>
      </c>
      <c r="B209" s="1471">
        <v>417</v>
      </c>
      <c r="C209" s="1116">
        <v>4864203</v>
      </c>
      <c r="D209" s="543" t="s">
        <v>2795</v>
      </c>
      <c r="E209" s="1369">
        <v>17025.919999999998</v>
      </c>
      <c r="F209" s="974" t="s">
        <v>566</v>
      </c>
      <c r="G209" s="293">
        <f t="shared" si="96"/>
        <v>0</v>
      </c>
      <c r="H209" s="201">
        <v>0</v>
      </c>
      <c r="I209" s="201">
        <f t="shared" si="97"/>
        <v>0</v>
      </c>
      <c r="J209" s="293">
        <f t="shared" si="98"/>
        <v>17025.919999999998</v>
      </c>
      <c r="K209" s="541" t="s">
        <v>551</v>
      </c>
      <c r="L209" s="974">
        <v>2099.9352485134</v>
      </c>
      <c r="M209" s="293">
        <f t="shared" si="99"/>
        <v>14925.984751486598</v>
      </c>
      <c r="N209" s="293">
        <f t="shared" si="100"/>
        <v>0</v>
      </c>
      <c r="O209" s="200">
        <v>2</v>
      </c>
    </row>
    <row r="210" spans="1:15" s="463" customFormat="1">
      <c r="A210" s="1340" t="s">
        <v>2796</v>
      </c>
      <c r="B210" s="1471">
        <v>417</v>
      </c>
      <c r="C210" s="1116">
        <v>4862105</v>
      </c>
      <c r="D210" s="543" t="s">
        <v>2797</v>
      </c>
      <c r="E210" s="1369">
        <v>-10075.280000000001</v>
      </c>
      <c r="F210" s="974" t="s">
        <v>566</v>
      </c>
      <c r="G210" s="293">
        <f t="shared" si="96"/>
        <v>0</v>
      </c>
      <c r="H210" s="201">
        <v>0</v>
      </c>
      <c r="I210" s="201">
        <f t="shared" si="97"/>
        <v>0</v>
      </c>
      <c r="J210" s="293">
        <f t="shared" si="98"/>
        <v>-10075.280000000001</v>
      </c>
      <c r="K210" s="541" t="s">
        <v>551</v>
      </c>
      <c r="L210" s="974">
        <v>-10075.280000000001</v>
      </c>
      <c r="M210" s="293">
        <f t="shared" si="99"/>
        <v>0</v>
      </c>
      <c r="N210" s="293">
        <f t="shared" si="100"/>
        <v>0</v>
      </c>
      <c r="O210" s="200">
        <v>2</v>
      </c>
    </row>
    <row r="211" spans="1:15" s="463" customFormat="1">
      <c r="A211" s="1340" t="s">
        <v>2798</v>
      </c>
      <c r="B211" s="1471">
        <v>417</v>
      </c>
      <c r="C211" s="1116">
        <v>4863135</v>
      </c>
      <c r="D211" s="543" t="s">
        <v>2799</v>
      </c>
      <c r="E211" s="1369">
        <v>68.42</v>
      </c>
      <c r="F211" s="974" t="s">
        <v>566</v>
      </c>
      <c r="G211" s="293">
        <f t="shared" si="96"/>
        <v>0</v>
      </c>
      <c r="H211" s="201">
        <v>0</v>
      </c>
      <c r="I211" s="201">
        <f t="shared" si="97"/>
        <v>0</v>
      </c>
      <c r="J211" s="293">
        <f t="shared" si="98"/>
        <v>68.42</v>
      </c>
      <c r="K211" s="541" t="s">
        <v>607</v>
      </c>
      <c r="L211" s="974">
        <v>-958.87230125725</v>
      </c>
      <c r="M211" s="293">
        <f t="shared" si="99"/>
        <v>1027.2923012572501</v>
      </c>
      <c r="N211" s="293">
        <f t="shared" si="100"/>
        <v>0</v>
      </c>
      <c r="O211" s="200">
        <v>2</v>
      </c>
    </row>
    <row r="212" spans="1:15" s="463" customFormat="1">
      <c r="A212" s="1340" t="s">
        <v>2800</v>
      </c>
      <c r="B212" s="1471">
        <v>417</v>
      </c>
      <c r="C212" s="1116">
        <v>4864123</v>
      </c>
      <c r="D212" s="543" t="s">
        <v>2801</v>
      </c>
      <c r="E212" s="1369">
        <v>844.8</v>
      </c>
      <c r="F212" s="974" t="s">
        <v>566</v>
      </c>
      <c r="G212" s="293">
        <f t="shared" si="96"/>
        <v>0</v>
      </c>
      <c r="H212" s="201">
        <v>0</v>
      </c>
      <c r="I212" s="201">
        <f t="shared" si="97"/>
        <v>0</v>
      </c>
      <c r="J212" s="293">
        <f t="shared" si="98"/>
        <v>844.8</v>
      </c>
      <c r="K212" s="541" t="s">
        <v>551</v>
      </c>
      <c r="L212" s="974">
        <v>166.49920092069999</v>
      </c>
      <c r="M212" s="293">
        <f t="shared" si="99"/>
        <v>678.30079907929996</v>
      </c>
      <c r="N212" s="293">
        <f t="shared" si="100"/>
        <v>0</v>
      </c>
      <c r="O212" s="200">
        <v>2</v>
      </c>
    </row>
    <row r="213" spans="1:15" s="463" customFormat="1">
      <c r="A213" s="1340" t="s">
        <v>2802</v>
      </c>
      <c r="B213" s="1471">
        <v>417</v>
      </c>
      <c r="C213" s="1116">
        <v>4864124</v>
      </c>
      <c r="D213" s="543" t="s">
        <v>2803</v>
      </c>
      <c r="E213" s="1369">
        <v>181399.08</v>
      </c>
      <c r="F213" s="974" t="s">
        <v>566</v>
      </c>
      <c r="G213" s="293">
        <f t="shared" si="96"/>
        <v>0</v>
      </c>
      <c r="H213" s="201">
        <v>0</v>
      </c>
      <c r="I213" s="201">
        <f t="shared" si="97"/>
        <v>0</v>
      </c>
      <c r="J213" s="293">
        <f t="shared" si="98"/>
        <v>181399.08</v>
      </c>
      <c r="K213" s="541" t="s">
        <v>551</v>
      </c>
      <c r="L213" s="974">
        <v>16551.9502195147</v>
      </c>
      <c r="M213" s="293">
        <f t="shared" si="99"/>
        <v>164847.12978048529</v>
      </c>
      <c r="N213" s="293">
        <f t="shared" si="100"/>
        <v>0</v>
      </c>
      <c r="O213" s="200">
        <v>2</v>
      </c>
    </row>
    <row r="214" spans="1:15" s="463" customFormat="1">
      <c r="A214" s="1340" t="s">
        <v>2804</v>
      </c>
      <c r="B214" s="1471">
        <v>417</v>
      </c>
      <c r="C214" s="1116">
        <v>4864125</v>
      </c>
      <c r="D214" s="543" t="s">
        <v>2801</v>
      </c>
      <c r="E214" s="1369">
        <v>18335.97</v>
      </c>
      <c r="F214" s="974" t="s">
        <v>566</v>
      </c>
      <c r="G214" s="293">
        <f t="shared" si="96"/>
        <v>0</v>
      </c>
      <c r="H214" s="201">
        <v>0</v>
      </c>
      <c r="I214" s="201">
        <f t="shared" si="97"/>
        <v>0</v>
      </c>
      <c r="J214" s="293">
        <f t="shared" si="98"/>
        <v>18335.97</v>
      </c>
      <c r="K214" s="541" t="s">
        <v>551</v>
      </c>
      <c r="L214" s="974">
        <v>3060.8143792863998</v>
      </c>
      <c r="M214" s="293">
        <f t="shared" si="99"/>
        <v>15275.155620713602</v>
      </c>
      <c r="N214" s="293">
        <f t="shared" si="100"/>
        <v>0</v>
      </c>
      <c r="O214" s="200">
        <v>2</v>
      </c>
    </row>
    <row r="215" spans="1:15" s="463" customFormat="1">
      <c r="A215" s="1437"/>
      <c r="B215" s="1442"/>
      <c r="C215" s="1443"/>
      <c r="D215" s="1441"/>
      <c r="E215" s="1361"/>
      <c r="F215" s="1034"/>
      <c r="G215" s="1034"/>
      <c r="H215" s="705"/>
      <c r="I215" s="705"/>
      <c r="J215" s="1034"/>
      <c r="K215" s="1076"/>
      <c r="L215" s="1034"/>
      <c r="M215" s="1034"/>
      <c r="N215" s="1034"/>
      <c r="O215" s="1076"/>
    </row>
    <row r="216" spans="1:15" s="463" customFormat="1">
      <c r="A216" s="1074"/>
      <c r="B216" s="1360"/>
      <c r="C216" s="1356"/>
      <c r="D216" s="1075"/>
      <c r="E216" s="1362"/>
      <c r="F216" s="1034"/>
      <c r="G216" s="1034"/>
      <c r="H216" s="705"/>
      <c r="I216" s="705"/>
      <c r="J216" s="1034"/>
      <c r="K216" s="1076"/>
      <c r="L216" s="1358"/>
      <c r="M216" s="1034"/>
      <c r="N216" s="1034"/>
      <c r="O216" s="1076"/>
    </row>
    <row r="217" spans="1:15" ht="13">
      <c r="A217" s="202">
        <v>25</v>
      </c>
      <c r="B217" s="1537" t="s">
        <v>899</v>
      </c>
      <c r="C217" s="1538"/>
      <c r="D217" s="1539"/>
      <c r="E217" s="305">
        <f>SUM(E189:E216)</f>
        <v>53837128.859999985</v>
      </c>
      <c r="F217" s="314"/>
      <c r="G217" s="305">
        <f>SUM(G189:G216)</f>
        <v>0</v>
      </c>
      <c r="H217" s="305">
        <f>SUM(H189:H216)</f>
        <v>0</v>
      </c>
      <c r="I217" s="305">
        <f>SUM(I189:I216)</f>
        <v>0</v>
      </c>
      <c r="J217" s="305">
        <f>SUM(J189:J216)</f>
        <v>53837128.859999985</v>
      </c>
      <c r="K217" s="314"/>
      <c r="L217" s="305">
        <f>SUM(L189:L216)</f>
        <v>10335787.619623408</v>
      </c>
      <c r="M217" s="305">
        <f>SUM(M189:M216)</f>
        <v>43501341.240376592</v>
      </c>
      <c r="N217" s="305">
        <f>SUM(N189:N216)</f>
        <v>0</v>
      </c>
      <c r="O217" s="191"/>
    </row>
    <row r="218" spans="1:15" ht="13">
      <c r="A218" s="202">
        <v>26</v>
      </c>
      <c r="B218" s="1537" t="s">
        <v>900</v>
      </c>
      <c r="C218" s="1538"/>
      <c r="D218" s="1539"/>
      <c r="E218" s="1073">
        <v>9277393</v>
      </c>
      <c r="F218" s="292"/>
      <c r="G218" s="290"/>
      <c r="H218" s="306"/>
      <c r="I218" s="306"/>
      <c r="J218" s="290"/>
      <c r="K218" s="306"/>
      <c r="L218" s="290"/>
      <c r="M218" s="290"/>
      <c r="N218" s="290"/>
      <c r="O218" s="189"/>
    </row>
    <row r="219" spans="1:15" ht="25.5" customHeight="1">
      <c r="A219" s="202">
        <v>27</v>
      </c>
      <c r="B219" s="1532" t="s">
        <v>1230</v>
      </c>
      <c r="C219" s="1533"/>
      <c r="D219" s="1534"/>
      <c r="E219" s="1073">
        <v>63114522</v>
      </c>
      <c r="F219" s="346" t="s">
        <v>328</v>
      </c>
    </row>
    <row r="220" spans="1:15">
      <c r="A220" s="210"/>
    </row>
    <row r="221" spans="1:15" ht="13">
      <c r="B221" s="40" t="s">
        <v>901</v>
      </c>
    </row>
    <row r="222" spans="1:15">
      <c r="A222" s="200" t="s">
        <v>902</v>
      </c>
      <c r="B222" s="1544">
        <v>418.1</v>
      </c>
      <c r="C222" s="1545"/>
      <c r="D222" s="212" t="s">
        <v>903</v>
      </c>
      <c r="E222" s="1473"/>
      <c r="F222" s="974" t="s">
        <v>566</v>
      </c>
      <c r="G222" s="293">
        <f>IF(F222=$G$2,E222,0)</f>
        <v>0</v>
      </c>
      <c r="H222" s="200">
        <v>0</v>
      </c>
      <c r="I222" s="201">
        <f t="shared" ref="I222:I225" si="101">G222-H222</f>
        <v>0</v>
      </c>
      <c r="J222" s="293">
        <f>IF(F222=$J$2,E222,0)</f>
        <v>0</v>
      </c>
      <c r="K222" s="331" t="s">
        <v>551</v>
      </c>
      <c r="L222" s="297"/>
      <c r="M222" s="201">
        <f>J222-L222</f>
        <v>0</v>
      </c>
      <c r="N222" s="293">
        <f>IF(F222=$N$2,E222,0)</f>
        <v>0</v>
      </c>
      <c r="O222" s="204" t="s">
        <v>904</v>
      </c>
    </row>
    <row r="223" spans="1:15">
      <c r="A223" s="200" t="s">
        <v>905</v>
      </c>
      <c r="B223" s="1544">
        <v>418.1</v>
      </c>
      <c r="C223" s="1545"/>
      <c r="D223" s="212" t="s">
        <v>906</v>
      </c>
      <c r="E223" s="1473"/>
      <c r="F223" s="974" t="s">
        <v>566</v>
      </c>
      <c r="G223" s="293">
        <f>IF(F223=$G$2,E223,0)</f>
        <v>0</v>
      </c>
      <c r="H223" s="200">
        <v>0</v>
      </c>
      <c r="I223" s="201">
        <f t="shared" si="101"/>
        <v>0</v>
      </c>
      <c r="J223" s="293">
        <f>IF(F223=$J$2,E223,0)</f>
        <v>0</v>
      </c>
      <c r="K223" s="331" t="s">
        <v>607</v>
      </c>
      <c r="L223" s="297"/>
      <c r="M223" s="201">
        <f>J223-L223</f>
        <v>0</v>
      </c>
      <c r="N223" s="293">
        <f>IF(F223=$N$2,E223,0)</f>
        <v>0</v>
      </c>
      <c r="O223" s="204" t="s">
        <v>904</v>
      </c>
    </row>
    <row r="224" spans="1:15">
      <c r="A224" s="200" t="s">
        <v>907</v>
      </c>
      <c r="B224" s="1544">
        <v>418.1</v>
      </c>
      <c r="C224" s="1545"/>
      <c r="D224" s="543" t="s">
        <v>1660</v>
      </c>
      <c r="E224" s="1473"/>
      <c r="F224" s="974" t="s">
        <v>566</v>
      </c>
      <c r="G224" s="293">
        <f>IF(F224=$G$2,E224,0)</f>
        <v>0</v>
      </c>
      <c r="H224" s="200">
        <v>0</v>
      </c>
      <c r="I224" s="201">
        <f t="shared" si="101"/>
        <v>0</v>
      </c>
      <c r="J224" s="293">
        <f>IF(F224=$J$2,E224,0)</f>
        <v>0</v>
      </c>
      <c r="K224" s="544" t="s">
        <v>607</v>
      </c>
      <c r="L224" s="297"/>
      <c r="M224" s="201">
        <f>J224-L224</f>
        <v>0</v>
      </c>
      <c r="N224" s="293">
        <f>IF(F224=$N$2,E224,0)</f>
        <v>0</v>
      </c>
      <c r="O224" s="541" t="s">
        <v>1661</v>
      </c>
    </row>
    <row r="225" spans="1:16">
      <c r="A225" s="200" t="s">
        <v>909</v>
      </c>
      <c r="B225" s="1544">
        <v>418.1</v>
      </c>
      <c r="C225" s="1545"/>
      <c r="D225" s="212" t="s">
        <v>908</v>
      </c>
      <c r="E225" s="1369">
        <v>-526</v>
      </c>
      <c r="F225" s="974" t="s">
        <v>565</v>
      </c>
      <c r="G225" s="293">
        <f>IF(F225=$G$2,E225,0)</f>
        <v>-526</v>
      </c>
      <c r="H225" s="200">
        <v>0</v>
      </c>
      <c r="I225" s="201">
        <f t="shared" si="101"/>
        <v>-526</v>
      </c>
      <c r="J225" s="293">
        <f>IF(F225=$J$2,E225,0)</f>
        <v>0</v>
      </c>
      <c r="K225" s="331"/>
      <c r="L225" s="297"/>
      <c r="M225" s="201">
        <f>J225-L225</f>
        <v>0</v>
      </c>
      <c r="N225" s="293">
        <f>IF(F225=$N$2,E225,0)</f>
        <v>0</v>
      </c>
      <c r="O225" s="200">
        <v>13</v>
      </c>
    </row>
    <row r="226" spans="1:16">
      <c r="A226" s="542" t="s">
        <v>1177</v>
      </c>
      <c r="B226" s="836">
        <v>418.1</v>
      </c>
      <c r="C226" s="891"/>
      <c r="D226" s="543" t="s">
        <v>1795</v>
      </c>
      <c r="E226" s="1382">
        <v>745034.55999999947</v>
      </c>
      <c r="F226" s="1369" t="s">
        <v>565</v>
      </c>
      <c r="G226" s="1371">
        <f>IF(F226=$G$2,E226,0)</f>
        <v>745034.55999999947</v>
      </c>
      <c r="H226" s="1372">
        <f>E226*$D$267</f>
        <v>45372.604703999968</v>
      </c>
      <c r="I226" s="1372">
        <f>G226-H226</f>
        <v>699661.95529599953</v>
      </c>
      <c r="J226" s="1371">
        <f>IF(F226=$J$2,E226,0)</f>
        <v>0</v>
      </c>
      <c r="K226" s="331"/>
      <c r="L226" s="297"/>
      <c r="M226" s="201">
        <f>J226-L226</f>
        <v>0</v>
      </c>
      <c r="N226" s="293">
        <f>IF(F226=$N$2,E226,0)</f>
        <v>0</v>
      </c>
      <c r="O226" s="542" t="s">
        <v>2154</v>
      </c>
    </row>
    <row r="227" spans="1:16">
      <c r="A227" s="298"/>
      <c r="B227" s="338"/>
      <c r="C227" s="339"/>
      <c r="D227" s="340"/>
      <c r="E227" s="1388"/>
      <c r="F227" s="1370"/>
      <c r="G227" s="1370"/>
      <c r="H227" s="1375"/>
      <c r="I227" s="1375"/>
      <c r="J227" s="1370"/>
      <c r="K227" s="341"/>
      <c r="L227" s="297"/>
      <c r="M227" s="342"/>
      <c r="N227" s="297"/>
      <c r="O227" s="298"/>
    </row>
    <row r="228" spans="1:16">
      <c r="A228" s="298"/>
      <c r="B228" s="338"/>
      <c r="C228" s="339"/>
      <c r="D228" s="340"/>
      <c r="E228" s="1388"/>
      <c r="F228" s="1370"/>
      <c r="G228" s="1370"/>
      <c r="H228" s="1375"/>
      <c r="I228" s="1375"/>
      <c r="J228" s="1370"/>
      <c r="K228" s="341"/>
      <c r="L228" s="297"/>
      <c r="M228" s="342"/>
      <c r="N228" s="297"/>
      <c r="O228" s="298"/>
    </row>
    <row r="229" spans="1:16" ht="13">
      <c r="A229" s="204">
        <v>29</v>
      </c>
      <c r="B229" s="1537" t="s">
        <v>910</v>
      </c>
      <c r="C229" s="1538"/>
      <c r="D229" s="1539"/>
      <c r="E229" s="1389">
        <f>SUM(E222:E228)</f>
        <v>744508.55999999947</v>
      </c>
      <c r="F229" s="1390"/>
      <c r="G229" s="1389">
        <f>SUM(G222:G228)</f>
        <v>744508.55999999947</v>
      </c>
      <c r="H229" s="1389">
        <f>SUM(H222:H228)</f>
        <v>45372.604703999968</v>
      </c>
      <c r="I229" s="1389">
        <f>SUM(I222:I228)</f>
        <v>699135.95529599953</v>
      </c>
      <c r="J229" s="1389">
        <f>SUM(J222:J228)</f>
        <v>0</v>
      </c>
      <c r="K229" s="315"/>
      <c r="L229" s="390">
        <f>SUM(L222:L228)</f>
        <v>0</v>
      </c>
      <c r="M229" s="390">
        <f>SUM(M222:M228)</f>
        <v>0</v>
      </c>
      <c r="N229" s="390">
        <f>SUM(N222:N228)</f>
        <v>0</v>
      </c>
      <c r="O229" s="191"/>
      <c r="P229" s="14"/>
    </row>
    <row r="230" spans="1:16" ht="13">
      <c r="A230" s="204">
        <v>30</v>
      </c>
      <c r="B230" s="1537" t="s">
        <v>1734</v>
      </c>
      <c r="C230" s="1538"/>
      <c r="D230" s="1539"/>
      <c r="E230" s="1391">
        <f>E231-E229</f>
        <v>-745034.55999999947</v>
      </c>
      <c r="F230" s="1392"/>
      <c r="G230" s="1392"/>
      <c r="H230" s="1392"/>
      <c r="I230" s="1392"/>
      <c r="J230" s="1393"/>
      <c r="K230" s="348"/>
      <c r="L230" s="347"/>
      <c r="M230" s="347"/>
      <c r="N230" s="347"/>
      <c r="O230" s="189"/>
    </row>
    <row r="231" spans="1:16" ht="25.5" customHeight="1">
      <c r="A231" s="204">
        <v>31</v>
      </c>
      <c r="B231" s="1546" t="s">
        <v>1229</v>
      </c>
      <c r="C231" s="1536"/>
      <c r="D231" s="1536"/>
      <c r="E231" s="1394">
        <v>-526</v>
      </c>
      <c r="F231" s="1392"/>
      <c r="G231" s="1392"/>
      <c r="H231" s="1392"/>
      <c r="I231" s="1392"/>
      <c r="J231" s="1393"/>
      <c r="K231" s="348"/>
      <c r="L231" s="347"/>
      <c r="M231" s="347"/>
      <c r="N231" s="347"/>
      <c r="O231" s="189"/>
    </row>
    <row r="232" spans="1:16">
      <c r="A232" s="210"/>
    </row>
    <row r="233" spans="1:16" ht="13">
      <c r="A233" s="204">
        <v>32</v>
      </c>
      <c r="B233" s="319"/>
      <c r="C233" s="318"/>
      <c r="D233" s="221" t="s">
        <v>911</v>
      </c>
      <c r="E233" s="1120">
        <f>E8+E37+E44+E80+E147+E175+E180+E185+E217+E229</f>
        <v>869163830.28999984</v>
      </c>
      <c r="F233" s="392"/>
      <c r="G233" s="1120">
        <f>G8+G37+G44+G80+G147+G175+G180+G185+G217+G229</f>
        <v>260350453.58350301</v>
      </c>
      <c r="H233" s="1120">
        <f>H8+H37+H44+H80+H147+H175+H180+H185+H217+H229</f>
        <v>38825253.462376997</v>
      </c>
      <c r="I233" s="1120">
        <f>I8+I37+I44+I80+I147+I175+I180+I185+I217+I229</f>
        <v>221525200.12112603</v>
      </c>
      <c r="J233" s="1120">
        <f>J8+J37+J44+J80+J147+J175+J180+J185+J217+J229</f>
        <v>80186919.459999979</v>
      </c>
      <c r="K233" s="392"/>
      <c r="L233" s="1120">
        <f>L8+L37+L44+L80+L147+L175+L180+L185+L217+L229</f>
        <v>16671389.000000004</v>
      </c>
      <c r="M233" s="391">
        <f>M8+M37+M44+M80+M147+M175+M180+M185+M217+M229</f>
        <v>63515530.459999993</v>
      </c>
      <c r="N233" s="391">
        <f>N8+N37+N44+N80+N147+N175+N180+N185+N217+N229</f>
        <v>528626457.24649698</v>
      </c>
      <c r="O233" s="190"/>
    </row>
    <row r="234" spans="1:16">
      <c r="A234" s="222"/>
      <c r="B234" s="223"/>
      <c r="C234" s="222"/>
      <c r="E234" s="210"/>
      <c r="F234" s="210"/>
      <c r="G234" s="294"/>
      <c r="J234" s="310"/>
      <c r="K234" s="309"/>
      <c r="N234" s="294"/>
    </row>
    <row r="235" spans="1:16">
      <c r="A235" s="222"/>
      <c r="B235" s="223"/>
      <c r="C235" s="222"/>
      <c r="E235" s="210"/>
      <c r="F235" s="210" t="s">
        <v>154</v>
      </c>
      <c r="H235" s="209"/>
      <c r="J235" s="310"/>
      <c r="K235" s="309"/>
      <c r="N235" s="294"/>
    </row>
    <row r="236" spans="1:16">
      <c r="A236" s="204">
        <v>33</v>
      </c>
      <c r="B236" s="337"/>
      <c r="C236" s="337"/>
      <c r="D236" s="333" t="s">
        <v>912</v>
      </c>
      <c r="E236" s="330">
        <f>L233</f>
        <v>16671389.000000004</v>
      </c>
      <c r="F236" s="332" t="s">
        <v>913</v>
      </c>
      <c r="G236" s="294"/>
      <c r="N236" s="294"/>
    </row>
    <row r="237" spans="1:16">
      <c r="A237" s="200">
        <v>34</v>
      </c>
      <c r="B237" s="337"/>
      <c r="C237" s="337"/>
      <c r="D237" s="333" t="s">
        <v>915</v>
      </c>
      <c r="E237" s="330">
        <f>E236*(5.425/16.671)</f>
        <v>5425126.5865874887</v>
      </c>
      <c r="F237" s="892" t="s">
        <v>1171</v>
      </c>
      <c r="G237" s="309"/>
      <c r="N237" s="294"/>
    </row>
    <row r="238" spans="1:16">
      <c r="A238" s="200">
        <v>35</v>
      </c>
      <c r="B238" s="337"/>
      <c r="C238" s="337"/>
      <c r="D238" s="335"/>
      <c r="E238" s="288"/>
      <c r="F238" s="893"/>
      <c r="G238" s="309"/>
      <c r="N238" s="294"/>
    </row>
    <row r="239" spans="1:16">
      <c r="A239" s="200">
        <v>36</v>
      </c>
      <c r="B239" s="337"/>
      <c r="C239" s="337"/>
      <c r="D239" s="333" t="s">
        <v>916</v>
      </c>
      <c r="E239" s="330">
        <f>SUMIF(K4:K228,"=A",M4:M228)</f>
        <v>36608562.6679141</v>
      </c>
      <c r="F239" s="894" t="s">
        <v>917</v>
      </c>
      <c r="G239" s="309"/>
      <c r="N239" s="294"/>
    </row>
    <row r="240" spans="1:16">
      <c r="A240" s="200">
        <v>37</v>
      </c>
      <c r="B240" s="327"/>
      <c r="C240" s="327"/>
      <c r="D240" s="333" t="s">
        <v>918</v>
      </c>
      <c r="E240" s="330">
        <f>0.1*E239</f>
        <v>3660856.2667914103</v>
      </c>
      <c r="F240" s="66" t="str">
        <f>"= Line "&amp;A239&amp;"D * 10%"</f>
        <v>= Line 36D * 10%</v>
      </c>
      <c r="G240" s="41"/>
      <c r="H240" s="312"/>
      <c r="I240" s="313"/>
    </row>
    <row r="241" spans="1:254">
      <c r="A241" s="200">
        <v>38</v>
      </c>
      <c r="B241" s="327"/>
      <c r="C241" s="327"/>
      <c r="D241" s="333" t="s">
        <v>919</v>
      </c>
      <c r="E241" s="330">
        <f>SUMIF(K4:K228,"=P",M4:M228)</f>
        <v>26898389.651676647</v>
      </c>
      <c r="F241" s="895" t="s">
        <v>920</v>
      </c>
      <c r="G241" s="41"/>
      <c r="H241" s="210"/>
      <c r="I241" s="313"/>
    </row>
    <row r="242" spans="1:254">
      <c r="A242" s="200">
        <v>39</v>
      </c>
      <c r="B242" s="327"/>
      <c r="C242" s="327"/>
      <c r="D242" s="333" t="s">
        <v>921</v>
      </c>
      <c r="E242" s="330">
        <f>0.3*E241</f>
        <v>8069516.8955029938</v>
      </c>
      <c r="F242" s="66" t="str">
        <f>"= Line "&amp;A241&amp;"D * 30%"</f>
        <v>= Line 38D * 30%</v>
      </c>
      <c r="G242" s="41"/>
      <c r="H242" s="312"/>
      <c r="I242" s="313"/>
    </row>
    <row r="243" spans="1:254">
      <c r="A243" s="200">
        <v>40</v>
      </c>
      <c r="B243" s="327"/>
      <c r="C243" s="327"/>
      <c r="D243" s="333" t="s">
        <v>922</v>
      </c>
      <c r="E243" s="330">
        <f>E240+E242</f>
        <v>11730373.162294405</v>
      </c>
      <c r="F243" s="66" t="str">
        <f>"= Line "&amp;A240&amp;"D + Line "&amp;A242&amp;"D"</f>
        <v>= Line 37D + Line 39D</v>
      </c>
      <c r="G243" s="308"/>
    </row>
    <row r="244" spans="1:254">
      <c r="A244" s="200">
        <v>41</v>
      </c>
      <c r="B244" s="327"/>
      <c r="C244" s="327"/>
      <c r="D244" s="333" t="s">
        <v>923</v>
      </c>
      <c r="E244" s="334">
        <f>5.425/16.671</f>
        <v>0.32541539199808051</v>
      </c>
      <c r="F244" s="894" t="s">
        <v>914</v>
      </c>
      <c r="G244" s="308"/>
    </row>
    <row r="245" spans="1:254">
      <c r="A245" s="200">
        <v>42</v>
      </c>
      <c r="B245" s="327"/>
      <c r="C245" s="327"/>
      <c r="D245" s="333" t="s">
        <v>924</v>
      </c>
      <c r="E245" s="330">
        <f>E243*E244</f>
        <v>3817243.9808917968</v>
      </c>
      <c r="F245" s="66" t="str">
        <f>"= Line "&amp;A243&amp;"D * Line "&amp;A244&amp;"D"</f>
        <v>= Line 40D * Line 41D</v>
      </c>
      <c r="G245" s="308"/>
    </row>
    <row r="246" spans="1:254" ht="12.75" customHeight="1">
      <c r="A246" s="200">
        <v>43</v>
      </c>
      <c r="B246" s="327"/>
      <c r="C246" s="327"/>
      <c r="D246" s="336" t="s">
        <v>1735</v>
      </c>
      <c r="E246" s="390">
        <f>E245+E237</f>
        <v>9242370.5674792863</v>
      </c>
      <c r="F246" s="66" t="str">
        <f>"= Line "&amp;A237&amp;"D + Line "&amp;A245&amp;"D"</f>
        <v>= Line 34D + Line 42D</v>
      </c>
      <c r="G246" s="308"/>
    </row>
    <row r="247" spans="1:254">
      <c r="A247" s="41"/>
      <c r="D247" s="308"/>
      <c r="E247" s="896"/>
      <c r="F247" s="894"/>
      <c r="G247" s="308"/>
    </row>
    <row r="248" spans="1:254">
      <c r="A248" s="41"/>
      <c r="D248" s="219"/>
      <c r="E248" s="225" t="s">
        <v>175</v>
      </c>
      <c r="F248" s="225" t="s">
        <v>154</v>
      </c>
      <c r="G248" s="217"/>
      <c r="I248" s="220"/>
      <c r="J248" s="41"/>
      <c r="K248" s="220"/>
      <c r="L248" s="219"/>
      <c r="M248" s="225"/>
      <c r="N248" s="225"/>
      <c r="O248" s="217"/>
      <c r="P248" s="218"/>
      <c r="Q248" s="220"/>
      <c r="R248" s="219"/>
      <c r="S248" s="225"/>
      <c r="T248" s="225"/>
      <c r="U248" s="217"/>
      <c r="V248" s="218"/>
      <c r="W248" s="220"/>
      <c r="X248" s="41"/>
      <c r="Y248" s="220"/>
      <c r="Z248" s="219"/>
      <c r="AA248" s="225"/>
      <c r="AB248" s="225"/>
      <c r="AC248" s="217"/>
      <c r="AD248" s="218"/>
      <c r="AE248" s="220"/>
      <c r="AF248" s="41"/>
      <c r="AG248" s="220"/>
      <c r="AH248" s="219"/>
      <c r="AI248" s="225"/>
      <c r="AJ248" s="225"/>
      <c r="AK248" s="217"/>
      <c r="AL248" s="218"/>
      <c r="AM248" s="220"/>
      <c r="AN248" s="41"/>
      <c r="AO248" s="220"/>
      <c r="AP248" s="219"/>
      <c r="AQ248" s="225"/>
      <c r="AR248" s="225"/>
      <c r="AS248" s="217"/>
      <c r="AT248" s="218"/>
      <c r="AU248" s="220"/>
      <c r="AV248" s="41"/>
      <c r="AW248" s="220"/>
      <c r="AX248" s="219"/>
      <c r="AY248" s="225"/>
      <c r="AZ248" s="225"/>
      <c r="BA248" s="217"/>
      <c r="BB248" s="218"/>
      <c r="BC248" s="220"/>
      <c r="BD248" s="41"/>
      <c r="BE248" s="220"/>
      <c r="BF248" s="219"/>
      <c r="BG248" s="225"/>
      <c r="BH248" s="225"/>
      <c r="BI248" s="217"/>
      <c r="BJ248" s="218"/>
      <c r="BK248" s="220"/>
      <c r="BL248" s="41"/>
      <c r="BM248" s="220"/>
      <c r="BN248" s="219"/>
      <c r="BO248" s="225"/>
      <c r="BP248" s="225"/>
      <c r="BQ248" s="217"/>
      <c r="BR248" s="218"/>
      <c r="BS248" s="220"/>
      <c r="BT248" s="41"/>
      <c r="BU248" s="220"/>
      <c r="BV248" s="219"/>
      <c r="BW248" s="225"/>
      <c r="BX248" s="225"/>
      <c r="BY248" s="217"/>
      <c r="BZ248" s="218"/>
      <c r="CA248" s="220"/>
      <c r="CB248" s="41"/>
      <c r="CC248" s="220"/>
      <c r="CD248" s="219"/>
      <c r="CE248" s="225"/>
      <c r="CF248" s="225"/>
      <c r="CG248" s="217"/>
      <c r="CH248" s="218"/>
      <c r="CI248" s="220"/>
      <c r="CJ248" s="41"/>
      <c r="CK248" s="220"/>
      <c r="CL248" s="219"/>
      <c r="CM248" s="225"/>
      <c r="CN248" s="225"/>
      <c r="CO248" s="217"/>
      <c r="CP248" s="218"/>
      <c r="CQ248" s="220"/>
      <c r="CR248" s="41"/>
      <c r="CS248" s="220"/>
      <c r="CT248" s="219"/>
      <c r="CU248" s="225"/>
      <c r="CV248" s="225"/>
      <c r="CW248" s="217"/>
      <c r="CX248" s="218"/>
      <c r="CY248" s="220"/>
      <c r="CZ248" s="41"/>
      <c r="DA248" s="220"/>
      <c r="DB248" s="219"/>
      <c r="DC248" s="225"/>
      <c r="DD248" s="225"/>
      <c r="DE248" s="217"/>
      <c r="DF248" s="218"/>
      <c r="DG248" s="220"/>
      <c r="DH248" s="41"/>
      <c r="DI248" s="220"/>
      <c r="DJ248" s="219"/>
      <c r="DK248" s="225"/>
      <c r="DL248" s="225"/>
      <c r="DM248" s="217"/>
      <c r="DN248" s="218"/>
      <c r="DO248" s="220"/>
      <c r="DP248" s="41"/>
      <c r="DQ248" s="220"/>
      <c r="DR248" s="219"/>
      <c r="DS248" s="225"/>
      <c r="DT248" s="225"/>
      <c r="DU248" s="217"/>
      <c r="DV248" s="218"/>
      <c r="DW248" s="220"/>
      <c r="DX248" s="41"/>
      <c r="DY248" s="220"/>
      <c r="DZ248" s="219"/>
      <c r="EA248" s="225"/>
      <c r="EB248" s="225"/>
      <c r="EC248" s="217"/>
      <c r="ED248" s="218"/>
      <c r="EE248" s="220"/>
      <c r="EF248" s="41"/>
      <c r="EG248" s="220"/>
      <c r="EH248" s="219"/>
      <c r="EI248" s="225"/>
      <c r="EJ248" s="225"/>
      <c r="EK248" s="217"/>
      <c r="EL248" s="218"/>
      <c r="EM248" s="220"/>
      <c r="EN248" s="41"/>
      <c r="EO248" s="220"/>
      <c r="EP248" s="219"/>
      <c r="EQ248" s="225"/>
      <c r="ER248" s="225"/>
      <c r="ES248" s="217"/>
      <c r="ET248" s="218"/>
      <c r="EU248" s="220"/>
      <c r="EV248" s="41"/>
      <c r="EW248" s="220"/>
      <c r="EX248" s="219"/>
      <c r="EY248" s="225"/>
      <c r="EZ248" s="225"/>
      <c r="FA248" s="217"/>
      <c r="FB248" s="218"/>
      <c r="FC248" s="220"/>
      <c r="FD248" s="41"/>
      <c r="FE248" s="220"/>
      <c r="FF248" s="219"/>
      <c r="FG248" s="225"/>
      <c r="FH248" s="225"/>
      <c r="FI248" s="217"/>
      <c r="FJ248" s="218"/>
      <c r="FK248" s="220"/>
      <c r="FL248" s="41"/>
      <c r="FM248" s="220"/>
      <c r="FN248" s="219"/>
      <c r="FO248" s="225"/>
      <c r="FP248" s="225"/>
      <c r="FQ248" s="217"/>
      <c r="FR248" s="218"/>
      <c r="FS248" s="220"/>
      <c r="FT248" s="41"/>
      <c r="FU248" s="220"/>
      <c r="FV248" s="219"/>
      <c r="FW248" s="225"/>
      <c r="FX248" s="225"/>
      <c r="FY248" s="217"/>
      <c r="FZ248" s="218"/>
      <c r="GA248" s="220"/>
      <c r="GB248" s="41"/>
      <c r="GC248" s="220"/>
      <c r="GD248" s="219"/>
      <c r="GE248" s="225"/>
      <c r="GF248" s="225"/>
      <c r="GG248" s="217"/>
      <c r="GH248" s="218"/>
      <c r="GI248" s="220"/>
      <c r="GJ248" s="41"/>
      <c r="GK248" s="220"/>
      <c r="GL248" s="219"/>
      <c r="GM248" s="225"/>
      <c r="GN248" s="225"/>
      <c r="GO248" s="217"/>
      <c r="GP248" s="218"/>
      <c r="GQ248" s="220"/>
      <c r="GR248" s="41"/>
      <c r="GS248" s="220"/>
      <c r="GT248" s="219"/>
      <c r="GU248" s="225"/>
      <c r="GV248" s="225"/>
      <c r="GW248" s="217"/>
      <c r="GX248" s="218"/>
      <c r="GY248" s="220"/>
      <c r="GZ248" s="41"/>
      <c r="HA248" s="220"/>
      <c r="HB248" s="219"/>
      <c r="HC248" s="225"/>
      <c r="HD248" s="225"/>
      <c r="HE248" s="217"/>
      <c r="HF248" s="218"/>
      <c r="HG248" s="220"/>
      <c r="HH248" s="41"/>
      <c r="HI248" s="220"/>
      <c r="HJ248" s="219"/>
      <c r="HK248" s="225"/>
      <c r="HL248" s="225"/>
      <c r="HM248" s="217"/>
      <c r="HN248" s="218"/>
      <c r="HO248" s="220"/>
      <c r="HP248" s="41"/>
      <c r="HQ248" s="220"/>
      <c r="HR248" s="219"/>
      <c r="HS248" s="225"/>
      <c r="HT248" s="225"/>
      <c r="HU248" s="217"/>
      <c r="HV248" s="218"/>
      <c r="HW248" s="220"/>
      <c r="HX248" s="41"/>
      <c r="HY248" s="220"/>
      <c r="HZ248" s="219"/>
      <c r="IA248" s="225"/>
      <c r="IB248" s="225"/>
      <c r="IC248" s="217"/>
      <c r="ID248" s="218"/>
      <c r="IE248" s="220"/>
      <c r="IF248" s="41"/>
      <c r="IG248" s="220"/>
      <c r="IH248" s="219"/>
      <c r="II248" s="225"/>
      <c r="IJ248" s="225"/>
      <c r="IK248" s="217"/>
      <c r="IL248" s="218"/>
      <c r="IM248" s="220"/>
      <c r="IN248" s="41"/>
      <c r="IO248" s="220"/>
      <c r="IP248" s="219"/>
      <c r="IQ248" s="225"/>
      <c r="IR248" s="225"/>
      <c r="IS248" s="217"/>
      <c r="IT248" s="218"/>
    </row>
    <row r="249" spans="1:254" ht="13">
      <c r="A249" s="200">
        <v>44</v>
      </c>
      <c r="B249" s="40" t="s">
        <v>947</v>
      </c>
      <c r="D249" s="219"/>
      <c r="E249" s="393">
        <f>H233+E246</f>
        <v>48067624.029856279</v>
      </c>
      <c r="F249" s="702" t="s">
        <v>2028</v>
      </c>
      <c r="G249" s="217"/>
      <c r="J249" s="40"/>
      <c r="K249" s="220"/>
      <c r="L249" s="219"/>
      <c r="M249" s="224"/>
      <c r="N249" s="226"/>
      <c r="O249" s="217"/>
      <c r="P249" s="218"/>
      <c r="Q249" s="220"/>
      <c r="R249" s="219"/>
      <c r="S249" s="224"/>
      <c r="T249" s="226"/>
      <c r="U249" s="217"/>
      <c r="V249" s="218"/>
      <c r="W249" s="210"/>
      <c r="X249" s="40"/>
      <c r="Y249" s="220"/>
      <c r="Z249" s="219"/>
      <c r="AA249" s="224"/>
      <c r="AB249" s="226"/>
      <c r="AC249" s="217"/>
      <c r="AD249" s="218"/>
      <c r="AE249" s="210"/>
      <c r="AF249" s="40"/>
      <c r="AG249" s="220"/>
      <c r="AH249" s="219"/>
      <c r="AI249" s="224"/>
      <c r="AJ249" s="226"/>
      <c r="AK249" s="217"/>
      <c r="AL249" s="218"/>
      <c r="AM249" s="204"/>
      <c r="AN249" s="40"/>
      <c r="AO249" s="220"/>
      <c r="AP249" s="219"/>
      <c r="AQ249" s="224"/>
      <c r="AR249" s="226"/>
      <c r="AS249" s="217"/>
      <c r="AT249" s="218"/>
      <c r="AU249" s="204"/>
      <c r="AV249" s="40"/>
      <c r="AW249" s="220"/>
      <c r="AX249" s="219"/>
      <c r="AY249" s="224"/>
      <c r="AZ249" s="226"/>
      <c r="BA249" s="217"/>
      <c r="BB249" s="218"/>
      <c r="BC249" s="204"/>
      <c r="BD249" s="40"/>
      <c r="BE249" s="220"/>
      <c r="BF249" s="219"/>
      <c r="BG249" s="224"/>
      <c r="BH249" s="226"/>
      <c r="BI249" s="217"/>
      <c r="BJ249" s="218"/>
      <c r="BK249" s="204"/>
      <c r="BL249" s="40"/>
      <c r="BM249" s="220"/>
      <c r="BN249" s="219"/>
      <c r="BO249" s="224"/>
      <c r="BP249" s="226"/>
      <c r="BQ249" s="217"/>
      <c r="BR249" s="218"/>
      <c r="BS249" s="204"/>
      <c r="BT249" s="40"/>
      <c r="BU249" s="220"/>
      <c r="BV249" s="219"/>
      <c r="BW249" s="224"/>
      <c r="BX249" s="226"/>
      <c r="BY249" s="217"/>
      <c r="BZ249" s="218"/>
      <c r="CA249" s="204"/>
      <c r="CB249" s="40"/>
      <c r="CC249" s="220"/>
      <c r="CD249" s="219"/>
      <c r="CE249" s="224"/>
      <c r="CF249" s="226"/>
      <c r="CG249" s="217"/>
      <c r="CH249" s="218"/>
      <c r="CI249" s="204"/>
      <c r="CJ249" s="40"/>
      <c r="CK249" s="220"/>
      <c r="CL249" s="219"/>
      <c r="CM249" s="224"/>
      <c r="CN249" s="226"/>
      <c r="CO249" s="217"/>
      <c r="CP249" s="218"/>
      <c r="CQ249" s="204"/>
      <c r="CR249" s="40"/>
      <c r="CS249" s="220"/>
      <c r="CT249" s="219"/>
      <c r="CU249" s="224"/>
      <c r="CV249" s="226"/>
      <c r="CW249" s="217"/>
      <c r="CX249" s="218"/>
      <c r="CY249" s="204"/>
      <c r="CZ249" s="40"/>
      <c r="DA249" s="220"/>
      <c r="DB249" s="219"/>
      <c r="DC249" s="224"/>
      <c r="DD249" s="226"/>
      <c r="DE249" s="217"/>
      <c r="DF249" s="218"/>
      <c r="DG249" s="204"/>
      <c r="DH249" s="40"/>
      <c r="DI249" s="220"/>
      <c r="DJ249" s="219"/>
      <c r="DK249" s="224"/>
      <c r="DL249" s="226"/>
      <c r="DM249" s="217"/>
      <c r="DN249" s="218"/>
      <c r="DO249" s="204"/>
      <c r="DP249" s="40"/>
      <c r="DQ249" s="220"/>
      <c r="DR249" s="219"/>
      <c r="DS249" s="224"/>
      <c r="DT249" s="226"/>
      <c r="DU249" s="217"/>
      <c r="DV249" s="218"/>
      <c r="DW249" s="204"/>
      <c r="DX249" s="40"/>
      <c r="DY249" s="220"/>
      <c r="DZ249" s="219"/>
      <c r="EA249" s="224"/>
      <c r="EB249" s="226"/>
      <c r="EC249" s="217"/>
      <c r="ED249" s="218"/>
      <c r="EE249" s="204"/>
      <c r="EF249" s="40"/>
      <c r="EG249" s="220"/>
      <c r="EH249" s="219"/>
      <c r="EI249" s="224"/>
      <c r="EJ249" s="226"/>
      <c r="EK249" s="217"/>
      <c r="EL249" s="218"/>
      <c r="EM249" s="204"/>
      <c r="EN249" s="40"/>
      <c r="EO249" s="220"/>
      <c r="EP249" s="219"/>
      <c r="EQ249" s="224"/>
      <c r="ER249" s="226"/>
      <c r="ES249" s="217"/>
      <c r="ET249" s="218"/>
      <c r="EU249" s="204"/>
      <c r="EV249" s="40"/>
      <c r="EW249" s="220"/>
      <c r="EX249" s="219"/>
      <c r="EY249" s="224"/>
      <c r="EZ249" s="226"/>
      <c r="FA249" s="217"/>
      <c r="FB249" s="218"/>
      <c r="FC249" s="204"/>
      <c r="FD249" s="40"/>
      <c r="FE249" s="220"/>
      <c r="FF249" s="219"/>
      <c r="FG249" s="224"/>
      <c r="FH249" s="226"/>
      <c r="FI249" s="217"/>
      <c r="FJ249" s="218"/>
      <c r="FK249" s="204"/>
      <c r="FL249" s="40"/>
      <c r="FM249" s="220"/>
      <c r="FN249" s="219"/>
      <c r="FO249" s="224"/>
      <c r="FP249" s="226"/>
      <c r="FQ249" s="217"/>
      <c r="FR249" s="218"/>
      <c r="FS249" s="204"/>
      <c r="FT249" s="40"/>
      <c r="FU249" s="220"/>
      <c r="FV249" s="219"/>
      <c r="FW249" s="224"/>
      <c r="FX249" s="226"/>
      <c r="FY249" s="217"/>
      <c r="FZ249" s="218"/>
      <c r="GA249" s="204"/>
      <c r="GB249" s="40"/>
      <c r="GC249" s="220"/>
      <c r="GD249" s="219"/>
      <c r="GE249" s="224"/>
      <c r="GF249" s="226"/>
      <c r="GG249" s="217"/>
      <c r="GH249" s="218"/>
      <c r="GI249" s="204"/>
      <c r="GJ249" s="40"/>
      <c r="GK249" s="220"/>
      <c r="GL249" s="219"/>
      <c r="GM249" s="224"/>
      <c r="GN249" s="226"/>
      <c r="GO249" s="217"/>
      <c r="GP249" s="218"/>
      <c r="GQ249" s="204"/>
      <c r="GR249" s="40"/>
      <c r="GS249" s="220"/>
      <c r="GT249" s="219"/>
      <c r="GU249" s="224"/>
      <c r="GV249" s="226"/>
      <c r="GW249" s="217"/>
      <c r="GX249" s="218"/>
      <c r="GY249" s="204"/>
      <c r="GZ249" s="40"/>
      <c r="HA249" s="220"/>
      <c r="HB249" s="219"/>
      <c r="HC249" s="224"/>
      <c r="HD249" s="226"/>
      <c r="HE249" s="217"/>
      <c r="HF249" s="218"/>
      <c r="HG249" s="204"/>
      <c r="HH249" s="40"/>
      <c r="HI249" s="220"/>
      <c r="HJ249" s="219"/>
      <c r="HK249" s="224"/>
      <c r="HL249" s="226"/>
      <c r="HM249" s="217"/>
      <c r="HN249" s="218"/>
      <c r="HO249" s="204"/>
      <c r="HP249" s="40"/>
      <c r="HQ249" s="220"/>
      <c r="HR249" s="219"/>
      <c r="HS249" s="224"/>
      <c r="HT249" s="226"/>
      <c r="HU249" s="217"/>
      <c r="HV249" s="218"/>
      <c r="HW249" s="204"/>
      <c r="HX249" s="40"/>
      <c r="HY249" s="220"/>
      <c r="HZ249" s="219"/>
      <c r="IA249" s="224"/>
      <c r="IB249" s="226"/>
      <c r="IC249" s="217"/>
      <c r="ID249" s="218"/>
      <c r="IE249" s="204"/>
      <c r="IF249" s="40"/>
      <c r="IG249" s="220"/>
      <c r="IH249" s="219"/>
      <c r="II249" s="224"/>
      <c r="IJ249" s="226"/>
      <c r="IK249" s="217"/>
      <c r="IL249" s="218"/>
      <c r="IM249" s="204"/>
      <c r="IN249" s="40"/>
      <c r="IO249" s="220"/>
      <c r="IP249" s="219"/>
      <c r="IQ249" s="224"/>
      <c r="IR249" s="226"/>
      <c r="IS249" s="217"/>
      <c r="IT249" s="218"/>
    </row>
    <row r="250" spans="1:254">
      <c r="D250" s="308"/>
      <c r="E250" s="295"/>
      <c r="F250" s="332"/>
    </row>
    <row r="252" spans="1:254">
      <c r="A252" s="220" t="s">
        <v>230</v>
      </c>
    </row>
    <row r="253" spans="1:254" ht="12.75" customHeight="1">
      <c r="A253" s="86" t="s">
        <v>925</v>
      </c>
      <c r="B253" s="1551" t="s">
        <v>1463</v>
      </c>
      <c r="C253" s="1552"/>
      <c r="D253" s="1552"/>
    </row>
    <row r="254" spans="1:254" ht="77.25" customHeight="1">
      <c r="A254" s="86" t="s">
        <v>926</v>
      </c>
      <c r="B254" s="1526" t="s">
        <v>1812</v>
      </c>
      <c r="C254" s="1527"/>
      <c r="D254" s="1527"/>
      <c r="E254" s="1528"/>
      <c r="F254" s="1528"/>
    </row>
    <row r="255" spans="1:254" ht="12.75" customHeight="1">
      <c r="A255" s="86" t="s">
        <v>927</v>
      </c>
      <c r="B255" s="1541" t="s">
        <v>928</v>
      </c>
      <c r="C255" s="1542"/>
      <c r="D255" s="1542"/>
      <c r="E255" s="1543"/>
      <c r="F255" s="1543"/>
    </row>
    <row r="256" spans="1:254" ht="12.75" customHeight="1">
      <c r="A256" s="72" t="s">
        <v>929</v>
      </c>
      <c r="B256" s="1526" t="s">
        <v>1505</v>
      </c>
      <c r="C256" s="1542"/>
      <c r="D256" s="1542"/>
      <c r="E256" s="1543"/>
      <c r="F256" s="1543"/>
    </row>
    <row r="257" spans="1:8" ht="12.75" customHeight="1">
      <c r="A257" s="86" t="s">
        <v>930</v>
      </c>
      <c r="B257" s="1541" t="s">
        <v>931</v>
      </c>
      <c r="C257" s="1542"/>
      <c r="D257" s="1542"/>
      <c r="E257" s="1543"/>
      <c r="F257" s="1543"/>
    </row>
    <row r="258" spans="1:8" ht="12.75" customHeight="1">
      <c r="A258" s="72" t="s">
        <v>932</v>
      </c>
      <c r="B258" s="1541" t="s">
        <v>933</v>
      </c>
      <c r="C258" s="1542"/>
      <c r="D258" s="1542"/>
      <c r="E258" s="1543"/>
      <c r="F258" s="1543"/>
    </row>
    <row r="259" spans="1:8" ht="12.75" customHeight="1">
      <c r="A259" s="72" t="s">
        <v>934</v>
      </c>
      <c r="B259" s="1526" t="s">
        <v>1706</v>
      </c>
      <c r="C259" s="1527"/>
      <c r="D259" s="1527"/>
      <c r="E259" s="1547"/>
      <c r="F259" s="1547"/>
    </row>
    <row r="260" spans="1:8" ht="12.75" customHeight="1">
      <c r="A260" s="72"/>
      <c r="B260" s="1547"/>
      <c r="C260" s="1547"/>
      <c r="D260" s="1547"/>
      <c r="E260" s="1547"/>
      <c r="F260" s="1547"/>
    </row>
    <row r="261" spans="1:8" ht="12.75" customHeight="1">
      <c r="A261" s="72"/>
      <c r="B261" s="1541" t="s">
        <v>935</v>
      </c>
      <c r="C261" s="1542"/>
      <c r="D261" s="976">
        <v>6.0900000000000003E-2</v>
      </c>
      <c r="E261" s="1465" t="s">
        <v>1731</v>
      </c>
      <c r="F261" s="961" t="s">
        <v>2897</v>
      </c>
      <c r="G261" s="567"/>
    </row>
    <row r="262" spans="1:8" ht="26.25" customHeight="1">
      <c r="A262" s="72" t="s">
        <v>936</v>
      </c>
      <c r="B262" s="1541" t="s">
        <v>937</v>
      </c>
      <c r="C262" s="1542"/>
      <c r="D262" s="1542"/>
      <c r="E262" s="1543"/>
      <c r="F262" s="1543"/>
    </row>
    <row r="263" spans="1:8" ht="27.75" customHeight="1">
      <c r="A263" s="72" t="s">
        <v>938</v>
      </c>
      <c r="B263" s="1541" t="s">
        <v>939</v>
      </c>
      <c r="C263" s="1542"/>
      <c r="D263" s="1542"/>
      <c r="E263" s="1543"/>
      <c r="F263" s="1543"/>
    </row>
    <row r="264" spans="1:8" ht="25.5" customHeight="1">
      <c r="A264" s="86" t="s">
        <v>940</v>
      </c>
      <c r="B264" s="1541" t="s">
        <v>941</v>
      </c>
      <c r="C264" s="1542"/>
      <c r="D264" s="1542"/>
      <c r="E264" s="1543"/>
      <c r="F264" s="1543"/>
    </row>
    <row r="265" spans="1:8" ht="40.4" customHeight="1">
      <c r="A265" s="72" t="s">
        <v>942</v>
      </c>
      <c r="B265" s="1526" t="s">
        <v>1732</v>
      </c>
      <c r="C265" s="1527"/>
      <c r="D265" s="1527"/>
      <c r="E265" s="1528"/>
      <c r="F265" s="1528"/>
      <c r="G265" s="308"/>
    </row>
    <row r="266" spans="1:8" ht="38.25" customHeight="1">
      <c r="A266" s="72" t="s">
        <v>943</v>
      </c>
      <c r="B266" s="1526" t="s">
        <v>1707</v>
      </c>
      <c r="C266" s="1527"/>
      <c r="D266" s="1527"/>
      <c r="E266" s="1547"/>
      <c r="F266" s="1547"/>
      <c r="G266" s="1547"/>
    </row>
    <row r="267" spans="1:8" ht="12.75" customHeight="1">
      <c r="A267" s="72"/>
      <c r="B267" s="1541" t="s">
        <v>935</v>
      </c>
      <c r="C267" s="1542"/>
      <c r="D267" s="976">
        <v>6.0900000000000003E-2</v>
      </c>
      <c r="E267" s="1465" t="s">
        <v>1731</v>
      </c>
      <c r="F267" s="961" t="s">
        <v>2897</v>
      </c>
      <c r="G267" s="567"/>
    </row>
    <row r="268" spans="1:8" ht="12.75" customHeight="1">
      <c r="A268" s="72" t="s">
        <v>944</v>
      </c>
      <c r="B268" s="1526" t="s">
        <v>2026</v>
      </c>
      <c r="C268" s="1527"/>
      <c r="D268" s="1527"/>
      <c r="E268" s="1547"/>
      <c r="F268" s="1547"/>
      <c r="G268" s="1547"/>
      <c r="H268" s="1547"/>
    </row>
    <row r="269" spans="1:8" ht="12.75" customHeight="1">
      <c r="A269" s="72" t="s">
        <v>945</v>
      </c>
      <c r="B269" s="1526" t="s">
        <v>2027</v>
      </c>
      <c r="C269" s="1527"/>
      <c r="D269" s="1527"/>
      <c r="E269" s="1547"/>
      <c r="F269" s="1547"/>
      <c r="G269" s="1547"/>
    </row>
    <row r="270" spans="1:8" ht="27" customHeight="1">
      <c r="A270" s="545" t="s">
        <v>1662</v>
      </c>
      <c r="B270" s="1526" t="s">
        <v>1747</v>
      </c>
      <c r="C270" s="1527"/>
      <c r="D270" s="1527"/>
      <c r="E270" s="1528"/>
      <c r="F270" s="1528"/>
      <c r="G270" s="308"/>
    </row>
    <row r="271" spans="1:8">
      <c r="A271" s="545" t="s">
        <v>1733</v>
      </c>
      <c r="B271" s="532" t="s">
        <v>1773</v>
      </c>
      <c r="C271" s="41"/>
      <c r="E271" s="41"/>
      <c r="F271" s="41"/>
      <c r="G271" s="308"/>
    </row>
    <row r="272" spans="1:8">
      <c r="A272" s="545" t="s">
        <v>1752</v>
      </c>
      <c r="B272" s="532" t="s">
        <v>1796</v>
      </c>
      <c r="C272" s="41"/>
      <c r="E272" s="308"/>
      <c r="F272" s="308"/>
      <c r="G272" s="308"/>
    </row>
    <row r="273" spans="1:7">
      <c r="A273" s="41"/>
      <c r="B273" s="532" t="s">
        <v>1797</v>
      </c>
      <c r="C273" s="41"/>
      <c r="E273" s="308"/>
      <c r="F273" s="308"/>
      <c r="G273" s="308"/>
    </row>
    <row r="274" spans="1:7">
      <c r="A274" s="41"/>
      <c r="B274" s="532" t="s">
        <v>1798</v>
      </c>
      <c r="C274" s="41"/>
      <c r="E274" s="308"/>
      <c r="F274" s="308"/>
      <c r="G274" s="308"/>
    </row>
    <row r="275" spans="1:7">
      <c r="A275" s="41"/>
      <c r="B275" s="532" t="s">
        <v>1799</v>
      </c>
      <c r="C275" s="41"/>
      <c r="E275" s="308"/>
      <c r="F275" s="308"/>
      <c r="G275" s="308"/>
    </row>
  </sheetData>
  <autoFilter ref="A1:O275" xr:uid="{00000000-0009-0000-0000-00001A000000}"/>
  <mergeCells count="45">
    <mergeCell ref="B268:H268"/>
    <mergeCell ref="B269:G269"/>
    <mergeCell ref="B147:D147"/>
    <mergeCell ref="B264:F264"/>
    <mergeCell ref="B265:F265"/>
    <mergeCell ref="B267:C267"/>
    <mergeCell ref="B266:G266"/>
    <mergeCell ref="B181:D181"/>
    <mergeCell ref="B217:D217"/>
    <mergeCell ref="B186:D186"/>
    <mergeCell ref="B253:D253"/>
    <mergeCell ref="B180:D180"/>
    <mergeCell ref="B175:D175"/>
    <mergeCell ref="B261:C261"/>
    <mergeCell ref="B259:F260"/>
    <mergeCell ref="B263:F263"/>
    <mergeCell ref="B254:F254"/>
    <mergeCell ref="B222:C222"/>
    <mergeCell ref="B223:C223"/>
    <mergeCell ref="B225:C225"/>
    <mergeCell ref="B229:D229"/>
    <mergeCell ref="B231:D231"/>
    <mergeCell ref="B230:D230"/>
    <mergeCell ref="B224:C224"/>
    <mergeCell ref="B255:F255"/>
    <mergeCell ref="B256:F256"/>
    <mergeCell ref="B258:F258"/>
    <mergeCell ref="B257:F257"/>
    <mergeCell ref="B262:F262"/>
    <mergeCell ref="B270:F270"/>
    <mergeCell ref="J2:M2"/>
    <mergeCell ref="G2:I2"/>
    <mergeCell ref="B219:D219"/>
    <mergeCell ref="B176:D176"/>
    <mergeCell ref="B81:D81"/>
    <mergeCell ref="B45:D45"/>
    <mergeCell ref="B38:D38"/>
    <mergeCell ref="B218:D218"/>
    <mergeCell ref="B185:D185"/>
    <mergeCell ref="B8:D8"/>
    <mergeCell ref="B9:D9"/>
    <mergeCell ref="B44:D44"/>
    <mergeCell ref="B37:D37"/>
    <mergeCell ref="B80:D80"/>
    <mergeCell ref="B148:D148"/>
  </mergeCells>
  <conditionalFormatting sqref="A257:A258 C182:C184 D86 C177:C179 C272:C65581 A262:A263 A265:A268 C250:C252 C233:C247 A270:A271 C146 C174 C2:C7 C39:C43 C46:C70 C82:C132 C149:C166 C186:C193 C10:C29 C36">
    <cfRule type="cellIs" dxfId="14" priority="16" stopIfTrue="1" operator="between">
      <formula>4990000</formula>
      <formula>4999999</formula>
    </cfRule>
  </conditionalFormatting>
  <conditionalFormatting sqref="A269">
    <cfRule type="cellIs" dxfId="13" priority="15" stopIfTrue="1" operator="between">
      <formula>4990000</formula>
      <formula>4999999</formula>
    </cfRule>
  </conditionalFormatting>
  <conditionalFormatting sqref="A259:A261">
    <cfRule type="cellIs" dxfId="12" priority="14" stopIfTrue="1" operator="between">
      <formula>4990000</formula>
      <formula>4999999</formula>
    </cfRule>
  </conditionalFormatting>
  <conditionalFormatting sqref="K248:K249 Q248:Q249 Y248:Y249 AG248:AG249 AO248:AO249 AW248:AW249 BE248:BE249 BM248:BM249 BU248:BU249 CC248:CC249 CK248:CK249 CS248:CS249 DA248:DA249 DI248:DI249 DQ248:DQ249 DY248:DY249 EG248:EG249 EO248:EO249 EW248:EW249 FE248:FE249 FM248:FM249 FU248:FU249 GC248:GC249 GK248:GK249 GS248:GS249 HA248:HA249 HI248:HI249 HQ248:HQ249 HY248:HY249 IG248:IG249 IO248:IO249">
    <cfRule type="cellIs" dxfId="11" priority="13" stopIfTrue="1" operator="between">
      <formula>4990000</formula>
      <formula>4999999</formula>
    </cfRule>
  </conditionalFormatting>
  <conditionalFormatting sqref="C248:C249">
    <cfRule type="cellIs" dxfId="10" priority="12" stopIfTrue="1" operator="between">
      <formula>4990000</formula>
      <formula>4999999</formula>
    </cfRule>
  </conditionalFormatting>
  <conditionalFormatting sqref="A272">
    <cfRule type="cellIs" dxfId="9" priority="11" stopIfTrue="1" operator="between">
      <formula>4990000</formula>
      <formula>4999999</formula>
    </cfRule>
  </conditionalFormatting>
  <conditionalFormatting sqref="C71:C73">
    <cfRule type="cellIs" dxfId="8" priority="10" stopIfTrue="1" operator="between">
      <formula>4990000</formula>
      <formula>4999999</formula>
    </cfRule>
  </conditionalFormatting>
  <conditionalFormatting sqref="C133:C139">
    <cfRule type="cellIs" dxfId="7" priority="9" stopIfTrue="1" operator="between">
      <formula>4990000</formula>
      <formula>4999999</formula>
    </cfRule>
  </conditionalFormatting>
  <conditionalFormatting sqref="C167:C168">
    <cfRule type="cellIs" dxfId="6" priority="8" stopIfTrue="1" operator="between">
      <formula>4990000</formula>
      <formula>4999999</formula>
    </cfRule>
  </conditionalFormatting>
  <conditionalFormatting sqref="C169">
    <cfRule type="cellIs" dxfId="5" priority="7" stopIfTrue="1" operator="between">
      <formula>4990000</formula>
      <formula>4999999</formula>
    </cfRule>
  </conditionalFormatting>
  <conditionalFormatting sqref="C30:C35">
    <cfRule type="cellIs" dxfId="4" priority="5" stopIfTrue="1" operator="between">
      <formula>4990000</formula>
      <formula>4999999</formula>
    </cfRule>
  </conditionalFormatting>
  <conditionalFormatting sqref="C142:C143">
    <cfRule type="cellIs" dxfId="3" priority="4" stopIfTrue="1" operator="between">
      <formula>4990000</formula>
      <formula>4999999</formula>
    </cfRule>
  </conditionalFormatting>
  <conditionalFormatting sqref="C172:C173">
    <cfRule type="cellIs" dxfId="2" priority="3" stopIfTrue="1" operator="between">
      <formula>4990000</formula>
      <formula>4999999</formula>
    </cfRule>
  </conditionalFormatting>
  <conditionalFormatting sqref="C76:C79">
    <cfRule type="cellIs" dxfId="1" priority="2" stopIfTrue="1" operator="between">
      <formula>4990000</formula>
      <formula>4999999</formula>
    </cfRule>
  </conditionalFormatting>
  <conditionalFormatting sqref="C144:C145">
    <cfRule type="cellIs" dxfId="0" priority="1" stopIfTrue="1" operator="between">
      <formula>4990000</formula>
      <formula>4999999</formula>
    </cfRule>
  </conditionalFormatting>
  <pageMargins left="0.7" right="0.7" top="0.75" bottom="0.75" header="0.3" footer="0.3"/>
  <pageSetup scale="45" orientation="landscape" cellComments="asDisplayed" r:id="rId1"/>
  <headerFooter>
    <oddHeader>&amp;CSchedule 21
Revenue Credits
&amp;RTO2022 Annual Update 
Attachment 1</oddHeader>
    <oddFooter>&amp;R21-RevenueCredits</oddFooter>
  </headerFooter>
  <rowBreaks count="3" manualBreakCount="3">
    <brk id="81" max="16383" man="1"/>
    <brk id="148" max="16383" man="1"/>
    <brk id="219" max="16383" man="1"/>
  </rowBreaks>
  <ignoredErrors>
    <ignoredError sqref="G136" formula="1"/>
    <ignoredError sqref="C156"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51"/>
  <sheetViews>
    <sheetView topLeftCell="A2" zoomScaleNormal="100" zoomScalePageLayoutView="80" workbookViewId="0">
      <selection activeCell="D47" sqref="D47"/>
    </sheetView>
  </sheetViews>
  <sheetFormatPr defaultColWidth="9.453125" defaultRowHeight="12.5"/>
  <cols>
    <col min="1" max="1" width="4.54296875" style="464" customWidth="1"/>
    <col min="2" max="2" width="14" style="463" customWidth="1"/>
    <col min="3" max="3" width="26.54296875" style="463" customWidth="1"/>
    <col min="4" max="4" width="28.54296875" style="463" customWidth="1"/>
    <col min="5" max="5" width="16.453125" style="463" bestFit="1" customWidth="1"/>
    <col min="6" max="6" width="20.54296875" style="1099" customWidth="1"/>
    <col min="7" max="7" width="9.54296875" style="463" customWidth="1"/>
    <col min="8" max="16384" width="9.453125" style="463"/>
  </cols>
  <sheetData>
    <row r="1" spans="1:8" ht="13">
      <c r="A1" s="83" t="s">
        <v>1066</v>
      </c>
      <c r="C1" s="83"/>
      <c r="D1" s="83"/>
      <c r="E1" s="83"/>
    </row>
    <row r="2" spans="1:8" ht="13">
      <c r="A2" s="83"/>
      <c r="C2" s="68" t="s">
        <v>2531</v>
      </c>
      <c r="D2" s="1480" t="s">
        <v>2805</v>
      </c>
      <c r="E2" s="858" t="s">
        <v>1713</v>
      </c>
      <c r="F2" s="1481">
        <v>2020</v>
      </c>
    </row>
    <row r="3" spans="1:8" ht="13">
      <c r="B3" s="83" t="s">
        <v>1098</v>
      </c>
      <c r="C3" s="83"/>
      <c r="D3" s="1225"/>
      <c r="E3" s="83"/>
    </row>
    <row r="4" spans="1:8" ht="13">
      <c r="A4" s="51" t="s">
        <v>329</v>
      </c>
      <c r="C4" s="1232"/>
      <c r="D4" s="1225"/>
      <c r="E4" s="3" t="s">
        <v>957</v>
      </c>
      <c r="F4" s="1109" t="s">
        <v>168</v>
      </c>
    </row>
    <row r="5" spans="1:8" ht="13">
      <c r="A5" s="230">
        <v>1</v>
      </c>
      <c r="B5" s="533" t="s">
        <v>1067</v>
      </c>
      <c r="C5" s="533"/>
      <c r="E5" s="710">
        <v>36762569</v>
      </c>
      <c r="F5" s="1033" t="s">
        <v>212</v>
      </c>
    </row>
    <row r="6" spans="1:8" ht="13">
      <c r="A6" s="230">
        <v>2</v>
      </c>
      <c r="B6" s="463" t="s">
        <v>1068</v>
      </c>
      <c r="E6" s="357">
        <f>E7-E5</f>
        <v>144313294</v>
      </c>
      <c r="F6" s="1033" t="s">
        <v>2272</v>
      </c>
      <c r="H6" s="1033"/>
    </row>
    <row r="7" spans="1:8" ht="13">
      <c r="A7" s="230">
        <v>3</v>
      </c>
      <c r="B7" s="463" t="s">
        <v>2342</v>
      </c>
      <c r="C7" s="533"/>
      <c r="D7" s="533"/>
      <c r="E7" s="510">
        <v>181075863</v>
      </c>
      <c r="F7" s="467" t="s">
        <v>1216</v>
      </c>
      <c r="H7" s="1033"/>
    </row>
    <row r="8" spans="1:8" ht="14">
      <c r="A8" s="1110"/>
      <c r="B8" s="1100"/>
      <c r="C8" s="1101"/>
      <c r="D8" s="1101"/>
      <c r="E8" s="1097"/>
      <c r="F8" s="1102"/>
      <c r="G8" s="1103"/>
    </row>
    <row r="9" spans="1:8" ht="14">
      <c r="A9" s="1110"/>
      <c r="B9" s="83" t="s">
        <v>1099</v>
      </c>
      <c r="C9" s="1101"/>
      <c r="D9" s="1101"/>
      <c r="E9" s="1097"/>
      <c r="F9" s="1104"/>
      <c r="G9" s="1103"/>
    </row>
    <row r="10" spans="1:8" ht="14">
      <c r="A10" s="549"/>
      <c r="B10" s="533"/>
      <c r="C10" s="533"/>
      <c r="D10" s="533"/>
      <c r="E10" s="1098"/>
      <c r="F10" s="1104"/>
      <c r="G10" s="1103"/>
    </row>
    <row r="11" spans="1:8" ht="14">
      <c r="A11" s="549">
        <v>4</v>
      </c>
      <c r="B11" s="533" t="s">
        <v>1067</v>
      </c>
      <c r="C11" s="533"/>
      <c r="D11" s="533"/>
      <c r="E11" s="949">
        <v>19178430</v>
      </c>
      <c r="F11" s="1033" t="s">
        <v>281</v>
      </c>
      <c r="G11" s="1103"/>
    </row>
    <row r="12" spans="1:8" ht="14">
      <c r="A12" s="549">
        <v>5</v>
      </c>
      <c r="B12" s="533" t="s">
        <v>1068</v>
      </c>
      <c r="C12" s="533"/>
      <c r="D12" s="533"/>
      <c r="E12" s="357">
        <f>E13-E11</f>
        <v>171906779</v>
      </c>
      <c r="F12" s="1033" t="s">
        <v>2273</v>
      </c>
      <c r="G12" s="1103"/>
    </row>
    <row r="13" spans="1:8" ht="14">
      <c r="A13" s="549">
        <v>6</v>
      </c>
      <c r="B13" s="463" t="s">
        <v>2342</v>
      </c>
      <c r="C13" s="533"/>
      <c r="D13" s="533"/>
      <c r="E13" s="510">
        <v>191085209</v>
      </c>
      <c r="F13" s="467" t="s">
        <v>1069</v>
      </c>
      <c r="G13" s="1103"/>
    </row>
    <row r="14" spans="1:8" ht="13">
      <c r="A14" s="230"/>
      <c r="B14" s="533"/>
      <c r="C14" s="533"/>
      <c r="D14" s="533"/>
      <c r="E14" s="1098"/>
      <c r="F14" s="1033"/>
    </row>
    <row r="15" spans="1:8" ht="13">
      <c r="A15" s="230">
        <v>7</v>
      </c>
      <c r="B15" s="533" t="s">
        <v>1070</v>
      </c>
      <c r="C15" s="533"/>
      <c r="D15" s="533"/>
      <c r="E15" s="1098">
        <f>(E5+E11)/2</f>
        <v>27970499.5</v>
      </c>
      <c r="F15" s="467" t="str">
        <f>"(Line "&amp;A5&amp;" + Line "&amp;A11&amp;") / 2"</f>
        <v>(Line 1 + Line 4) / 2</v>
      </c>
      <c r="G15" s="660"/>
    </row>
    <row r="16" spans="1:8" ht="13">
      <c r="A16" s="230"/>
      <c r="C16" s="1105"/>
      <c r="D16" s="373"/>
      <c r="E16" s="1098"/>
      <c r="F16" s="1033"/>
    </row>
    <row r="17" spans="1:6" ht="13">
      <c r="A17" s="230">
        <v>8</v>
      </c>
      <c r="B17" s="463" t="s">
        <v>1071</v>
      </c>
      <c r="C17" s="1105"/>
      <c r="D17" s="1105"/>
      <c r="E17" s="1108">
        <v>2371003</v>
      </c>
      <c r="F17" s="1033" t="s">
        <v>951</v>
      </c>
    </row>
    <row r="18" spans="1:6" ht="13">
      <c r="A18" s="230">
        <v>9</v>
      </c>
      <c r="B18" s="463" t="s">
        <v>1072</v>
      </c>
      <c r="C18" s="1105"/>
      <c r="D18" s="1105"/>
      <c r="E18" s="357">
        <f>E19-E17</f>
        <v>821450941</v>
      </c>
      <c r="F18" s="1033" t="s">
        <v>2274</v>
      </c>
    </row>
    <row r="19" spans="1:6" ht="13">
      <c r="A19" s="230">
        <v>10</v>
      </c>
      <c r="B19" s="463" t="s">
        <v>2341</v>
      </c>
      <c r="C19" s="1105"/>
      <c r="D19" s="1105"/>
      <c r="E19" s="510">
        <v>823821944</v>
      </c>
      <c r="F19" s="467" t="s">
        <v>1073</v>
      </c>
    </row>
    <row r="20" spans="1:6">
      <c r="C20" s="1105"/>
      <c r="D20" s="1105"/>
    </row>
    <row r="21" spans="1:6">
      <c r="C21" s="1105"/>
      <c r="D21" s="1105"/>
    </row>
    <row r="22" spans="1:6" ht="13">
      <c r="A22" s="51" t="s">
        <v>230</v>
      </c>
    </row>
    <row r="23" spans="1:6">
      <c r="A23" s="464">
        <v>1</v>
      </c>
      <c r="B23" s="463" t="s">
        <v>1097</v>
      </c>
    </row>
    <row r="24" spans="1:6">
      <c r="A24" s="464">
        <v>2</v>
      </c>
      <c r="B24" s="463" t="s">
        <v>1100</v>
      </c>
    </row>
    <row r="25" spans="1:6">
      <c r="A25" s="464">
        <v>3</v>
      </c>
      <c r="B25" s="463" t="s">
        <v>1659</v>
      </c>
    </row>
    <row r="26" spans="1:6">
      <c r="A26" s="464">
        <v>4</v>
      </c>
      <c r="B26" s="463" t="s">
        <v>1978</v>
      </c>
      <c r="E26" s="1106"/>
    </row>
    <row r="27" spans="1:6">
      <c r="B27" s="463" t="s">
        <v>1977</v>
      </c>
      <c r="E27" s="1106"/>
    </row>
    <row r="28" spans="1:6">
      <c r="E28" s="1106"/>
    </row>
    <row r="29" spans="1:6">
      <c r="A29" s="463"/>
      <c r="E29" s="1106"/>
    </row>
    <row r="30" spans="1:6">
      <c r="A30" s="463"/>
      <c r="E30" s="1106"/>
    </row>
    <row r="31" spans="1:6">
      <c r="A31" s="463"/>
      <c r="E31" s="1106"/>
    </row>
    <row r="32" spans="1:6">
      <c r="A32" s="463"/>
      <c r="E32" s="1106"/>
    </row>
    <row r="36" spans="1:5">
      <c r="A36" s="463"/>
      <c r="C36" s="1107"/>
      <c r="D36" s="1107"/>
      <c r="E36" s="1107"/>
    </row>
    <row r="37" spans="1:5">
      <c r="A37" s="463"/>
      <c r="C37" s="1107"/>
      <c r="D37" s="1107"/>
      <c r="E37" s="1107"/>
    </row>
    <row r="38" spans="1:5">
      <c r="A38" s="463"/>
      <c r="C38" s="1107"/>
      <c r="D38" s="1107"/>
      <c r="E38" s="1107"/>
    </row>
    <row r="39" spans="1:5">
      <c r="A39" s="463"/>
      <c r="C39" s="1107"/>
      <c r="D39" s="1107"/>
      <c r="E39" s="1107"/>
    </row>
    <row r="40" spans="1:5">
      <c r="A40" s="463"/>
      <c r="C40" s="1107"/>
      <c r="D40" s="1107"/>
      <c r="E40" s="1107"/>
    </row>
    <row r="41" spans="1:5">
      <c r="A41" s="463"/>
      <c r="C41" s="1107"/>
      <c r="D41" s="1107"/>
      <c r="E41" s="1107"/>
    </row>
    <row r="42" spans="1:5">
      <c r="A42" s="463"/>
      <c r="C42" s="1107"/>
      <c r="D42" s="1107"/>
      <c r="E42" s="1107"/>
    </row>
    <row r="43" spans="1:5">
      <c r="A43" s="463"/>
      <c r="C43" s="1107"/>
      <c r="D43" s="1107"/>
      <c r="E43" s="1107"/>
    </row>
    <row r="44" spans="1:5">
      <c r="A44" s="463"/>
      <c r="C44" s="1107"/>
      <c r="D44" s="1107"/>
      <c r="E44" s="1107"/>
    </row>
    <row r="45" spans="1:5">
      <c r="A45" s="463"/>
      <c r="C45" s="1107"/>
      <c r="D45" s="1107"/>
      <c r="E45" s="1107"/>
    </row>
    <row r="46" spans="1:5">
      <c r="A46" s="463"/>
      <c r="C46" s="1107"/>
      <c r="D46" s="1107"/>
      <c r="E46" s="1107"/>
    </row>
    <row r="47" spans="1:5">
      <c r="A47" s="463"/>
      <c r="C47" s="1107"/>
      <c r="D47" s="1107"/>
      <c r="E47" s="1107"/>
    </row>
    <row r="48" spans="1:5">
      <c r="A48" s="463"/>
      <c r="C48" s="1107"/>
      <c r="D48" s="1107"/>
      <c r="E48" s="1107"/>
    </row>
    <row r="51" spans="1:5">
      <c r="A51" s="463"/>
      <c r="E51" s="1107"/>
    </row>
  </sheetData>
  <pageMargins left="0.7" right="0.7" top="0.75" bottom="0.75" header="0.3" footer="0.3"/>
  <pageSetup scale="75" orientation="portrait" cellComments="asDisplayed" r:id="rId1"/>
  <headerFooter>
    <oddHeader>&amp;CSchedule 22
Network Upgrade Credits and Interest Expense
&amp;RTO2022 Annual Update 
Attachment 1</oddHeader>
    <oddFooter>&amp;R22-NUCs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39"/>
  <sheetViews>
    <sheetView zoomScaleNormal="100" workbookViewId="0"/>
  </sheetViews>
  <sheetFormatPr defaultRowHeight="12.5"/>
  <cols>
    <col min="1" max="1" width="4.54296875" customWidth="1"/>
    <col min="2" max="2" width="30.54296875" customWidth="1"/>
    <col min="3" max="5" width="15.54296875" customWidth="1"/>
    <col min="6" max="6" width="3.54296875" customWidth="1"/>
    <col min="7" max="8" width="10.54296875" customWidth="1"/>
  </cols>
  <sheetData>
    <row r="1" spans="1:11" ht="13">
      <c r="A1" s="668" t="s">
        <v>1698</v>
      </c>
      <c r="B1" s="669"/>
      <c r="C1" s="669"/>
      <c r="D1" s="669"/>
      <c r="E1" s="669"/>
      <c r="F1" s="669"/>
      <c r="G1" s="669"/>
      <c r="H1" s="14"/>
      <c r="I1" s="14"/>
      <c r="J1" s="14"/>
      <c r="K1" s="14"/>
    </row>
    <row r="2" spans="1:11">
      <c r="A2" s="14"/>
      <c r="B2" s="14"/>
      <c r="C2" s="14"/>
      <c r="D2" s="14"/>
      <c r="E2" s="14"/>
      <c r="F2" s="14"/>
      <c r="G2" s="14"/>
      <c r="H2" s="14"/>
      <c r="I2" s="14"/>
      <c r="J2" s="14"/>
      <c r="K2" s="14"/>
    </row>
    <row r="3" spans="1:11" ht="13">
      <c r="A3" s="670" t="s">
        <v>329</v>
      </c>
      <c r="B3" s="669"/>
      <c r="C3" s="669"/>
      <c r="D3" s="669"/>
      <c r="E3" s="669"/>
      <c r="F3" s="669"/>
      <c r="G3" s="669"/>
      <c r="H3" s="14"/>
      <c r="I3" s="14"/>
      <c r="J3" s="14"/>
      <c r="K3" s="14"/>
    </row>
    <row r="4" spans="1:11" ht="13">
      <c r="A4" s="671">
        <v>1</v>
      </c>
      <c r="B4" s="565" t="s">
        <v>1687</v>
      </c>
      <c r="C4" s="669"/>
      <c r="D4" s="669"/>
      <c r="E4" s="669"/>
      <c r="F4" s="669"/>
      <c r="G4" s="669"/>
      <c r="H4" s="14"/>
      <c r="I4" s="14"/>
      <c r="J4" s="14"/>
      <c r="K4" s="14"/>
    </row>
    <row r="5" spans="1:11" ht="13">
      <c r="A5" s="671">
        <v>2</v>
      </c>
      <c r="B5" s="565" t="s">
        <v>1688</v>
      </c>
      <c r="C5" s="669"/>
      <c r="D5" s="669"/>
      <c r="E5" s="669"/>
      <c r="F5" s="669"/>
      <c r="G5" s="669"/>
      <c r="H5" s="14"/>
      <c r="I5" s="14"/>
      <c r="J5" s="14"/>
      <c r="K5" s="14"/>
    </row>
    <row r="6" spans="1:11" ht="13">
      <c r="A6" s="671">
        <v>3</v>
      </c>
      <c r="B6" s="565" t="s">
        <v>1689</v>
      </c>
      <c r="C6" s="669"/>
      <c r="D6" s="669"/>
      <c r="E6" s="669"/>
      <c r="F6" s="669"/>
      <c r="G6" s="669"/>
      <c r="H6" s="14"/>
      <c r="I6" s="14"/>
      <c r="J6" s="14"/>
      <c r="K6" s="14"/>
    </row>
    <row r="7" spans="1:11" ht="13">
      <c r="A7" s="671">
        <v>4</v>
      </c>
      <c r="B7" s="669"/>
      <c r="C7" s="669"/>
      <c r="D7" s="669"/>
      <c r="E7" s="669"/>
      <c r="F7" s="669"/>
      <c r="G7" s="669"/>
      <c r="H7" s="14"/>
      <c r="I7" s="14"/>
      <c r="J7" s="14"/>
      <c r="K7" s="14"/>
    </row>
    <row r="8" spans="1:11" ht="13">
      <c r="A8" s="671">
        <v>5</v>
      </c>
      <c r="B8" s="565" t="s">
        <v>408</v>
      </c>
      <c r="C8" s="669"/>
      <c r="D8" s="669"/>
      <c r="E8" s="669"/>
      <c r="F8" s="669"/>
      <c r="G8" s="669"/>
      <c r="H8" s="14"/>
      <c r="I8" s="14"/>
      <c r="J8" s="14"/>
      <c r="K8" s="14"/>
    </row>
    <row r="9" spans="1:11" ht="13">
      <c r="A9" s="671">
        <v>6</v>
      </c>
      <c r="B9" s="565" t="s">
        <v>407</v>
      </c>
      <c r="C9" s="669"/>
      <c r="D9" s="669"/>
      <c r="E9" s="669"/>
      <c r="F9" s="669"/>
      <c r="G9" s="669"/>
      <c r="H9" s="14"/>
      <c r="I9" s="14"/>
      <c r="J9" s="14"/>
      <c r="K9" s="14"/>
    </row>
    <row r="10" spans="1:11" ht="13">
      <c r="A10" s="671">
        <v>7</v>
      </c>
      <c r="B10" s="669"/>
      <c r="C10" s="669"/>
      <c r="D10" s="669"/>
      <c r="E10" s="669"/>
      <c r="F10" s="669"/>
      <c r="G10" s="669"/>
      <c r="H10" s="14"/>
      <c r="I10" s="14"/>
      <c r="J10" s="14"/>
      <c r="K10" s="14"/>
    </row>
    <row r="11" spans="1:11" ht="13">
      <c r="A11" s="671">
        <v>8</v>
      </c>
      <c r="B11" s="565" t="s">
        <v>1690</v>
      </c>
      <c r="C11" s="669"/>
      <c r="D11" s="669"/>
      <c r="E11" s="669"/>
      <c r="F11" s="669"/>
      <c r="G11" s="669"/>
      <c r="H11" s="14"/>
      <c r="I11" s="14"/>
      <c r="J11" s="14"/>
      <c r="K11" s="14"/>
    </row>
    <row r="12" spans="1:11" ht="13">
      <c r="A12" s="671">
        <v>9</v>
      </c>
      <c r="B12" s="565" t="s">
        <v>1691</v>
      </c>
      <c r="C12" s="669"/>
      <c r="D12" s="669"/>
      <c r="E12" s="669"/>
      <c r="F12" s="669"/>
      <c r="G12" s="669"/>
      <c r="H12" s="14"/>
      <c r="I12" s="14"/>
      <c r="J12" s="14"/>
      <c r="K12" s="14"/>
    </row>
    <row r="13" spans="1:11" ht="13">
      <c r="A13" s="671">
        <v>10</v>
      </c>
      <c r="B13" s="565" t="s">
        <v>1692</v>
      </c>
      <c r="C13" s="669"/>
      <c r="D13" s="669"/>
      <c r="E13" s="669"/>
      <c r="F13" s="669"/>
      <c r="G13" s="669"/>
      <c r="H13" s="14"/>
      <c r="I13" s="14"/>
      <c r="J13" s="14"/>
      <c r="K13" s="14"/>
    </row>
    <row r="14" spans="1:11" ht="13">
      <c r="A14" s="671">
        <v>11</v>
      </c>
      <c r="B14" s="669"/>
      <c r="C14" s="669"/>
      <c r="D14" s="669"/>
      <c r="E14" s="669"/>
      <c r="F14" s="669"/>
      <c r="G14" s="669"/>
      <c r="H14" s="14"/>
      <c r="I14" s="14"/>
      <c r="J14" s="14"/>
      <c r="K14" s="14"/>
    </row>
    <row r="15" spans="1:11" ht="13">
      <c r="A15" s="671">
        <v>12</v>
      </c>
      <c r="B15" s="565"/>
      <c r="C15" s="669"/>
      <c r="D15" s="669"/>
      <c r="E15" s="671" t="s">
        <v>63</v>
      </c>
      <c r="F15" s="669"/>
      <c r="G15" s="669"/>
      <c r="H15" s="14"/>
      <c r="I15" s="14"/>
      <c r="J15" s="14"/>
      <c r="K15" s="14"/>
    </row>
    <row r="16" spans="1:11" ht="13">
      <c r="A16" s="671">
        <v>13</v>
      </c>
      <c r="B16" s="669"/>
      <c r="C16" s="669"/>
      <c r="D16" s="669"/>
      <c r="E16" s="897" t="s">
        <v>175</v>
      </c>
      <c r="F16" s="669"/>
      <c r="G16" s="898" t="s">
        <v>1857</v>
      </c>
      <c r="H16" s="14"/>
      <c r="I16" s="14"/>
      <c r="J16" s="14"/>
      <c r="K16" s="14"/>
    </row>
    <row r="17" spans="1:11" ht="13">
      <c r="A17" s="671">
        <v>14</v>
      </c>
      <c r="B17" s="565" t="s">
        <v>409</v>
      </c>
      <c r="C17" s="669"/>
      <c r="D17" s="669"/>
      <c r="E17" s="560">
        <f>D29</f>
        <v>0</v>
      </c>
      <c r="F17" s="669"/>
      <c r="G17" s="565" t="s">
        <v>498</v>
      </c>
      <c r="H17" s="14"/>
      <c r="I17" s="14"/>
      <c r="J17" s="14"/>
      <c r="K17" s="14"/>
    </row>
    <row r="18" spans="1:11" ht="13">
      <c r="A18" s="671">
        <v>15</v>
      </c>
      <c r="B18" s="565" t="s">
        <v>1612</v>
      </c>
      <c r="C18" s="669"/>
      <c r="D18" s="669"/>
      <c r="E18" s="560">
        <f>(C29+D29)/2</f>
        <v>0</v>
      </c>
      <c r="F18" s="669"/>
      <c r="G18" s="565" t="s">
        <v>1858</v>
      </c>
      <c r="H18" s="14"/>
      <c r="I18" s="14"/>
      <c r="J18" s="14"/>
      <c r="K18" s="14"/>
    </row>
    <row r="19" spans="1:11" ht="13">
      <c r="A19" s="671">
        <v>16</v>
      </c>
      <c r="B19" s="565" t="s">
        <v>1693</v>
      </c>
      <c r="C19" s="669"/>
      <c r="D19" s="669"/>
      <c r="E19" s="560">
        <f>E29</f>
        <v>0</v>
      </c>
      <c r="F19" s="669"/>
      <c r="G19" s="565" t="s">
        <v>1859</v>
      </c>
      <c r="H19" s="14"/>
      <c r="I19" s="14"/>
      <c r="J19" s="14"/>
      <c r="K19" s="14"/>
    </row>
    <row r="20" spans="1:11" ht="13">
      <c r="A20" s="671"/>
      <c r="B20" s="565"/>
      <c r="C20" s="669"/>
      <c r="D20" s="669"/>
      <c r="E20" s="560"/>
      <c r="F20" s="669"/>
      <c r="G20" s="669"/>
      <c r="H20" s="14"/>
      <c r="I20" s="14"/>
      <c r="J20" s="14"/>
      <c r="K20" s="14"/>
    </row>
    <row r="21" spans="1:11" ht="13">
      <c r="A21" s="671"/>
      <c r="B21" s="669"/>
      <c r="C21" s="677" t="s">
        <v>358</v>
      </c>
      <c r="D21" s="677" t="s">
        <v>342</v>
      </c>
      <c r="E21" s="677" t="s">
        <v>343</v>
      </c>
      <c r="F21" s="669"/>
      <c r="G21" s="669"/>
      <c r="H21" s="14"/>
      <c r="I21" s="14"/>
      <c r="J21" s="14"/>
      <c r="K21" s="14"/>
    </row>
    <row r="22" spans="1:11" ht="13">
      <c r="A22" s="671"/>
      <c r="B22" s="669"/>
      <c r="C22" s="671" t="s">
        <v>63</v>
      </c>
      <c r="D22" s="671" t="s">
        <v>63</v>
      </c>
      <c r="E22" s="671" t="s">
        <v>63</v>
      </c>
      <c r="F22" s="669"/>
      <c r="G22" s="669"/>
      <c r="H22" s="14"/>
      <c r="I22" s="14"/>
      <c r="J22" s="14"/>
      <c r="K22" s="14"/>
    </row>
    <row r="23" spans="1:11" ht="14.5">
      <c r="A23" s="671"/>
      <c r="B23" s="671" t="s">
        <v>410</v>
      </c>
      <c r="C23" s="671" t="s">
        <v>380</v>
      </c>
      <c r="D23" s="671" t="s">
        <v>299</v>
      </c>
      <c r="E23" s="899" t="s">
        <v>1694</v>
      </c>
      <c r="F23" s="669"/>
      <c r="G23" s="900" t="s">
        <v>1860</v>
      </c>
      <c r="H23" s="853"/>
      <c r="I23" s="14"/>
      <c r="J23" s="14"/>
      <c r="K23" s="14"/>
    </row>
    <row r="24" spans="1:11" ht="13">
      <c r="A24" s="671"/>
      <c r="B24" s="671" t="s">
        <v>411</v>
      </c>
      <c r="C24" s="671" t="s">
        <v>413</v>
      </c>
      <c r="D24" s="671" t="s">
        <v>413</v>
      </c>
      <c r="E24" s="671" t="s">
        <v>414</v>
      </c>
      <c r="F24" s="669"/>
      <c r="G24" s="900" t="s">
        <v>1861</v>
      </c>
      <c r="H24" s="853"/>
      <c r="I24" s="14"/>
      <c r="J24" s="14"/>
      <c r="K24" s="14"/>
    </row>
    <row r="25" spans="1:11" ht="13">
      <c r="A25" s="671"/>
      <c r="B25" s="897" t="s">
        <v>412</v>
      </c>
      <c r="C25" s="897" t="s">
        <v>412</v>
      </c>
      <c r="D25" s="897" t="s">
        <v>412</v>
      </c>
      <c r="E25" s="897" t="s">
        <v>1695</v>
      </c>
      <c r="F25" s="669"/>
      <c r="G25" s="901" t="s">
        <v>1862</v>
      </c>
      <c r="H25" s="853"/>
      <c r="I25" s="14"/>
      <c r="J25" s="14"/>
      <c r="K25" s="14"/>
    </row>
    <row r="26" spans="1:11" ht="13">
      <c r="A26" s="556">
        <v>17</v>
      </c>
      <c r="B26" s="561"/>
      <c r="C26" s="562"/>
      <c r="D26" s="562"/>
      <c r="E26" s="562"/>
      <c r="F26" s="554"/>
      <c r="G26" s="576"/>
      <c r="H26" s="96"/>
    </row>
    <row r="27" spans="1:11" ht="13">
      <c r="A27" s="556">
        <v>18</v>
      </c>
      <c r="B27" s="561"/>
      <c r="C27" s="562"/>
      <c r="D27" s="562"/>
      <c r="E27" s="562"/>
      <c r="F27" s="554"/>
      <c r="G27" s="576"/>
      <c r="H27" s="96"/>
    </row>
    <row r="28" spans="1:11" ht="13">
      <c r="A28" s="556">
        <v>19</v>
      </c>
      <c r="B28" s="561"/>
      <c r="C28" s="563"/>
      <c r="D28" s="563"/>
      <c r="E28" s="563"/>
      <c r="F28" s="554"/>
      <c r="G28" s="576"/>
      <c r="H28" s="96"/>
    </row>
    <row r="29" spans="1:11" ht="13">
      <c r="A29" s="556">
        <v>20</v>
      </c>
      <c r="B29" s="557" t="s">
        <v>197</v>
      </c>
      <c r="C29" s="564">
        <f>SUM(C26:C28)</f>
        <v>0</v>
      </c>
      <c r="D29" s="564">
        <f>SUM(D26:D28)</f>
        <v>0</v>
      </c>
      <c r="E29" s="564">
        <f>SUM(E26:E28)</f>
        <v>0</v>
      </c>
      <c r="F29" s="554"/>
      <c r="G29" s="557" t="s">
        <v>325</v>
      </c>
    </row>
    <row r="30" spans="1:11" ht="13">
      <c r="A30" s="556"/>
      <c r="B30" s="554"/>
      <c r="C30" s="554"/>
      <c r="D30" s="554"/>
      <c r="E30" s="554"/>
      <c r="F30" s="554"/>
      <c r="G30" s="554"/>
    </row>
    <row r="31" spans="1:11" ht="13">
      <c r="A31" s="556"/>
      <c r="B31" s="553" t="s">
        <v>377</v>
      </c>
      <c r="C31" s="554"/>
      <c r="D31" s="554"/>
      <c r="E31" s="554"/>
      <c r="F31" s="554"/>
      <c r="G31" s="554"/>
    </row>
    <row r="32" spans="1:11" ht="13">
      <c r="A32" s="556"/>
      <c r="B32" s="565" t="s">
        <v>1696</v>
      </c>
      <c r="C32" s="669"/>
      <c r="D32" s="669"/>
      <c r="E32" s="669"/>
      <c r="F32" s="669"/>
      <c r="G32" s="669"/>
      <c r="H32" s="14"/>
    </row>
    <row r="33" spans="1:8" ht="13">
      <c r="A33" s="556"/>
      <c r="B33" s="565" t="s">
        <v>415</v>
      </c>
      <c r="C33" s="14"/>
      <c r="D33" s="14"/>
      <c r="E33" s="14"/>
      <c r="F33" s="14"/>
      <c r="G33" s="14"/>
      <c r="H33" s="14"/>
    </row>
    <row r="34" spans="1:8" ht="13">
      <c r="A34" s="556"/>
      <c r="B34" s="902" t="s">
        <v>499</v>
      </c>
      <c r="C34" s="14"/>
      <c r="D34" s="14"/>
      <c r="E34" s="14"/>
      <c r="F34" s="14"/>
      <c r="G34" s="14"/>
      <c r="H34" s="14"/>
    </row>
    <row r="35" spans="1:8" ht="13">
      <c r="A35" s="556"/>
      <c r="B35" s="902" t="s">
        <v>500</v>
      </c>
      <c r="C35" s="14"/>
      <c r="D35" s="14"/>
      <c r="E35" s="853"/>
      <c r="F35" s="14"/>
      <c r="G35" s="14"/>
      <c r="H35" s="14"/>
    </row>
    <row r="36" spans="1:8" ht="13">
      <c r="A36" s="556"/>
      <c r="B36" s="565" t="s">
        <v>416</v>
      </c>
      <c r="C36" s="14"/>
      <c r="D36" s="14"/>
      <c r="E36" s="14"/>
      <c r="F36" s="14"/>
      <c r="G36" s="14"/>
      <c r="H36" s="14"/>
    </row>
    <row r="37" spans="1:8" ht="13">
      <c r="A37" s="556"/>
    </row>
    <row r="38" spans="1:8" ht="13">
      <c r="A38" s="556"/>
      <c r="B38" s="554"/>
    </row>
    <row r="39" spans="1:8" ht="13">
      <c r="A39" s="556"/>
      <c r="B39" s="554"/>
    </row>
  </sheetData>
  <pageMargins left="0.7" right="0.7" top="0.75" bottom="0.75" header="0.3" footer="0.3"/>
  <pageSetup orientation="landscape" cellComments="asDisplayed" r:id="rId1"/>
  <headerFooter>
    <oddHeader>&amp;CSchedule 23
Regulatory Assets and Liabilities
&amp;RTO2022 Annual Update 
Attachment 1</oddHeader>
    <oddFooter>&amp;R23-RegAssets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3"/>
  <sheetViews>
    <sheetView zoomScaleNormal="100" workbookViewId="0"/>
  </sheetViews>
  <sheetFormatPr defaultRowHeight="12.5"/>
  <cols>
    <col min="1" max="1" width="3.54296875" customWidth="1"/>
    <col min="2" max="2" width="45.54296875" customWidth="1"/>
    <col min="3" max="3" width="13.54296875" bestFit="1" customWidth="1"/>
  </cols>
  <sheetData>
    <row r="1" spans="1:6" ht="13">
      <c r="A1" s="1" t="s">
        <v>1417</v>
      </c>
    </row>
    <row r="3" spans="1:6">
      <c r="A3" s="463" t="s">
        <v>1634</v>
      </c>
    </row>
    <row r="5" spans="1:6" ht="13">
      <c r="B5" s="3" t="s">
        <v>174</v>
      </c>
      <c r="C5" s="3" t="s">
        <v>175</v>
      </c>
    </row>
    <row r="6" spans="1:6">
      <c r="B6" t="s">
        <v>95</v>
      </c>
      <c r="C6" s="7">
        <f>'1-BaseTRR'!K144</f>
        <v>1268908454.7847347</v>
      </c>
    </row>
    <row r="7" spans="1:6">
      <c r="B7" t="s">
        <v>318</v>
      </c>
      <c r="C7" s="7">
        <f>'1-BaseTRR'!K150</f>
        <v>111053394.17650577</v>
      </c>
    </row>
    <row r="8" spans="1:6" ht="13">
      <c r="B8" t="s">
        <v>96</v>
      </c>
      <c r="C8" s="100">
        <f>'1-BaseTRR'!K151</f>
        <v>94363374.763465494</v>
      </c>
      <c r="E8" s="1"/>
    </row>
    <row r="9" spans="1:6" ht="13">
      <c r="B9" s="465" t="s">
        <v>1869</v>
      </c>
      <c r="C9" s="91">
        <f>'1-BaseTRR'!K152</f>
        <v>-61836339.415380299</v>
      </c>
      <c r="E9" s="1"/>
    </row>
    <row r="10" spans="1:6">
      <c r="B10" t="s">
        <v>1635</v>
      </c>
      <c r="C10" s="7">
        <f>SUM(C6:C9)</f>
        <v>1412488884.3093257</v>
      </c>
    </row>
    <row r="12" spans="1:6">
      <c r="A12" t="s">
        <v>544</v>
      </c>
    </row>
    <row r="14" spans="1:6">
      <c r="B14" t="s">
        <v>203</v>
      </c>
    </row>
    <row r="15" spans="1:6">
      <c r="B15" s="467" t="s">
        <v>1768</v>
      </c>
      <c r="E15" s="14"/>
      <c r="F15" s="14"/>
    </row>
    <row r="16" spans="1:6">
      <c r="B16" s="16"/>
    </row>
    <row r="17" spans="2:2">
      <c r="B17" t="s">
        <v>543</v>
      </c>
    </row>
    <row r="18" spans="2:2">
      <c r="B18" s="465" t="s">
        <v>1769</v>
      </c>
    </row>
    <row r="19" spans="2:2">
      <c r="B19" s="16"/>
    </row>
    <row r="20" spans="2:2">
      <c r="B20" s="65" t="s">
        <v>1195</v>
      </c>
    </row>
    <row r="21" spans="2:2">
      <c r="B21" s="462" t="s">
        <v>1770</v>
      </c>
    </row>
    <row r="23" spans="2:2">
      <c r="B23" s="465" t="s">
        <v>1870</v>
      </c>
    </row>
  </sheetData>
  <phoneticPr fontId="23" type="noConversion"/>
  <pageMargins left="0.75" right="0.75" top="1.25" bottom="1" header="0.5" footer="0.5"/>
  <pageSetup orientation="landscape" r:id="rId1"/>
  <headerFooter alignWithMargins="0">
    <oddHeader>&amp;COverview
&amp;RTO2022 Annual Update 
Attachment 1</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202"/>
  <sheetViews>
    <sheetView zoomScaleNormal="100" workbookViewId="0"/>
  </sheetViews>
  <sheetFormatPr defaultRowHeight="12.5"/>
  <cols>
    <col min="1" max="2" width="4.54296875" customWidth="1"/>
    <col min="3" max="3" width="28.54296875" customWidth="1"/>
    <col min="4" max="8" width="14.54296875" customWidth="1"/>
  </cols>
  <sheetData>
    <row r="1" spans="1:9" ht="14.5">
      <c r="A1" s="1" t="s">
        <v>1231</v>
      </c>
      <c r="I1" s="363"/>
    </row>
    <row r="3" spans="1:9" ht="13">
      <c r="B3" s="1" t="s">
        <v>1493</v>
      </c>
    </row>
    <row r="4" spans="1:9" ht="13">
      <c r="B4" s="1"/>
    </row>
    <row r="5" spans="1:9" ht="13">
      <c r="B5" s="1"/>
      <c r="C5" s="1" t="s">
        <v>1382</v>
      </c>
      <c r="D5" s="84" t="s">
        <v>358</v>
      </c>
      <c r="E5" s="84" t="s">
        <v>342</v>
      </c>
      <c r="F5" s="84" t="s">
        <v>343</v>
      </c>
    </row>
    <row r="6" spans="1:9" ht="14.5">
      <c r="D6" s="237" t="s">
        <v>63</v>
      </c>
      <c r="E6" s="237" t="s">
        <v>63</v>
      </c>
      <c r="F6" s="237" t="s">
        <v>198</v>
      </c>
    </row>
    <row r="7" spans="1:9" ht="14.5">
      <c r="C7" s="1"/>
      <c r="D7" s="237" t="s">
        <v>299</v>
      </c>
      <c r="E7" s="237" t="s">
        <v>229</v>
      </c>
      <c r="F7" s="237" t="s">
        <v>199</v>
      </c>
    </row>
    <row r="8" spans="1:9" ht="13">
      <c r="A8" s="3" t="s">
        <v>329</v>
      </c>
      <c r="C8" s="3" t="s">
        <v>224</v>
      </c>
      <c r="D8" s="3" t="s">
        <v>175</v>
      </c>
      <c r="E8" s="3" t="s">
        <v>175</v>
      </c>
      <c r="F8" s="3" t="s">
        <v>175</v>
      </c>
      <c r="G8" s="3" t="s">
        <v>179</v>
      </c>
    </row>
    <row r="9" spans="1:9" ht="13">
      <c r="A9" s="2">
        <v>1</v>
      </c>
      <c r="C9" s="93" t="s">
        <v>1244</v>
      </c>
      <c r="D9" s="63">
        <f>'10-CWIP'!E25</f>
        <v>160227</v>
      </c>
      <c r="E9" s="63">
        <f>'10-CWIP'!E26</f>
        <v>158247.98461538463</v>
      </c>
      <c r="F9" s="63">
        <f>'10-CWIP'!K113</f>
        <v>7624571.0523076914</v>
      </c>
      <c r="G9" s="46" t="str">
        <f>"10-CWIP, Lines "&amp;'10-CWIP'!A25&amp;", "&amp;'10-CWIP'!A26&amp;", "&amp;'10-CWIP'!A113&amp;""</f>
        <v>10-CWIP, Lines 13, 14, 80</v>
      </c>
    </row>
    <row r="10" spans="1:9" ht="13">
      <c r="A10" s="2">
        <f>A9+1</f>
        <v>2</v>
      </c>
      <c r="C10" s="93" t="s">
        <v>1245</v>
      </c>
      <c r="D10" s="63">
        <f>'10-CWIP'!F25</f>
        <v>0</v>
      </c>
      <c r="E10" s="63">
        <f>'10-CWIP'!F26</f>
        <v>0</v>
      </c>
      <c r="F10" s="63">
        <f>'10-CWIP'!K146</f>
        <v>0</v>
      </c>
      <c r="G10" s="46" t="str">
        <f>"10-CWIP, Lines "&amp;'10-CWIP'!A25&amp;", "&amp;'10-CWIP'!A26&amp;", "&amp;'10-CWIP'!A146&amp;""</f>
        <v>10-CWIP, Lines 13, 14, 106</v>
      </c>
    </row>
    <row r="11" spans="1:9" ht="13">
      <c r="A11" s="2">
        <f t="shared" ref="A11:A21" si="0">A10+1</f>
        <v>3</v>
      </c>
      <c r="C11" s="461" t="s">
        <v>1249</v>
      </c>
      <c r="D11" s="63">
        <f>'10-CWIP'!G25</f>
        <v>5772572.9199999999</v>
      </c>
      <c r="E11" s="63">
        <f>'10-CWIP'!G26</f>
        <v>5634482.1292307684</v>
      </c>
      <c r="F11" s="63">
        <f>'10-CWIP'!K179</f>
        <v>2437769.2307692319</v>
      </c>
      <c r="G11" s="46" t="str">
        <f>"10-CWIP, Lines "&amp;'10-CWIP'!A25&amp;", "&amp;'10-CWIP'!A26&amp;", "&amp;'10-CWIP'!A179&amp;""</f>
        <v>10-CWIP, Lines 13, 14, 132</v>
      </c>
    </row>
    <row r="12" spans="1:9" ht="13">
      <c r="A12" s="2">
        <f t="shared" si="0"/>
        <v>4</v>
      </c>
      <c r="C12" s="461" t="s">
        <v>1250</v>
      </c>
      <c r="D12" s="63">
        <f>'10-CWIP'!H25</f>
        <v>650835316.65999997</v>
      </c>
      <c r="E12" s="63">
        <f>'10-CWIP'!H26</f>
        <v>561949690.21384621</v>
      </c>
      <c r="F12" s="63">
        <f>'10-CWIP'!K212</f>
        <v>-650835316.65999985</v>
      </c>
      <c r="G12" s="46" t="str">
        <f>"10-CWIP, Lines "&amp;'10-CWIP'!A25&amp;", "&amp;'10-CWIP'!A26&amp;", "&amp;'10-CWIP'!A212&amp;""</f>
        <v>10-CWIP, Lines 13, 14, 158</v>
      </c>
    </row>
    <row r="13" spans="1:9" ht="13">
      <c r="A13" s="2">
        <f t="shared" si="0"/>
        <v>5</v>
      </c>
      <c r="C13" s="93" t="s">
        <v>1246</v>
      </c>
      <c r="D13" s="63">
        <f>'10-CWIP'!I25</f>
        <v>0</v>
      </c>
      <c r="E13" s="63">
        <f>'10-CWIP'!I26</f>
        <v>0</v>
      </c>
      <c r="F13" s="63">
        <f>'10-CWIP'!K245</f>
        <v>0</v>
      </c>
      <c r="G13" s="46" t="str">
        <f>"10-CWIP, Lines "&amp;'10-CWIP'!A25&amp;", "&amp;'10-CWIP'!A26&amp;", "&amp;'10-CWIP'!A245&amp;""</f>
        <v>10-CWIP, Lines 13, 14, 184</v>
      </c>
    </row>
    <row r="14" spans="1:9" ht="13">
      <c r="A14" s="2">
        <f t="shared" si="0"/>
        <v>6</v>
      </c>
      <c r="C14" s="93" t="s">
        <v>1247</v>
      </c>
      <c r="D14" s="63">
        <f>'10-CWIP'!D45</f>
        <v>0</v>
      </c>
      <c r="E14" s="63">
        <f>'10-CWIP'!D46</f>
        <v>0</v>
      </c>
      <c r="F14" s="63">
        <f>'10-CWIP'!K278</f>
        <v>0</v>
      </c>
      <c r="G14" s="46" t="str">
        <f>"10-CWIP, Lines "&amp;'10-CWIP'!A45&amp;", "&amp;'10-CWIP'!A46&amp;", "&amp;'10-CWIP'!A278&amp;""</f>
        <v>10-CWIP, Lines 27, 28, 210</v>
      </c>
    </row>
    <row r="15" spans="1:9" ht="13">
      <c r="A15" s="2">
        <f t="shared" si="0"/>
        <v>7</v>
      </c>
      <c r="C15" s="93" t="s">
        <v>1248</v>
      </c>
      <c r="D15" s="63">
        <f>'10-CWIP'!E45</f>
        <v>5327831.78</v>
      </c>
      <c r="E15" s="63">
        <f>'10-CWIP'!E46</f>
        <v>1882516.0330769231</v>
      </c>
      <c r="F15" s="63">
        <f>'10-CWIP'!K311</f>
        <v>-5327831.7800000021</v>
      </c>
      <c r="G15" s="46" t="str">
        <f>"10-CWIP, Lines "&amp;'10-CWIP'!A45&amp;", "&amp;'10-CWIP'!A46&amp;", "&amp;'10-CWIP'!A311&amp;""</f>
        <v>10-CWIP, Lines 27, 28, 236</v>
      </c>
    </row>
    <row r="16" spans="1:9" ht="13">
      <c r="A16" s="2">
        <f t="shared" si="0"/>
        <v>8</v>
      </c>
      <c r="C16" s="842" t="s">
        <v>2425</v>
      </c>
      <c r="D16" s="63">
        <f>'10-CWIP'!F45</f>
        <v>130044184.2</v>
      </c>
      <c r="E16" s="63">
        <f>'10-CWIP'!F46</f>
        <v>82731749.68923077</v>
      </c>
      <c r="F16" s="63">
        <f>'10-CWIP'!K344</f>
        <v>-127003605.75269237</v>
      </c>
      <c r="G16" s="46" t="str">
        <f>"10-CWIP, Lines "&amp;'10-CWIP'!A45&amp;", "&amp;'10-CWIP'!A46&amp;", "&amp;'10-CWIP'!A344&amp;""</f>
        <v>10-CWIP, Lines 27, 28, 262</v>
      </c>
    </row>
    <row r="17" spans="1:8" ht="13">
      <c r="A17" s="2">
        <f t="shared" si="0"/>
        <v>9</v>
      </c>
      <c r="C17" s="842" t="s">
        <v>2426</v>
      </c>
      <c r="D17" s="63">
        <f>'10-CWIP'!G45</f>
        <v>23818399.359999999</v>
      </c>
      <c r="E17" s="63">
        <f>'10-CWIP'!G46</f>
        <v>22821065.029999997</v>
      </c>
      <c r="F17" s="63">
        <f>'10-CWIP'!K377</f>
        <v>1577239.0467230794</v>
      </c>
      <c r="G17" s="46" t="str">
        <f>"10-CWIP, Lines "&amp;'10-CWIP'!A45&amp;", "&amp;'10-CWIP'!A46&amp;", "&amp;'10-CWIP'!A377&amp;""</f>
        <v>10-CWIP, Lines 27, 28, 288</v>
      </c>
    </row>
    <row r="18" spans="1:8" ht="13">
      <c r="A18" s="2">
        <f t="shared" si="0"/>
        <v>10</v>
      </c>
      <c r="C18" s="842" t="s">
        <v>2427</v>
      </c>
      <c r="D18" s="871">
        <f>'10-CWIP'!H45</f>
        <v>134608216.12</v>
      </c>
      <c r="E18" s="871">
        <f>'10-CWIP'!H46</f>
        <v>111791646.83615384</v>
      </c>
      <c r="F18" s="871">
        <f>'10-CWIP'!K410</f>
        <v>-91657226.751538485</v>
      </c>
      <c r="G18" s="46" t="str">
        <f>"10-CWIP, Lines "&amp;'10-CWIP'!A45&amp;", "&amp;'10-CWIP'!A46&amp;", "&amp;'10-CWIP'!A410&amp;""</f>
        <v>10-CWIP, Lines 27, 28, 314</v>
      </c>
    </row>
    <row r="19" spans="1:8" ht="13">
      <c r="A19" s="2">
        <f t="shared" si="0"/>
        <v>11</v>
      </c>
      <c r="C19" s="1433" t="s">
        <v>2806</v>
      </c>
      <c r="D19" s="508">
        <f>'10-CWIP'!I45</f>
        <v>23607954.079999998</v>
      </c>
      <c r="E19" s="508">
        <f>'10-CWIP'!I46</f>
        <v>5363187.307692308</v>
      </c>
      <c r="F19" s="1098">
        <f>'10-CWIP'!K443</f>
        <v>43070582.672003858</v>
      </c>
      <c r="G19" s="46" t="str">
        <f>"10-CWIP, Lines "&amp;'10-CWIP'!A45&amp;", "&amp;'10-CWIP'!A46&amp;", "&amp;'10-CWIP'!A443&amp;""</f>
        <v>10-CWIP, Lines 27, 28, 340</v>
      </c>
      <c r="H19" s="14"/>
    </row>
    <row r="20" spans="1:8" s="955" customFormat="1" ht="13">
      <c r="A20" s="549">
        <f t="shared" si="0"/>
        <v>12</v>
      </c>
      <c r="C20" s="396"/>
      <c r="D20" s="357">
        <f>'10-CWIP'!J45</f>
        <v>0</v>
      </c>
      <c r="E20" s="357" t="str">
        <f>'10-CWIP'!J46</f>
        <v>---</v>
      </c>
      <c r="F20" s="58">
        <f>'10-CWIP'!K476</f>
        <v>0</v>
      </c>
      <c r="G20" s="46" t="str">
        <f>"10-CWIP, Lines "&amp;'10-CWIP'!A45&amp;", "&amp;'10-CWIP'!A46&amp;", "&amp;'10-CWIP'!A476&amp;""</f>
        <v>10-CWIP, Lines 27, 28, 366</v>
      </c>
      <c r="H20" s="14"/>
    </row>
    <row r="21" spans="1:8" ht="13">
      <c r="A21" s="549">
        <f t="shared" si="0"/>
        <v>13</v>
      </c>
      <c r="C21" s="93" t="s">
        <v>197</v>
      </c>
      <c r="D21" s="63">
        <f>SUM(D9:D20)</f>
        <v>974174702.12</v>
      </c>
      <c r="E21" s="63">
        <f>SUM(E9:E20)</f>
        <v>792332585.2238462</v>
      </c>
      <c r="F21" s="63">
        <f>SUM(F9:F20)</f>
        <v>-820113818.9424268</v>
      </c>
      <c r="G21" s="46" t="str">
        <f>"Sum of Lines "&amp;A9&amp;" to "&amp;A20&amp;""</f>
        <v>Sum of Lines 1 to 12</v>
      </c>
      <c r="H21" s="14"/>
    </row>
    <row r="22" spans="1:8" ht="13">
      <c r="A22" s="2"/>
      <c r="C22" s="1"/>
    </row>
    <row r="23" spans="1:8" ht="14.5">
      <c r="A23" s="2"/>
      <c r="C23" s="1" t="s">
        <v>1243</v>
      </c>
      <c r="D23" s="237" t="s">
        <v>299</v>
      </c>
      <c r="E23" s="237" t="s">
        <v>229</v>
      </c>
      <c r="F23" s="13"/>
    </row>
    <row r="24" spans="1:8" ht="13">
      <c r="D24" s="3" t="s">
        <v>175</v>
      </c>
      <c r="E24" s="3" t="s">
        <v>175</v>
      </c>
      <c r="F24" s="3" t="s">
        <v>179</v>
      </c>
    </row>
    <row r="25" spans="1:8" ht="13">
      <c r="A25" s="2">
        <f>A21+1</f>
        <v>14</v>
      </c>
      <c r="C25" s="93" t="s">
        <v>1383</v>
      </c>
      <c r="D25" s="7">
        <f>D21</f>
        <v>974174702.12</v>
      </c>
      <c r="E25" s="7">
        <f>E21</f>
        <v>792332585.2238462</v>
      </c>
      <c r="F25" s="112" t="str">
        <f>"Line "&amp;A21&amp;""</f>
        <v>Line 13</v>
      </c>
      <c r="G25" s="14"/>
    </row>
    <row r="26" spans="1:8" ht="13">
      <c r="A26" s="2">
        <f>A25+1</f>
        <v>15</v>
      </c>
      <c r="C26" s="93" t="s">
        <v>1232</v>
      </c>
      <c r="D26" s="8">
        <f>'1-BaseTRR'!K93</f>
        <v>7.3079585284127238E-2</v>
      </c>
      <c r="E26" s="8">
        <f>'1-BaseTRR'!K93</f>
        <v>7.3079585284127238E-2</v>
      </c>
      <c r="F26" s="112" t="str">
        <f>"1-BaseTRR, Line "&amp;'1-BaseTRR'!A93&amp;""</f>
        <v>1-BaseTRR, Line 54</v>
      </c>
      <c r="G26" s="14"/>
    </row>
    <row r="27" spans="1:8" ht="13">
      <c r="A27" s="2">
        <f>A26+1</f>
        <v>16</v>
      </c>
      <c r="C27" s="37" t="s">
        <v>1384</v>
      </c>
      <c r="D27" s="7">
        <f>D25*D26</f>
        <v>71192283.225217789</v>
      </c>
      <c r="E27" s="7">
        <f>E25*E26</f>
        <v>57903336.735259078</v>
      </c>
      <c r="F27" s="112" t="str">
        <f>"Line "&amp;A25&amp;" * Line "&amp;A26&amp;""</f>
        <v>Line 14 * Line 15</v>
      </c>
      <c r="G27" s="14"/>
    </row>
    <row r="28" spans="1:8">
      <c r="F28" s="14"/>
    </row>
    <row r="29" spans="1:8" ht="13">
      <c r="C29" s="1" t="s">
        <v>86</v>
      </c>
      <c r="F29" s="14"/>
    </row>
    <row r="30" spans="1:8" ht="14.5">
      <c r="D30" s="237" t="s">
        <v>299</v>
      </c>
      <c r="E30" s="237" t="s">
        <v>229</v>
      </c>
      <c r="F30" s="14"/>
    </row>
    <row r="31" spans="1:8" ht="13">
      <c r="D31" s="3" t="s">
        <v>175</v>
      </c>
      <c r="E31" s="3" t="s">
        <v>175</v>
      </c>
      <c r="F31" s="122" t="s">
        <v>179</v>
      </c>
    </row>
    <row r="32" spans="1:8" ht="14.5">
      <c r="A32" s="237">
        <f>A27+1</f>
        <v>17</v>
      </c>
      <c r="C32" s="93" t="s">
        <v>1383</v>
      </c>
      <c r="D32" s="7">
        <f>D21</f>
        <v>974174702.12</v>
      </c>
      <c r="E32" s="7">
        <f>E21</f>
        <v>792332585.2238462</v>
      </c>
      <c r="F32" s="112" t="str">
        <f>"Line "&amp;A21&amp;""</f>
        <v>Line 13</v>
      </c>
      <c r="G32" s="14"/>
    </row>
    <row r="33" spans="1:7" ht="13">
      <c r="A33" s="2">
        <f t="shared" ref="A33:A39" si="1">A32+1</f>
        <v>18</v>
      </c>
      <c r="C33" s="356" t="s">
        <v>1385</v>
      </c>
      <c r="D33" s="8">
        <f>'1-BaseTRR'!K95</f>
        <v>5.2391182605339905E-2</v>
      </c>
      <c r="E33" s="8">
        <f>'1-BaseTRR'!K95</f>
        <v>5.2391182605339905E-2</v>
      </c>
      <c r="F33" s="112" t="str">
        <f>"1-BaseTRR, Line "&amp;'1-BaseTRR'!A95&amp;""</f>
        <v>1-BaseTRR, Line 55</v>
      </c>
      <c r="G33" s="14"/>
    </row>
    <row r="34" spans="1:7" ht="13">
      <c r="A34" s="2">
        <f t="shared" si="1"/>
        <v>19</v>
      </c>
      <c r="C34" s="356" t="s">
        <v>1040</v>
      </c>
      <c r="D34" s="8">
        <f>'1-BaseTRR'!K104</f>
        <v>0.27983599999999997</v>
      </c>
      <c r="E34" s="8">
        <f>'1-BaseTRR'!K104</f>
        <v>0.27983599999999997</v>
      </c>
      <c r="F34" s="112" t="str">
        <f>"1-BaseTRR, Line "&amp;'1-BaseTRR'!A104&amp;""</f>
        <v>1-BaseTRR, Line 59</v>
      </c>
      <c r="G34" s="14"/>
    </row>
    <row r="35" spans="1:7" ht="13">
      <c r="A35" s="2">
        <f t="shared" si="1"/>
        <v>20</v>
      </c>
      <c r="C35" s="356" t="s">
        <v>262</v>
      </c>
      <c r="D35" s="63">
        <f>((D25*D33)*(D34/(1-D34)))</f>
        <v>19832032.508295149</v>
      </c>
      <c r="E35" s="63">
        <f>((E25*E33)*(E34/(1-E34)))</f>
        <v>16130131.026134202</v>
      </c>
      <c r="F35" s="462" t="str">
        <f>"Formula on Line "&amp;A37&amp;""</f>
        <v>Formula on Line 22</v>
      </c>
      <c r="G35" s="14"/>
    </row>
    <row r="36" spans="1:7" ht="13">
      <c r="A36" s="2">
        <f t="shared" si="1"/>
        <v>21</v>
      </c>
      <c r="C36" s="14"/>
      <c r="D36" s="14"/>
      <c r="E36" s="14"/>
      <c r="F36" s="14"/>
      <c r="G36" s="14"/>
    </row>
    <row r="37" spans="1:7" ht="13">
      <c r="A37" s="2">
        <f t="shared" si="1"/>
        <v>22</v>
      </c>
      <c r="C37" s="46" t="str">
        <f>"Income Taxes = [(RB * ER) * (CTR/(1 – CTR)], or [(L"&amp;A25&amp;" * L"&amp;A33&amp;") * (L"&amp;A34&amp;" / (1 - L"&amp;A34&amp;")]"</f>
        <v>Income Taxes = [(RB * ER) * (CTR/(1 – CTR)], or [(L14 * L18) * (L19 / (1 - L19)]</v>
      </c>
      <c r="D37" s="14"/>
      <c r="E37" s="63"/>
      <c r="F37" s="15"/>
      <c r="G37" s="14"/>
    </row>
    <row r="38" spans="1:7" ht="13">
      <c r="A38" s="2">
        <f t="shared" si="1"/>
        <v>23</v>
      </c>
      <c r="C38" s="462" t="s">
        <v>1759</v>
      </c>
      <c r="D38" s="14"/>
      <c r="E38" s="63"/>
      <c r="F38" s="15"/>
      <c r="G38" s="14"/>
    </row>
    <row r="39" spans="1:7" ht="13">
      <c r="A39" s="2">
        <f t="shared" si="1"/>
        <v>24</v>
      </c>
      <c r="D39" s="13"/>
      <c r="E39" s="7"/>
      <c r="F39" s="12"/>
      <c r="G39" s="13"/>
    </row>
    <row r="40" spans="1:7" ht="13">
      <c r="C40" s="1" t="s">
        <v>1240</v>
      </c>
    </row>
    <row r="41" spans="1:7" ht="13">
      <c r="D41" s="3" t="s">
        <v>171</v>
      </c>
      <c r="E41" s="3" t="s">
        <v>179</v>
      </c>
    </row>
    <row r="42" spans="1:7" ht="13">
      <c r="A42" s="2">
        <f>A39+1</f>
        <v>25</v>
      </c>
      <c r="C42" s="356" t="s">
        <v>489</v>
      </c>
      <c r="D42" s="63">
        <f>'15-IncentiveAdder'!G17</f>
        <v>6595.7198638087975</v>
      </c>
      <c r="E42" s="112" t="str">
        <f>"15-IncentiveAdder, Line "&amp;'15-IncentiveAdder'!A17&amp;""</f>
        <v>15-IncentiveAdder, Line 3</v>
      </c>
      <c r="F42" s="14"/>
      <c r="G42" s="14"/>
    </row>
    <row r="43" spans="1:7">
      <c r="C43" s="14"/>
      <c r="D43" s="14"/>
      <c r="E43" s="14"/>
      <c r="F43" s="14"/>
      <c r="G43" s="14"/>
    </row>
    <row r="44" spans="1:7" ht="13">
      <c r="C44" s="903" t="s">
        <v>336</v>
      </c>
      <c r="D44" s="14"/>
      <c r="E44" s="14"/>
      <c r="F44" s="14"/>
      <c r="G44" s="14"/>
    </row>
    <row r="45" spans="1:7" ht="14.5">
      <c r="C45" s="14"/>
      <c r="D45" s="904" t="s">
        <v>299</v>
      </c>
      <c r="E45" s="904" t="s">
        <v>229</v>
      </c>
      <c r="F45" s="14"/>
      <c r="G45" s="14"/>
    </row>
    <row r="46" spans="1:7" ht="13">
      <c r="C46" s="14"/>
      <c r="D46" s="122" t="s">
        <v>175</v>
      </c>
      <c r="E46" s="122" t="s">
        <v>175</v>
      </c>
      <c r="F46" s="14"/>
      <c r="G46" s="14"/>
    </row>
    <row r="47" spans="1:7" ht="13">
      <c r="A47" s="2">
        <f>A42+1</f>
        <v>26</v>
      </c>
      <c r="C47" s="356" t="s">
        <v>1386</v>
      </c>
      <c r="D47" s="63">
        <f>D9</f>
        <v>160227</v>
      </c>
      <c r="E47" s="63">
        <f>E9</f>
        <v>158247.98461538463</v>
      </c>
      <c r="F47" s="112" t="str">
        <f>"Line "&amp;A9&amp;""</f>
        <v>Line 1</v>
      </c>
      <c r="G47" s="14"/>
    </row>
    <row r="48" spans="1:7" ht="13">
      <c r="A48" s="2">
        <f>A47+1</f>
        <v>27</v>
      </c>
      <c r="C48" s="356" t="s">
        <v>1234</v>
      </c>
      <c r="D48" s="78">
        <f>'15-IncentiveAdder'!E26</f>
        <v>1.2500000000000001E-2</v>
      </c>
      <c r="E48" s="78">
        <f>'15-IncentiveAdder'!E26</f>
        <v>1.2500000000000001E-2</v>
      </c>
      <c r="F48" s="112" t="str">
        <f>"15-IncentiveAdder, Line "&amp;'15-IncentiveAdder'!A26&amp;""</f>
        <v>15-IncentiveAdder, Line 5</v>
      </c>
      <c r="G48" s="14"/>
    </row>
    <row r="49" spans="1:7" ht="13">
      <c r="A49" s="2">
        <f>A48+1</f>
        <v>28</v>
      </c>
      <c r="C49" s="356" t="s">
        <v>1387</v>
      </c>
      <c r="D49" s="63">
        <f>(D47/1000000)*($D$42*(D48/0.01))</f>
        <v>1321.0155082731155</v>
      </c>
      <c r="E49" s="63">
        <f>(E47/1000000)*($D$42*(E48/0.01))</f>
        <v>1304.6992194192519</v>
      </c>
      <c r="F49" s="462" t="str">
        <f>"Formula on Line "&amp;A58&amp;""</f>
        <v>Formula on Line 33</v>
      </c>
      <c r="G49" s="14"/>
    </row>
    <row r="50" spans="1:7">
      <c r="C50" s="368"/>
      <c r="D50" s="14"/>
      <c r="E50" s="14"/>
      <c r="F50" s="14"/>
      <c r="G50" s="14"/>
    </row>
    <row r="51" spans="1:7" ht="13">
      <c r="C51" s="903" t="s">
        <v>1241</v>
      </c>
      <c r="D51" s="14"/>
      <c r="E51" s="122"/>
      <c r="F51" s="122"/>
      <c r="G51" s="14"/>
    </row>
    <row r="52" spans="1:7" ht="14.5">
      <c r="C52" s="14"/>
      <c r="D52" s="904" t="s">
        <v>299</v>
      </c>
      <c r="E52" s="904" t="s">
        <v>229</v>
      </c>
      <c r="F52" s="14"/>
      <c r="G52" s="14"/>
    </row>
    <row r="53" spans="1:7" ht="13">
      <c r="C53" s="14"/>
      <c r="D53" s="122" t="s">
        <v>175</v>
      </c>
      <c r="E53" s="122" t="s">
        <v>175</v>
      </c>
      <c r="F53" s="14"/>
      <c r="G53" s="14"/>
    </row>
    <row r="54" spans="1:7" ht="13">
      <c r="A54" s="2">
        <f>A49+1</f>
        <v>29</v>
      </c>
      <c r="C54" s="842" t="s">
        <v>1408</v>
      </c>
      <c r="D54" s="63">
        <f>D10</f>
        <v>0</v>
      </c>
      <c r="E54" s="63">
        <f>E10</f>
        <v>0</v>
      </c>
      <c r="F54" s="112" t="str">
        <f>"Line "&amp;A10&amp;""</f>
        <v>Line 2</v>
      </c>
      <c r="G54" s="14"/>
    </row>
    <row r="55" spans="1:7" ht="13">
      <c r="A55" s="2">
        <f>A54+1</f>
        <v>30</v>
      </c>
      <c r="C55" s="356" t="s">
        <v>1234</v>
      </c>
      <c r="D55" s="78">
        <f>'15-IncentiveAdder'!E27</f>
        <v>0.01</v>
      </c>
      <c r="E55" s="78">
        <f>'15-IncentiveAdder'!E27</f>
        <v>0.01</v>
      </c>
      <c r="F55" s="112" t="str">
        <f>"15-IncentiveAdder, Line "&amp;'15-IncentiveAdder'!A27&amp;""</f>
        <v>15-IncentiveAdder, Line 6</v>
      </c>
      <c r="G55" s="14"/>
    </row>
    <row r="56" spans="1:7" ht="13">
      <c r="A56" s="2">
        <f>A55+1</f>
        <v>31</v>
      </c>
      <c r="C56" s="356" t="s">
        <v>1387</v>
      </c>
      <c r="D56" s="63">
        <f>(D54/1000000)*($D$42*(D55/0.01))</f>
        <v>0</v>
      </c>
      <c r="E56" s="63">
        <f>(E54/1000000)*($D$42*(E55/0.01))</f>
        <v>0</v>
      </c>
      <c r="F56" s="462" t="str">
        <f>"Formula on Line "&amp;A58&amp;""</f>
        <v>Formula on Line 33</v>
      </c>
      <c r="G56" s="14"/>
    </row>
    <row r="57" spans="1:7" ht="13">
      <c r="A57" s="2">
        <f>A56+1</f>
        <v>32</v>
      </c>
      <c r="C57" s="14"/>
      <c r="D57" s="108"/>
      <c r="E57" s="63"/>
      <c r="F57" s="46"/>
      <c r="G57" s="14"/>
    </row>
    <row r="58" spans="1:7" ht="13">
      <c r="A58" s="2">
        <f>A57+1</f>
        <v>33</v>
      </c>
      <c r="C58" s="841" t="s">
        <v>1835</v>
      </c>
      <c r="D58" s="63"/>
      <c r="E58" s="46"/>
      <c r="F58" s="14"/>
      <c r="G58" s="14"/>
    </row>
    <row r="60" spans="1:7" ht="13">
      <c r="C60" s="1" t="s">
        <v>1494</v>
      </c>
    </row>
    <row r="61" spans="1:7" ht="13">
      <c r="C61" s="1"/>
    </row>
    <row r="62" spans="1:7" ht="14.5">
      <c r="C62" s="1"/>
      <c r="E62" s="237" t="s">
        <v>279</v>
      </c>
    </row>
    <row r="63" spans="1:7" ht="14.5">
      <c r="C63" s="1"/>
      <c r="D63" s="237" t="s">
        <v>1389</v>
      </c>
      <c r="E63" s="237" t="s">
        <v>955</v>
      </c>
    </row>
    <row r="64" spans="1:7" ht="13">
      <c r="D64" s="3" t="s">
        <v>175</v>
      </c>
      <c r="E64" s="3" t="s">
        <v>175</v>
      </c>
      <c r="F64" s="3" t="s">
        <v>179</v>
      </c>
    </row>
    <row r="65" spans="1:10" ht="13">
      <c r="A65" s="2">
        <f>A58+1</f>
        <v>34</v>
      </c>
      <c r="C65" s="93" t="s">
        <v>1233</v>
      </c>
      <c r="D65" s="7">
        <f>D27</f>
        <v>71192283.225217789</v>
      </c>
      <c r="E65" s="7">
        <f>E27</f>
        <v>57903336.735259078</v>
      </c>
      <c r="F65" s="112" t="str">
        <f>"Line "&amp;A27&amp;""</f>
        <v>Line 16</v>
      </c>
      <c r="G65" s="14"/>
    </row>
    <row r="66" spans="1:10" ht="13">
      <c r="A66" s="2">
        <f>A65+1</f>
        <v>35</v>
      </c>
      <c r="C66" s="93" t="s">
        <v>262</v>
      </c>
      <c r="D66" s="7">
        <f>D35</f>
        <v>19832032.508295149</v>
      </c>
      <c r="E66" s="7">
        <f>E35</f>
        <v>16130131.026134202</v>
      </c>
      <c r="F66" s="112" t="str">
        <f>"Line "&amp;A35&amp;""</f>
        <v>Line 20</v>
      </c>
      <c r="G66" s="14"/>
    </row>
    <row r="67" spans="1:10" ht="13">
      <c r="A67" s="2">
        <f>A66+1</f>
        <v>36</v>
      </c>
      <c r="C67" s="93" t="s">
        <v>1235</v>
      </c>
      <c r="D67" s="7">
        <f>D49</f>
        <v>1321.0155082731155</v>
      </c>
      <c r="E67" s="7">
        <f>E49</f>
        <v>1304.6992194192519</v>
      </c>
      <c r="F67" s="112" t="str">
        <f>"Line "&amp;A49&amp;""</f>
        <v>Line 28</v>
      </c>
      <c r="G67" s="14"/>
    </row>
    <row r="68" spans="1:10" ht="13">
      <c r="A68" s="2">
        <f>A67+1</f>
        <v>37</v>
      </c>
      <c r="C68" s="93" t="s">
        <v>1236</v>
      </c>
      <c r="D68" s="100">
        <f>D56</f>
        <v>0</v>
      </c>
      <c r="E68" s="229">
        <f>E56</f>
        <v>0</v>
      </c>
      <c r="F68" s="112" t="str">
        <f>"Line "&amp;A56&amp;""</f>
        <v>Line 31</v>
      </c>
      <c r="G68" s="14"/>
    </row>
    <row r="69" spans="1:10" ht="13">
      <c r="A69" s="456">
        <f t="shared" ref="A69:A70" si="2">A68+1</f>
        <v>38</v>
      </c>
      <c r="C69" s="93" t="s">
        <v>1435</v>
      </c>
      <c r="D69" s="91">
        <f>SUM(D65:D68)*('28-FFU'!D22+'28-FFU'!E22)</f>
        <v>1880332.4494025589</v>
      </c>
      <c r="E69" s="91">
        <f>SUM(E65:E68)*('28-FFU'!D22)</f>
        <v>684679.34067985357</v>
      </c>
      <c r="F69" s="46" t="s">
        <v>359</v>
      </c>
      <c r="G69" s="14"/>
    </row>
    <row r="70" spans="1:10" ht="13">
      <c r="A70" s="456">
        <f t="shared" si="2"/>
        <v>39</v>
      </c>
      <c r="C70" s="93" t="s">
        <v>4</v>
      </c>
      <c r="D70" s="7">
        <f>SUM(D65:D69)</f>
        <v>92905969.198423773</v>
      </c>
      <c r="E70" s="7">
        <f>SUM(E65:E69)</f>
        <v>74719451.801292554</v>
      </c>
      <c r="F70" s="46" t="str">
        <f>"Sum Lines "&amp;A65&amp;" to "&amp;A69&amp;""</f>
        <v>Sum Lines 34 to 38</v>
      </c>
      <c r="G70" s="14"/>
    </row>
    <row r="71" spans="1:10" ht="13">
      <c r="A71" s="2"/>
      <c r="D71" s="93"/>
      <c r="E71" s="7"/>
      <c r="F71" s="13"/>
    </row>
    <row r="72" spans="1:10" ht="12.75" customHeight="1">
      <c r="A72" s="2"/>
      <c r="C72" s="363" t="s">
        <v>1495</v>
      </c>
      <c r="D72" s="93"/>
      <c r="E72" s="7"/>
      <c r="F72" s="13"/>
    </row>
    <row r="73" spans="1:10" ht="13">
      <c r="A73" s="2"/>
      <c r="D73" s="93"/>
      <c r="E73" s="7"/>
      <c r="F73" s="13"/>
    </row>
    <row r="74" spans="1:10" ht="12.75" customHeight="1">
      <c r="A74" s="2"/>
      <c r="C74" s="363" t="s">
        <v>1390</v>
      </c>
      <c r="D74" s="93"/>
      <c r="E74" s="7"/>
      <c r="F74" s="13"/>
    </row>
    <row r="75" spans="1:10" ht="14.5">
      <c r="A75" s="2"/>
      <c r="C75" s="363"/>
      <c r="D75" s="84" t="s">
        <v>358</v>
      </c>
      <c r="E75" s="84" t="s">
        <v>342</v>
      </c>
      <c r="F75" s="84" t="s">
        <v>343</v>
      </c>
      <c r="G75" s="84" t="s">
        <v>344</v>
      </c>
      <c r="H75" s="84" t="s">
        <v>345</v>
      </c>
    </row>
    <row r="76" spans="1:10" ht="14.5">
      <c r="A76" s="2"/>
      <c r="C76" s="363"/>
      <c r="D76" s="2" t="s">
        <v>1391</v>
      </c>
      <c r="E76" s="452" t="s">
        <v>1392</v>
      </c>
      <c r="F76" s="2"/>
      <c r="H76" s="95" t="s">
        <v>1441</v>
      </c>
    </row>
    <row r="77" spans="1:10" ht="14.5">
      <c r="A77" s="2"/>
      <c r="C77" s="3" t="s">
        <v>224</v>
      </c>
      <c r="D77" s="3" t="s">
        <v>1393</v>
      </c>
      <c r="E77" s="388" t="s">
        <v>1394</v>
      </c>
      <c r="F77" s="3" t="s">
        <v>9</v>
      </c>
      <c r="G77" s="3" t="s">
        <v>1398</v>
      </c>
      <c r="H77" s="3" t="s">
        <v>196</v>
      </c>
      <c r="I77" s="3" t="s">
        <v>179</v>
      </c>
    </row>
    <row r="78" spans="1:10" ht="13">
      <c r="A78" s="2">
        <f>A70+1</f>
        <v>40</v>
      </c>
      <c r="C78" s="93" t="s">
        <v>1244</v>
      </c>
      <c r="D78" s="1093">
        <f t="shared" ref="D78:D88" si="3">$D$27*(D9/$D$21)</f>
        <v>11709.322711319855</v>
      </c>
      <c r="E78" s="1093">
        <f t="shared" ref="E78:E87" si="4">$D$35*(D9/$D$21)</f>
        <v>3261.8657267443423</v>
      </c>
      <c r="F78" s="1093">
        <f>D49</f>
        <v>1321.0155082731155</v>
      </c>
      <c r="G78" s="63">
        <f>(D78+E78+F78)*('28-FFU'!$D$22+'28-FFU'!$E$22)</f>
        <v>336.55089760096502</v>
      </c>
      <c r="H78" s="458">
        <f>SUM(D78:G78)</f>
        <v>16628.754843938277</v>
      </c>
      <c r="I78" s="46" t="s">
        <v>360</v>
      </c>
      <c r="J78" s="14"/>
    </row>
    <row r="79" spans="1:10" ht="13">
      <c r="A79" s="2">
        <f t="shared" ref="A79:A90" si="5">A78+1</f>
        <v>41</v>
      </c>
      <c r="C79" s="93" t="s">
        <v>1245</v>
      </c>
      <c r="D79" s="1093">
        <f t="shared" si="3"/>
        <v>0</v>
      </c>
      <c r="E79" s="1093">
        <f t="shared" si="4"/>
        <v>0</v>
      </c>
      <c r="F79" s="1093">
        <f>D56</f>
        <v>0</v>
      </c>
      <c r="G79" s="63">
        <f>(D79+E79+F79)*('28-FFU'!$D$22+'28-FFU'!$E$22)</f>
        <v>0</v>
      </c>
      <c r="H79" s="458">
        <f t="shared" ref="H79:H87" si="6">SUM(D79:G79)</f>
        <v>0</v>
      </c>
      <c r="I79" s="46" t="s">
        <v>360</v>
      </c>
      <c r="J79" s="14"/>
    </row>
    <row r="80" spans="1:10" ht="13">
      <c r="A80" s="2">
        <f t="shared" si="5"/>
        <v>42</v>
      </c>
      <c r="C80" s="461" t="s">
        <v>1249</v>
      </c>
      <c r="D80" s="1093">
        <f t="shared" si="3"/>
        <v>421857.2350159834</v>
      </c>
      <c r="E80" s="1093">
        <f t="shared" si="4"/>
        <v>117516.75911600735</v>
      </c>
      <c r="F80" s="1093">
        <v>0</v>
      </c>
      <c r="G80" s="63">
        <f>(D80+E80+F80)*('28-FFU'!$D$22+'28-FFU'!$E$22)</f>
        <v>11141.942641133493</v>
      </c>
      <c r="H80" s="458">
        <f t="shared" si="6"/>
        <v>550515.93677312415</v>
      </c>
      <c r="I80" s="46" t="s">
        <v>360</v>
      </c>
      <c r="J80" s="14"/>
    </row>
    <row r="81" spans="1:10" ht="13">
      <c r="A81" s="2">
        <f t="shared" si="5"/>
        <v>43</v>
      </c>
      <c r="C81" s="461" t="s">
        <v>1250</v>
      </c>
      <c r="D81" s="1093">
        <f t="shared" si="3"/>
        <v>47562775.029776424</v>
      </c>
      <c r="E81" s="1093">
        <f t="shared" si="4"/>
        <v>13249561.017606614</v>
      </c>
      <c r="F81" s="1093">
        <v>0</v>
      </c>
      <c r="G81" s="63">
        <f>(D81+E81+F81)*('28-FFU'!$D$22+'28-FFU'!$E$22)</f>
        <v>1256211.0288681593</v>
      </c>
      <c r="H81" s="458">
        <f t="shared" si="6"/>
        <v>62068547.076251201</v>
      </c>
      <c r="I81" s="46" t="s">
        <v>360</v>
      </c>
      <c r="J81" s="14"/>
    </row>
    <row r="82" spans="1:10" ht="13">
      <c r="A82" s="2">
        <f t="shared" si="5"/>
        <v>44</v>
      </c>
      <c r="C82" s="93" t="s">
        <v>1246</v>
      </c>
      <c r="D82" s="1093">
        <f t="shared" si="3"/>
        <v>0</v>
      </c>
      <c r="E82" s="1093">
        <f t="shared" si="4"/>
        <v>0</v>
      </c>
      <c r="F82" s="1093">
        <v>0</v>
      </c>
      <c r="G82" s="63">
        <f>(D82+E82+F82)*('28-FFU'!$D$22+'28-FFU'!$E$22)</f>
        <v>0</v>
      </c>
      <c r="H82" s="458">
        <f t="shared" si="6"/>
        <v>0</v>
      </c>
      <c r="I82" s="46" t="s">
        <v>360</v>
      </c>
      <c r="J82" s="14"/>
    </row>
    <row r="83" spans="1:10" ht="13">
      <c r="A83" s="2">
        <f t="shared" si="5"/>
        <v>45</v>
      </c>
      <c r="C83" s="93" t="s">
        <v>1247</v>
      </c>
      <c r="D83" s="1093">
        <f t="shared" si="3"/>
        <v>0</v>
      </c>
      <c r="E83" s="1093">
        <f t="shared" si="4"/>
        <v>0</v>
      </c>
      <c r="F83" s="1093">
        <v>0</v>
      </c>
      <c r="G83" s="63">
        <f>(D83+E83+F83)*('28-FFU'!$D$22+'28-FFU'!$E$22)</f>
        <v>0</v>
      </c>
      <c r="H83" s="458">
        <f t="shared" si="6"/>
        <v>0</v>
      </c>
      <c r="I83" s="46" t="s">
        <v>360</v>
      </c>
      <c r="J83" s="14"/>
    </row>
    <row r="84" spans="1:10" ht="13">
      <c r="A84" s="2">
        <f t="shared" si="5"/>
        <v>46</v>
      </c>
      <c r="C84" s="93" t="s">
        <v>1248</v>
      </c>
      <c r="D84" s="1093">
        <f t="shared" si="3"/>
        <v>389355.7369459935</v>
      </c>
      <c r="E84" s="1093">
        <f t="shared" si="4"/>
        <v>108462.81763398992</v>
      </c>
      <c r="F84" s="1093">
        <v>0</v>
      </c>
      <c r="G84" s="63">
        <f>(D84+E84+F84)*('28-FFU'!$D$22+'28-FFU'!$E$22)</f>
        <v>10283.52468077063</v>
      </c>
      <c r="H84" s="458">
        <f t="shared" si="6"/>
        <v>508102.07926075405</v>
      </c>
      <c r="I84" s="46" t="s">
        <v>360</v>
      </c>
      <c r="J84" s="14"/>
    </row>
    <row r="85" spans="1:10" ht="13">
      <c r="A85" s="2">
        <f t="shared" si="5"/>
        <v>47</v>
      </c>
      <c r="C85" s="842" t="s">
        <v>2425</v>
      </c>
      <c r="D85" s="1093">
        <f t="shared" si="3"/>
        <v>9503575.0499486513</v>
      </c>
      <c r="E85" s="1093">
        <f t="shared" si="4"/>
        <v>2647410.6574073541</v>
      </c>
      <c r="F85" s="1093">
        <v>0</v>
      </c>
      <c r="G85" s="63">
        <f>(D85+E85+F85)*('28-FFU'!$D$22+'28-FFU'!$E$22)</f>
        <v>251005.03038243105</v>
      </c>
      <c r="H85" s="458">
        <f t="shared" si="6"/>
        <v>12401990.737738436</v>
      </c>
      <c r="I85" s="46" t="s">
        <v>360</v>
      </c>
      <c r="J85" s="14"/>
    </row>
    <row r="86" spans="1:10" ht="13">
      <c r="A86" s="2">
        <f t="shared" si="5"/>
        <v>48</v>
      </c>
      <c r="C86" s="842" t="s">
        <v>2426</v>
      </c>
      <c r="D86" s="1093">
        <f t="shared" si="3"/>
        <v>1740638.7473605215</v>
      </c>
      <c r="E86" s="1093">
        <f t="shared" si="4"/>
        <v>484889.69111506408</v>
      </c>
      <c r="F86" s="1093">
        <v>0</v>
      </c>
      <c r="G86" s="63">
        <f>(D86+E86+F86)*('28-FFU'!$D$22+'28-FFU'!$E$22)</f>
        <v>45973.128993012484</v>
      </c>
      <c r="H86" s="458">
        <f t="shared" si="6"/>
        <v>2271501.567468598</v>
      </c>
      <c r="I86" s="46" t="s">
        <v>360</v>
      </c>
      <c r="J86" s="14"/>
    </row>
    <row r="87" spans="1:10" ht="13">
      <c r="A87" s="2">
        <f t="shared" si="5"/>
        <v>49</v>
      </c>
      <c r="C87" s="842" t="s">
        <v>2427</v>
      </c>
      <c r="D87" s="1093">
        <f t="shared" si="3"/>
        <v>9837112.6098857708</v>
      </c>
      <c r="E87" s="1093">
        <f t="shared" si="4"/>
        <v>2740324.2069065967</v>
      </c>
      <c r="F87" s="1093">
        <v>0</v>
      </c>
      <c r="G87" s="63">
        <f>(D87+E87+F87)*('28-FFU'!$D$22+'28-FFU'!$E$22)</f>
        <v>259814.30530536131</v>
      </c>
      <c r="H87" s="458">
        <f t="shared" si="6"/>
        <v>12837251.122097729</v>
      </c>
      <c r="I87" s="46" t="s">
        <v>360</v>
      </c>
      <c r="J87" s="14"/>
    </row>
    <row r="88" spans="1:10" s="955" customFormat="1" ht="13">
      <c r="A88" s="109">
        <f t="shared" si="5"/>
        <v>50</v>
      </c>
      <c r="B88" s="14"/>
      <c r="C88" s="1433" t="s">
        <v>2806</v>
      </c>
      <c r="D88" s="1093">
        <f t="shared" si="3"/>
        <v>1725259.4935731196</v>
      </c>
      <c r="E88" s="1093">
        <f t="shared" ref="E88" si="7">$D$35*(D19/$D$21)</f>
        <v>480605.49278277851</v>
      </c>
      <c r="F88" s="1093">
        <v>0</v>
      </c>
      <c r="G88" s="63">
        <f>(D88+E88+F88)*('28-FFU'!$D$22+'28-FFU'!$E$22)</f>
        <v>45566.937634089423</v>
      </c>
      <c r="H88" s="458">
        <f t="shared" ref="H88" si="8">SUM(D88:G88)</f>
        <v>2251431.9239899875</v>
      </c>
      <c r="I88" s="462" t="s">
        <v>360</v>
      </c>
      <c r="J88" s="14"/>
    </row>
    <row r="89" spans="1:10" ht="13">
      <c r="A89" s="549">
        <f t="shared" si="5"/>
        <v>51</v>
      </c>
      <c r="C89" s="396"/>
      <c r="D89" s="1152" t="s">
        <v>76</v>
      </c>
      <c r="E89" s="1152" t="s">
        <v>76</v>
      </c>
      <c r="F89" s="1152" t="s">
        <v>76</v>
      </c>
      <c r="G89" s="1152" t="s">
        <v>76</v>
      </c>
      <c r="H89" s="1152" t="s">
        <v>76</v>
      </c>
      <c r="I89" s="46" t="s">
        <v>360</v>
      </c>
      <c r="J89" s="14"/>
    </row>
    <row r="90" spans="1:10" ht="13">
      <c r="A90" s="549">
        <f t="shared" si="5"/>
        <v>52</v>
      </c>
      <c r="C90" s="93" t="s">
        <v>197</v>
      </c>
      <c r="D90" s="104">
        <f>SUM(D78:D89)</f>
        <v>71192283.225217775</v>
      </c>
      <c r="E90" s="104">
        <f>SUM(E78:E89)</f>
        <v>19832032.508295152</v>
      </c>
      <c r="F90" s="104">
        <f>SUM(F78:F89)</f>
        <v>1321.0155082731155</v>
      </c>
      <c r="G90" s="104">
        <f>SUM(G78:G89)</f>
        <v>1880332.4494025589</v>
      </c>
      <c r="H90" s="104">
        <f>SUM(H78:H89)</f>
        <v>92905969.198423758</v>
      </c>
      <c r="I90" s="46" t="str">
        <f>"Sum L "&amp;A78&amp;" to L "&amp;A89&amp;""</f>
        <v>Sum L 40 to L 51</v>
      </c>
      <c r="J90" s="14"/>
    </row>
    <row r="91" spans="1:10" ht="13">
      <c r="A91" s="2"/>
      <c r="C91" s="93"/>
      <c r="D91" s="93"/>
      <c r="E91" s="7"/>
      <c r="F91" s="13"/>
    </row>
    <row r="92" spans="1:10" ht="14.5">
      <c r="A92" s="2"/>
      <c r="C92" s="363" t="s">
        <v>1496</v>
      </c>
      <c r="D92" s="93"/>
      <c r="E92" s="7"/>
      <c r="F92" s="13"/>
    </row>
    <row r="93" spans="1:10" ht="14.5">
      <c r="A93" s="2"/>
      <c r="C93" s="363"/>
      <c r="D93" s="84" t="s">
        <v>358</v>
      </c>
      <c r="E93" s="84" t="s">
        <v>342</v>
      </c>
      <c r="F93" s="84" t="s">
        <v>343</v>
      </c>
      <c r="G93" s="84" t="s">
        <v>344</v>
      </c>
      <c r="H93" s="84" t="s">
        <v>345</v>
      </c>
    </row>
    <row r="94" spans="1:10" ht="14.5">
      <c r="A94" s="2"/>
      <c r="C94" s="363"/>
      <c r="D94" s="109" t="s">
        <v>1391</v>
      </c>
      <c r="E94" s="1150" t="s">
        <v>1392</v>
      </c>
      <c r="F94" s="109"/>
      <c r="G94" s="14"/>
      <c r="H94" s="355" t="s">
        <v>1441</v>
      </c>
      <c r="I94" s="14"/>
      <c r="J94" s="14"/>
    </row>
    <row r="95" spans="1:10" ht="14.5">
      <c r="A95" s="2"/>
      <c r="C95" s="3" t="s">
        <v>224</v>
      </c>
      <c r="D95" s="122" t="s">
        <v>1393</v>
      </c>
      <c r="E95" s="1151" t="s">
        <v>1394</v>
      </c>
      <c r="F95" s="122" t="s">
        <v>9</v>
      </c>
      <c r="G95" s="122" t="s">
        <v>1398</v>
      </c>
      <c r="H95" s="122" t="s">
        <v>196</v>
      </c>
      <c r="I95" s="122" t="s">
        <v>179</v>
      </c>
      <c r="J95" s="14"/>
    </row>
    <row r="96" spans="1:10" ht="13">
      <c r="A96" s="2">
        <f>A90+1</f>
        <v>53</v>
      </c>
      <c r="C96" s="93" t="s">
        <v>1244</v>
      </c>
      <c r="D96" s="104">
        <f t="shared" ref="D96:D104" si="9">$E$27*(E9/$E$21)</f>
        <v>11564.697087741255</v>
      </c>
      <c r="E96" s="104">
        <f t="shared" ref="E96:E106" si="10">$E$35*(E9/$E$21)</f>
        <v>3221.5773705011584</v>
      </c>
      <c r="F96" s="1094">
        <f>E49</f>
        <v>1304.6992194192519</v>
      </c>
      <c r="G96" s="63">
        <f>(D96+E96+F96)*('28-FFU'!$D$22+'28-FFU'!$E$22)</f>
        <v>332.39404885475852</v>
      </c>
      <c r="H96" s="871">
        <f>SUM(D96:G96)</f>
        <v>16423.367726516422</v>
      </c>
      <c r="I96" s="46" t="s">
        <v>1151</v>
      </c>
      <c r="J96" s="14"/>
    </row>
    <row r="97" spans="1:10" ht="13">
      <c r="A97" s="2">
        <f t="shared" ref="A97:A108" si="11">A96+1</f>
        <v>54</v>
      </c>
      <c r="C97" s="93" t="s">
        <v>1245</v>
      </c>
      <c r="D97" s="104">
        <f t="shared" si="9"/>
        <v>0</v>
      </c>
      <c r="E97" s="104">
        <f t="shared" si="10"/>
        <v>0</v>
      </c>
      <c r="F97" s="1094">
        <f>E56</f>
        <v>0</v>
      </c>
      <c r="G97" s="63">
        <f>(D97+E97+F97)*('28-FFU'!$D$22+'28-FFU'!$E$22)</f>
        <v>0</v>
      </c>
      <c r="H97" s="871">
        <f t="shared" ref="H97:H104" si="12">SUM(D97:G97)</f>
        <v>0</v>
      </c>
      <c r="I97" s="46" t="s">
        <v>1151</v>
      </c>
      <c r="J97" s="14"/>
    </row>
    <row r="98" spans="1:10" ht="13">
      <c r="A98" s="2">
        <f t="shared" si="11"/>
        <v>55</v>
      </c>
      <c r="C98" s="461" t="s">
        <v>1249</v>
      </c>
      <c r="D98" s="104">
        <f t="shared" si="9"/>
        <v>411765.61729501077</v>
      </c>
      <c r="E98" s="104">
        <f t="shared" si="10"/>
        <v>114705.53742684648</v>
      </c>
      <c r="F98" s="1094">
        <v>0</v>
      </c>
      <c r="G98" s="63">
        <f>(D98+E98+F98)*('28-FFU'!$D$22+'28-FFU'!$E$22)</f>
        <v>10875.406437720834</v>
      </c>
      <c r="H98" s="871">
        <f t="shared" si="12"/>
        <v>537346.56115957815</v>
      </c>
      <c r="I98" s="46" t="s">
        <v>1151</v>
      </c>
      <c r="J98" s="14"/>
    </row>
    <row r="99" spans="1:10" ht="13">
      <c r="A99" s="2">
        <f t="shared" si="11"/>
        <v>56</v>
      </c>
      <c r="C99" s="461" t="s">
        <v>1250</v>
      </c>
      <c r="D99" s="104">
        <f t="shared" si="9"/>
        <v>41067050.311371654</v>
      </c>
      <c r="E99" s="104">
        <f t="shared" si="10"/>
        <v>11440047.149750952</v>
      </c>
      <c r="F99" s="1094">
        <v>0</v>
      </c>
      <c r="G99" s="63">
        <f>(D99+E99+F99)*('28-FFU'!$D$22+'28-FFU'!$E$22)</f>
        <v>1084648.2673042458</v>
      </c>
      <c r="H99" s="871">
        <f t="shared" si="12"/>
        <v>53591745.728426851</v>
      </c>
      <c r="I99" s="46" t="s">
        <v>1151</v>
      </c>
      <c r="J99" s="14"/>
    </row>
    <row r="100" spans="1:10" ht="13">
      <c r="A100" s="2">
        <f t="shared" si="11"/>
        <v>57</v>
      </c>
      <c r="C100" s="93" t="s">
        <v>1246</v>
      </c>
      <c r="D100" s="104">
        <f t="shared" si="9"/>
        <v>0</v>
      </c>
      <c r="E100" s="104">
        <f t="shared" si="10"/>
        <v>0</v>
      </c>
      <c r="F100" s="1094">
        <v>0</v>
      </c>
      <c r="G100" s="63">
        <f>(D100+E100+F100)*('28-FFU'!$D$22+'28-FFU'!$E$22)</f>
        <v>0</v>
      </c>
      <c r="H100" s="871">
        <f t="shared" si="12"/>
        <v>0</v>
      </c>
      <c r="I100" s="46" t="s">
        <v>1151</v>
      </c>
      <c r="J100" s="14"/>
    </row>
    <row r="101" spans="1:10" ht="13">
      <c r="A101" s="2">
        <f t="shared" si="11"/>
        <v>58</v>
      </c>
      <c r="C101" s="93" t="s">
        <v>1247</v>
      </c>
      <c r="D101" s="104">
        <f t="shared" si="9"/>
        <v>0</v>
      </c>
      <c r="E101" s="104">
        <f t="shared" si="10"/>
        <v>0</v>
      </c>
      <c r="F101" s="1094">
        <v>0</v>
      </c>
      <c r="G101" s="63">
        <f>(D101+E101+F101)*('28-FFU'!$D$22+'28-FFU'!$E$22)</f>
        <v>0</v>
      </c>
      <c r="H101" s="871">
        <f t="shared" si="12"/>
        <v>0</v>
      </c>
      <c r="I101" s="46" t="s">
        <v>1151</v>
      </c>
      <c r="J101" s="14"/>
    </row>
    <row r="102" spans="1:10" ht="13">
      <c r="A102" s="2">
        <f t="shared" si="11"/>
        <v>59</v>
      </c>
      <c r="C102" s="93" t="s">
        <v>1248</v>
      </c>
      <c r="D102" s="104">
        <f t="shared" si="9"/>
        <v>137573.4909879819</v>
      </c>
      <c r="E102" s="104">
        <f t="shared" si="10"/>
        <v>38323.843848666795</v>
      </c>
      <c r="F102" s="1094">
        <v>0</v>
      </c>
      <c r="G102" s="63">
        <f>(D102+E102+F102)*('28-FFU'!$D$22+'28-FFU'!$E$22)</f>
        <v>3633.5419148862384</v>
      </c>
      <c r="H102" s="871">
        <f t="shared" si="12"/>
        <v>179530.87675153493</v>
      </c>
      <c r="I102" s="46" t="s">
        <v>1151</v>
      </c>
      <c r="J102" s="14"/>
    </row>
    <row r="103" spans="1:10" ht="13">
      <c r="A103" s="2">
        <f t="shared" si="11"/>
        <v>60</v>
      </c>
      <c r="C103" s="842" t="s">
        <v>2425</v>
      </c>
      <c r="D103" s="104">
        <f t="shared" si="9"/>
        <v>6046001.9571192069</v>
      </c>
      <c r="E103" s="104">
        <f t="shared" si="10"/>
        <v>1684234.6098029281</v>
      </c>
      <c r="F103" s="1094">
        <v>0</v>
      </c>
      <c r="G103" s="63">
        <f>(D103+E103+F103)*('28-FFU'!$D$22+'28-FFU'!$E$22)</f>
        <v>159684.84459405029</v>
      </c>
      <c r="H103" s="871">
        <f t="shared" si="12"/>
        <v>7889921.4115161849</v>
      </c>
      <c r="I103" s="46" t="s">
        <v>1151</v>
      </c>
      <c r="J103" s="14"/>
    </row>
    <row r="104" spans="1:10" ht="13">
      <c r="A104" s="2">
        <f t="shared" si="11"/>
        <v>61</v>
      </c>
      <c r="C104" s="842" t="s">
        <v>2426</v>
      </c>
      <c r="D104" s="104">
        <f t="shared" si="9"/>
        <v>1667753.9681344985</v>
      </c>
      <c r="E104" s="104">
        <f t="shared" si="10"/>
        <v>464586.18003932445</v>
      </c>
      <c r="F104" s="1094">
        <v>0</v>
      </c>
      <c r="G104" s="63">
        <f>(D104+E104+F104)*('28-FFU'!$D$22+'28-FFU'!$E$22)</f>
        <v>44048.122232094283</v>
      </c>
      <c r="H104" s="871">
        <f t="shared" si="12"/>
        <v>2176388.2704059174</v>
      </c>
      <c r="I104" s="46" t="s">
        <v>1151</v>
      </c>
      <c r="J104" s="14"/>
    </row>
    <row r="105" spans="1:10" ht="13">
      <c r="A105" s="2">
        <f t="shared" si="11"/>
        <v>62</v>
      </c>
      <c r="C105" s="842" t="s">
        <v>2427</v>
      </c>
      <c r="D105" s="104">
        <f t="shared" ref="D105" si="13">$E$27*(E18/$E$21)</f>
        <v>8169687.1890157368</v>
      </c>
      <c r="E105" s="104">
        <f t="shared" si="10"/>
        <v>2275829.5502702906</v>
      </c>
      <c r="F105" s="1094">
        <v>0</v>
      </c>
      <c r="G105" s="63">
        <f>(D105+E105+F105)*('28-FFU'!$D$22+'28-FFU'!$E$22)</f>
        <v>215774.86054628805</v>
      </c>
      <c r="H105" s="871">
        <f t="shared" ref="H105" si="14">SUM(D105:G105)</f>
        <v>10661291.599832315</v>
      </c>
      <c r="I105" s="46" t="s">
        <v>1151</v>
      </c>
      <c r="J105" s="14"/>
    </row>
    <row r="106" spans="1:10" s="955" customFormat="1" ht="13">
      <c r="A106" s="109">
        <f t="shared" si="11"/>
        <v>63</v>
      </c>
      <c r="B106" s="14"/>
      <c r="C106" s="1433" t="s">
        <v>2806</v>
      </c>
      <c r="D106" s="104">
        <f>$E$27*(E19/$E$21)</f>
        <v>391939.50424724875</v>
      </c>
      <c r="E106" s="104">
        <f t="shared" si="10"/>
        <v>109182.57762469375</v>
      </c>
      <c r="F106" s="1094">
        <v>0</v>
      </c>
      <c r="G106" s="63">
        <f>(D106+E106+F106)*('28-FFU'!$D$22+'28-FFU'!$E$22)</f>
        <v>10351.766220038131</v>
      </c>
      <c r="H106" s="871">
        <f t="shared" ref="H106" si="15">SUM(D106:G106)</f>
        <v>511473.84809198062</v>
      </c>
      <c r="I106" s="46" t="s">
        <v>1151</v>
      </c>
      <c r="J106" s="14"/>
    </row>
    <row r="107" spans="1:10" ht="13">
      <c r="A107" s="549">
        <f t="shared" si="11"/>
        <v>64</v>
      </c>
      <c r="C107" s="396"/>
      <c r="D107" s="1152" t="s">
        <v>76</v>
      </c>
      <c r="E107" s="1152" t="s">
        <v>76</v>
      </c>
      <c r="F107" s="1152" t="s">
        <v>76</v>
      </c>
      <c r="G107" s="1152" t="s">
        <v>76</v>
      </c>
      <c r="H107" s="1152" t="s">
        <v>76</v>
      </c>
      <c r="I107" s="46" t="s">
        <v>1151</v>
      </c>
      <c r="J107" s="14"/>
    </row>
    <row r="108" spans="1:10" ht="13">
      <c r="A108" s="549">
        <f t="shared" si="11"/>
        <v>65</v>
      </c>
      <c r="C108" s="93" t="s">
        <v>197</v>
      </c>
      <c r="D108" s="63">
        <f>SUM(D96:D107)</f>
        <v>57903336.735259078</v>
      </c>
      <c r="E108" s="63">
        <f>SUM(E96:E107)</f>
        <v>16130131.026134202</v>
      </c>
      <c r="F108" s="63">
        <f>SUM(F96:F107)</f>
        <v>1304.6992194192519</v>
      </c>
      <c r="G108" s="104">
        <f>SUM(G96:G107)</f>
        <v>1529349.2032981783</v>
      </c>
      <c r="H108" s="63">
        <f>SUM(H96:H107)</f>
        <v>75564121.663910866</v>
      </c>
      <c r="I108" s="46" t="str">
        <f>"Sum of L "&amp;A96&amp;" to "&amp;A107&amp;""</f>
        <v>Sum of L 53 to 64</v>
      </c>
      <c r="J108" s="14"/>
    </row>
    <row r="109" spans="1:10">
      <c r="C109" s="93"/>
    </row>
    <row r="110" spans="1:10" ht="13">
      <c r="B110" s="1" t="s">
        <v>1242</v>
      </c>
    </row>
    <row r="111" spans="1:10" ht="13">
      <c r="B111" s="1"/>
    </row>
    <row r="112" spans="1:10" ht="14.5">
      <c r="B112" s="1"/>
      <c r="C112" s="363" t="s">
        <v>1395</v>
      </c>
    </row>
    <row r="113" spans="1:8" ht="13">
      <c r="E113" s="3" t="s">
        <v>171</v>
      </c>
      <c r="F113" s="3" t="s">
        <v>179</v>
      </c>
    </row>
    <row r="114" spans="1:8" ht="13">
      <c r="A114" s="2">
        <f>A108+1</f>
        <v>66</v>
      </c>
      <c r="D114" s="93" t="s">
        <v>353</v>
      </c>
      <c r="E114" s="7">
        <f>F21</f>
        <v>-820113818.9424268</v>
      </c>
      <c r="F114" s="112" t="str">
        <f>"Line "&amp;A21&amp;", Col 3"</f>
        <v>Line 13, Col 3</v>
      </c>
      <c r="G114" s="14"/>
      <c r="H114" s="14"/>
    </row>
    <row r="115" spans="1:8" ht="13">
      <c r="A115" s="2">
        <f>A114+1</f>
        <v>67</v>
      </c>
      <c r="D115" s="93" t="s">
        <v>351</v>
      </c>
      <c r="E115" s="371">
        <f>'2-IFPTRR'!D25</f>
        <v>9.3437363478466151E-2</v>
      </c>
      <c r="F115" s="46" t="str">
        <f>"2-IFPTRR, Line "&amp;'2-IFPTRR'!A25&amp;""</f>
        <v>2-IFPTRR, Line 16</v>
      </c>
      <c r="G115" s="14"/>
      <c r="H115" s="14"/>
    </row>
    <row r="116" spans="1:8" ht="13">
      <c r="A116" s="2">
        <f>A115+1</f>
        <v>68</v>
      </c>
      <c r="D116" s="93" t="s">
        <v>1436</v>
      </c>
      <c r="E116" s="7">
        <f>E114*E115</f>
        <v>-76629272.994236514</v>
      </c>
      <c r="F116" s="112" t="str">
        <f>"Line "&amp;A114&amp;" * Line "&amp;A115&amp;""</f>
        <v>Line 66 * Line 67</v>
      </c>
      <c r="G116" s="14"/>
      <c r="H116" s="14"/>
    </row>
    <row r="117" spans="1:8" ht="13">
      <c r="A117" s="456">
        <f>A116+1</f>
        <v>69</v>
      </c>
      <c r="D117" s="93" t="s">
        <v>1435</v>
      </c>
      <c r="E117" s="91">
        <f>E116*('28-FFU'!D22+'28-FFU'!E22)</f>
        <v>-1582944.2531940262</v>
      </c>
      <c r="F117" s="462" t="str">
        <f>"Line "&amp;A116&amp;" * (28-FFU, L"&amp;'28-FFU'!A22&amp;" FF Factor + U Factor)"</f>
        <v>Line 68 * (28-FFU, L5 FF Factor + U Factor)</v>
      </c>
      <c r="G117" s="14"/>
      <c r="H117" s="14"/>
    </row>
    <row r="118" spans="1:8" ht="13">
      <c r="A118" s="459">
        <f>A117+1</f>
        <v>70</v>
      </c>
      <c r="D118" s="93" t="s">
        <v>1437</v>
      </c>
      <c r="E118" s="7">
        <f>SUM(E116:E117)</f>
        <v>-78212217.247430533</v>
      </c>
      <c r="F118" s="112" t="str">
        <f>"Line "&amp;A116&amp;" + Line "&amp;A117&amp;""</f>
        <v>Line 68 + Line 69</v>
      </c>
      <c r="G118" s="14"/>
      <c r="H118" s="14"/>
    </row>
    <row r="119" spans="1:8" ht="13">
      <c r="A119" s="456"/>
      <c r="D119" s="93"/>
      <c r="E119" s="7"/>
    </row>
    <row r="120" spans="1:8" ht="14.5">
      <c r="A120" s="2"/>
      <c r="C120" s="363" t="s">
        <v>1396</v>
      </c>
      <c r="D120" s="93"/>
      <c r="E120" s="7"/>
      <c r="F120" s="16"/>
    </row>
    <row r="121" spans="1:8" ht="13">
      <c r="A121" s="2"/>
      <c r="D121" s="481" t="s">
        <v>175</v>
      </c>
      <c r="E121" s="481" t="s">
        <v>175</v>
      </c>
    </row>
    <row r="122" spans="1:8" ht="13">
      <c r="A122" s="2"/>
      <c r="C122" s="3" t="s">
        <v>224</v>
      </c>
      <c r="D122" s="3" t="s">
        <v>1466</v>
      </c>
      <c r="E122" s="3" t="s">
        <v>1467</v>
      </c>
      <c r="F122" s="3" t="s">
        <v>179</v>
      </c>
    </row>
    <row r="123" spans="1:8" ht="13">
      <c r="A123" s="2">
        <f>A118+1</f>
        <v>71</v>
      </c>
      <c r="C123" s="93" t="s">
        <v>1244</v>
      </c>
      <c r="D123" s="59">
        <f t="shared" ref="D123:D131" si="16">$E$116*(F9/$F$21)</f>
        <v>712419.81678186497</v>
      </c>
      <c r="E123" s="59">
        <f t="shared" ref="E123:E131" si="17">$E$118*(F9/$F$21)</f>
        <v>727136.39715345751</v>
      </c>
      <c r="F123" s="46" t="s">
        <v>1166</v>
      </c>
      <c r="G123" s="14"/>
    </row>
    <row r="124" spans="1:8" ht="13">
      <c r="A124" s="2">
        <f t="shared" ref="A124:A135" si="18">A123+1</f>
        <v>72</v>
      </c>
      <c r="C124" s="93" t="s">
        <v>1245</v>
      </c>
      <c r="D124" s="59">
        <f t="shared" si="16"/>
        <v>0</v>
      </c>
      <c r="E124" s="59">
        <f t="shared" si="17"/>
        <v>0</v>
      </c>
      <c r="F124" s="46" t="s">
        <v>1166</v>
      </c>
      <c r="G124" s="14"/>
    </row>
    <row r="125" spans="1:8" ht="13">
      <c r="A125" s="2">
        <f t="shared" si="18"/>
        <v>73</v>
      </c>
      <c r="C125" s="461" t="s">
        <v>1249</v>
      </c>
      <c r="D125" s="59">
        <f t="shared" si="16"/>
        <v>227778.72969200555</v>
      </c>
      <c r="E125" s="59">
        <f t="shared" si="17"/>
        <v>232483.99462637227</v>
      </c>
      <c r="F125" s="46" t="s">
        <v>1166</v>
      </c>
      <c r="G125" s="14"/>
    </row>
    <row r="126" spans="1:8" ht="13">
      <c r="A126" s="2">
        <f t="shared" si="18"/>
        <v>74</v>
      </c>
      <c r="C126" s="461" t="s">
        <v>1250</v>
      </c>
      <c r="D126" s="59">
        <f t="shared" si="16"/>
        <v>-60812336.047383025</v>
      </c>
      <c r="E126" s="59">
        <f t="shared" si="17"/>
        <v>-62068547.076251179</v>
      </c>
      <c r="F126" s="46" t="s">
        <v>1166</v>
      </c>
      <c r="G126" s="14"/>
    </row>
    <row r="127" spans="1:8" ht="13">
      <c r="A127" s="2">
        <f t="shared" si="18"/>
        <v>75</v>
      </c>
      <c r="C127" s="93" t="s">
        <v>1246</v>
      </c>
      <c r="D127" s="59">
        <f t="shared" si="16"/>
        <v>0</v>
      </c>
      <c r="E127" s="59">
        <f t="shared" si="17"/>
        <v>0</v>
      </c>
      <c r="F127" s="46" t="s">
        <v>1166</v>
      </c>
      <c r="G127" s="14"/>
    </row>
    <row r="128" spans="1:8" ht="13">
      <c r="A128" s="2">
        <f t="shared" si="18"/>
        <v>76</v>
      </c>
      <c r="C128" s="93" t="s">
        <v>1247</v>
      </c>
      <c r="D128" s="59">
        <f t="shared" si="16"/>
        <v>0</v>
      </c>
      <c r="E128" s="59">
        <f t="shared" si="17"/>
        <v>0</v>
      </c>
      <c r="F128" s="46" t="s">
        <v>1166</v>
      </c>
      <c r="G128" s="14"/>
    </row>
    <row r="129" spans="1:8" ht="13">
      <c r="A129" s="2">
        <f t="shared" si="18"/>
        <v>77</v>
      </c>
      <c r="C129" s="93" t="s">
        <v>1248</v>
      </c>
      <c r="D129" s="59">
        <f t="shared" si="16"/>
        <v>-497818.55457998352</v>
      </c>
      <c r="E129" s="59">
        <f t="shared" si="17"/>
        <v>-508102.07926075411</v>
      </c>
      <c r="F129" s="46" t="s">
        <v>1166</v>
      </c>
      <c r="G129" s="14"/>
    </row>
    <row r="130" spans="1:8" ht="13">
      <c r="A130" s="2">
        <f t="shared" si="18"/>
        <v>78</v>
      </c>
      <c r="C130" s="842" t="s">
        <v>2425</v>
      </c>
      <c r="D130" s="59">
        <f t="shared" si="16"/>
        <v>-11866882.073790131</v>
      </c>
      <c r="E130" s="59">
        <f t="shared" si="17"/>
        <v>-12112018.325878156</v>
      </c>
      <c r="F130" s="46" t="s">
        <v>1166</v>
      </c>
      <c r="G130" s="14"/>
    </row>
    <row r="131" spans="1:8" ht="13">
      <c r="A131" s="2">
        <f t="shared" si="18"/>
        <v>79</v>
      </c>
      <c r="C131" s="842" t="s">
        <v>2426</v>
      </c>
      <c r="D131" s="59">
        <f t="shared" si="16"/>
        <v>147373.05810109383</v>
      </c>
      <c r="E131" s="59">
        <f t="shared" si="17"/>
        <v>150417.36905800842</v>
      </c>
      <c r="F131" s="46" t="s">
        <v>1166</v>
      </c>
      <c r="G131" s="14"/>
    </row>
    <row r="132" spans="1:8" ht="13">
      <c r="A132" s="2">
        <f t="shared" si="18"/>
        <v>80</v>
      </c>
      <c r="C132" s="842" t="s">
        <v>2427</v>
      </c>
      <c r="D132" s="104">
        <f t="shared" ref="D132" si="19">$E$116*(F18/$F$21)</f>
        <v>-8564209.6114116926</v>
      </c>
      <c r="E132" s="104">
        <f t="shared" ref="E132" si="20">$E$118*(F18/$F$21)</f>
        <v>-8741121.9825959112</v>
      </c>
      <c r="F132" s="46" t="s">
        <v>1166</v>
      </c>
      <c r="G132" s="14"/>
    </row>
    <row r="133" spans="1:8" s="955" customFormat="1" ht="13">
      <c r="A133" s="549">
        <f t="shared" si="18"/>
        <v>81</v>
      </c>
      <c r="C133" s="1433" t="s">
        <v>2806</v>
      </c>
      <c r="D133" s="104">
        <f t="shared" ref="D133" si="21">$E$116*(F19/$F$21)</f>
        <v>4024401.6883533504</v>
      </c>
      <c r="E133" s="104">
        <f t="shared" ref="E133" si="22">$E$118*(F19/$F$21)</f>
        <v>4107534.4557176237</v>
      </c>
      <c r="F133" s="46" t="s">
        <v>1166</v>
      </c>
      <c r="G133" s="14"/>
    </row>
    <row r="134" spans="1:8" ht="13">
      <c r="A134" s="549">
        <f t="shared" si="18"/>
        <v>82</v>
      </c>
      <c r="C134" s="396"/>
      <c r="D134" s="451" t="s">
        <v>76</v>
      </c>
      <c r="E134" s="451" t="s">
        <v>76</v>
      </c>
      <c r="F134" s="46" t="s">
        <v>1166</v>
      </c>
      <c r="G134" s="14"/>
    </row>
    <row r="135" spans="1:8" ht="13">
      <c r="A135" s="549">
        <f t="shared" si="18"/>
        <v>83</v>
      </c>
      <c r="C135" s="93" t="s">
        <v>197</v>
      </c>
      <c r="D135" s="7">
        <f>SUM(D123:D134)</f>
        <v>-76629272.994236529</v>
      </c>
      <c r="E135" s="7">
        <f>SUM(E123:E134)</f>
        <v>-78212217.247430518</v>
      </c>
      <c r="F135" s="46" t="str">
        <f>"Sum of Lines "&amp;A123&amp;" to "&amp;A134&amp;""</f>
        <v>Sum of Lines 71 to 82</v>
      </c>
      <c r="G135" s="14"/>
    </row>
    <row r="137" spans="1:8" ht="13">
      <c r="B137" s="1" t="s">
        <v>1472</v>
      </c>
    </row>
    <row r="138" spans="1:8" ht="13">
      <c r="B138" s="1"/>
    </row>
    <row r="139" spans="1:8" ht="14.5">
      <c r="C139" s="363" t="s">
        <v>1395</v>
      </c>
    </row>
    <row r="140" spans="1:8" ht="13">
      <c r="E140" s="3" t="s">
        <v>171</v>
      </c>
      <c r="F140" s="3" t="s">
        <v>179</v>
      </c>
      <c r="H140" s="1"/>
    </row>
    <row r="141" spans="1:8" ht="13">
      <c r="A141" s="2">
        <f>A135+1</f>
        <v>84</v>
      </c>
      <c r="D141" s="93" t="s">
        <v>1251</v>
      </c>
      <c r="E141" s="7">
        <f>SUM(D65:D68)</f>
        <v>91025636.749021217</v>
      </c>
      <c r="F141" s="112" t="str">
        <f>"Sum Line "&amp;A65&amp;" to "&amp;A68&amp;""</f>
        <v>Sum Line 34 to 37</v>
      </c>
      <c r="G141" s="14"/>
    </row>
    <row r="142" spans="1:8" ht="13">
      <c r="A142" s="2">
        <f t="shared" ref="A142:A149" si="23">A141+1</f>
        <v>85</v>
      </c>
      <c r="D142" s="461" t="s">
        <v>1464</v>
      </c>
      <c r="E142" s="7">
        <f>E116</f>
        <v>-76629272.994236514</v>
      </c>
      <c r="F142" s="112" t="str">
        <f>"Line "&amp;A116&amp;""</f>
        <v>Line 68</v>
      </c>
      <c r="G142" s="14"/>
    </row>
    <row r="143" spans="1:8" ht="13">
      <c r="A143" s="2">
        <f t="shared" si="23"/>
        <v>86</v>
      </c>
      <c r="D143" s="93" t="s">
        <v>1252</v>
      </c>
      <c r="E143" s="7">
        <f>SUM(E141:E142)</f>
        <v>14396363.754784703</v>
      </c>
      <c r="F143" s="112" t="str">
        <f>"Line "&amp;A141&amp;" + Line "&amp;A142&amp;""</f>
        <v>Line 84 + Line 85</v>
      </c>
      <c r="G143" s="14"/>
    </row>
    <row r="144" spans="1:8" ht="13">
      <c r="A144" s="2">
        <f t="shared" si="23"/>
        <v>87</v>
      </c>
      <c r="D144" s="93" t="s">
        <v>1237</v>
      </c>
      <c r="E144" s="8">
        <f>'28-FFU'!D22</f>
        <v>9.2480778683301876E-3</v>
      </c>
      <c r="F144" s="46" t="str">
        <f>"28-FFU, Line "&amp;'28-FFU'!A22&amp;""</f>
        <v>28-FFU, Line 5</v>
      </c>
      <c r="G144" s="14"/>
    </row>
    <row r="145" spans="1:8" ht="13">
      <c r="A145" s="2">
        <f t="shared" si="23"/>
        <v>88</v>
      </c>
      <c r="D145" s="93" t="s">
        <v>1238</v>
      </c>
      <c r="E145" s="8">
        <f>'28-FFU'!E22</f>
        <v>1.1409096489999999E-2</v>
      </c>
      <c r="F145" s="46" t="str">
        <f>"28-FFU, Line "&amp;'28-FFU'!A22&amp;""</f>
        <v>28-FFU, Line 5</v>
      </c>
      <c r="G145" s="14"/>
    </row>
    <row r="146" spans="1:8" ht="13">
      <c r="A146" s="2">
        <f t="shared" si="23"/>
        <v>89</v>
      </c>
      <c r="D146" s="461" t="s">
        <v>1470</v>
      </c>
      <c r="E146" s="7">
        <f>E143*E144</f>
        <v>133138.69302505528</v>
      </c>
      <c r="F146" s="112" t="str">
        <f>"Line "&amp;A143&amp;" * Line "&amp;A144&amp;""</f>
        <v>Line 86 * Line 87</v>
      </c>
      <c r="G146" s="14"/>
    </row>
    <row r="147" spans="1:8" ht="13">
      <c r="A147" s="482">
        <f t="shared" si="23"/>
        <v>90</v>
      </c>
      <c r="D147" s="461" t="s">
        <v>1471</v>
      </c>
      <c r="E147" s="7">
        <f>E143*E145</f>
        <v>164249.50318347738</v>
      </c>
      <c r="F147" s="112" t="str">
        <f>"Line "&amp;A143&amp;" * Line "&amp;A145&amp;""</f>
        <v>Line 86 * Line 88</v>
      </c>
      <c r="G147" s="14"/>
    </row>
    <row r="148" spans="1:8" ht="13">
      <c r="A148" s="482">
        <f t="shared" si="23"/>
        <v>91</v>
      </c>
      <c r="D148" s="93" t="s">
        <v>1253</v>
      </c>
      <c r="E148" s="7">
        <f>E143+E146+E147</f>
        <v>14693751.950993234</v>
      </c>
      <c r="F148" s="46" t="str">
        <f>"Line "&amp;A143&amp;" + Line "&amp;A146&amp;" + Line "&amp;A147&amp;""</f>
        <v>Line 86 + Line 89 + Line 90</v>
      </c>
      <c r="G148" s="14"/>
    </row>
    <row r="149" spans="1:8" ht="13">
      <c r="A149" s="482">
        <f t="shared" si="23"/>
        <v>92</v>
      </c>
      <c r="D149" s="461" t="s">
        <v>1469</v>
      </c>
      <c r="E149" s="7">
        <f>E143+E146</f>
        <v>14529502.447809758</v>
      </c>
      <c r="F149" s="46" t="str">
        <f>"Line "&amp;A143&amp;" + Line "&amp;A146&amp;""</f>
        <v>Line 86 + Line 89</v>
      </c>
      <c r="G149" s="14"/>
    </row>
    <row r="151" spans="1:8" ht="14.5">
      <c r="C151" s="363" t="s">
        <v>1397</v>
      </c>
    </row>
    <row r="152" spans="1:8" ht="14.5">
      <c r="C152" s="363"/>
      <c r="D152" s="84" t="s">
        <v>358</v>
      </c>
      <c r="E152" s="84" t="s">
        <v>342</v>
      </c>
      <c r="F152" s="84" t="s">
        <v>343</v>
      </c>
      <c r="G152" s="84" t="s">
        <v>344</v>
      </c>
    </row>
    <row r="153" spans="1:8" ht="12.75" customHeight="1">
      <c r="D153" s="237" t="s">
        <v>1389</v>
      </c>
      <c r="E153" s="237" t="s">
        <v>1089</v>
      </c>
    </row>
    <row r="154" spans="1:8" ht="12.75" customHeight="1">
      <c r="D154" s="3" t="s">
        <v>1466</v>
      </c>
      <c r="E154" s="3" t="s">
        <v>1466</v>
      </c>
      <c r="F154" s="3" t="s">
        <v>1398</v>
      </c>
      <c r="G154" s="238" t="s">
        <v>196</v>
      </c>
      <c r="H154" s="3" t="s">
        <v>179</v>
      </c>
    </row>
    <row r="155" spans="1:8" ht="13">
      <c r="A155" s="482">
        <f>A149+1</f>
        <v>93</v>
      </c>
      <c r="C155" s="93" t="s">
        <v>1244</v>
      </c>
      <c r="D155" s="63">
        <f t="shared" ref="D155:D163" si="24">D78+E78+F78</f>
        <v>16292.203946337313</v>
      </c>
      <c r="E155" s="63">
        <f t="shared" ref="E155:E163" si="25">D123</f>
        <v>712419.81678186497</v>
      </c>
      <c r="F155" s="63">
        <f>(D155+E155)*('28-FFU'!$D$22+'28-FFU'!$E$22)</f>
        <v>15053.131269193595</v>
      </c>
      <c r="G155" s="63">
        <f>SUM(D155:F155)</f>
        <v>743765.15199739591</v>
      </c>
      <c r="H155" s="46" t="s">
        <v>1168</v>
      </c>
    </row>
    <row r="156" spans="1:8" ht="13">
      <c r="A156" s="482">
        <f t="shared" ref="A156:A167" si="26">A155+1</f>
        <v>94</v>
      </c>
      <c r="C156" s="93" t="s">
        <v>1245</v>
      </c>
      <c r="D156" s="63">
        <f t="shared" si="24"/>
        <v>0</v>
      </c>
      <c r="E156" s="63">
        <f t="shared" si="25"/>
        <v>0</v>
      </c>
      <c r="F156" s="63">
        <f>(D156+E156)*('28-FFU'!$D$22+'28-FFU'!$E$22)</f>
        <v>0</v>
      </c>
      <c r="G156" s="63">
        <f t="shared" ref="G156:G163" si="27">SUM(D156:F156)</f>
        <v>0</v>
      </c>
      <c r="H156" s="46" t="s">
        <v>1168</v>
      </c>
    </row>
    <row r="157" spans="1:8" ht="13">
      <c r="A157" s="482">
        <f t="shared" si="26"/>
        <v>95</v>
      </c>
      <c r="C157" s="461" t="s">
        <v>1249</v>
      </c>
      <c r="D157" s="63">
        <f t="shared" si="24"/>
        <v>539373.99413199071</v>
      </c>
      <c r="E157" s="63">
        <f t="shared" si="25"/>
        <v>227778.72969200555</v>
      </c>
      <c r="F157" s="63">
        <f>(D157+E157)*('28-FFU'!$D$22+'28-FFU'!$E$22)</f>
        <v>15847.207575500213</v>
      </c>
      <c r="G157" s="63">
        <f t="shared" si="27"/>
        <v>782999.93139949651</v>
      </c>
      <c r="H157" s="46" t="s">
        <v>1168</v>
      </c>
    </row>
    <row r="158" spans="1:8" ht="13">
      <c r="A158" s="482">
        <f t="shared" si="26"/>
        <v>96</v>
      </c>
      <c r="C158" s="461" t="s">
        <v>1250</v>
      </c>
      <c r="D158" s="63">
        <f t="shared" si="24"/>
        <v>60812336.04738304</v>
      </c>
      <c r="E158" s="63">
        <f t="shared" si="25"/>
        <v>-60812336.047383025</v>
      </c>
      <c r="F158" s="63">
        <f>(D158+E158)*('28-FFU'!$D$22+'28-FFU'!$E$22)</f>
        <v>3.0781588492289462E-10</v>
      </c>
      <c r="G158" s="63">
        <f t="shared" si="27"/>
        <v>1.520897707877055E-8</v>
      </c>
      <c r="H158" s="46" t="s">
        <v>1168</v>
      </c>
    </row>
    <row r="159" spans="1:8" ht="13">
      <c r="A159" s="482">
        <f t="shared" si="26"/>
        <v>97</v>
      </c>
      <c r="C159" s="93" t="s">
        <v>1246</v>
      </c>
      <c r="D159" s="63">
        <f t="shared" si="24"/>
        <v>0</v>
      </c>
      <c r="E159" s="63">
        <f t="shared" si="25"/>
        <v>0</v>
      </c>
      <c r="F159" s="63">
        <f>(D159+E159)*('28-FFU'!$D$22+'28-FFU'!$E$22)</f>
        <v>0</v>
      </c>
      <c r="G159" s="63">
        <f t="shared" si="27"/>
        <v>0</v>
      </c>
      <c r="H159" s="46" t="s">
        <v>1168</v>
      </c>
    </row>
    <row r="160" spans="1:8" ht="13">
      <c r="A160" s="482">
        <f t="shared" si="26"/>
        <v>98</v>
      </c>
      <c r="C160" s="93" t="s">
        <v>1247</v>
      </c>
      <c r="D160" s="63">
        <f t="shared" si="24"/>
        <v>0</v>
      </c>
      <c r="E160" s="63">
        <f t="shared" si="25"/>
        <v>0</v>
      </c>
      <c r="F160" s="63">
        <f>(D160+E160)*('28-FFU'!$D$22+'28-FFU'!$E$22)</f>
        <v>0</v>
      </c>
      <c r="G160" s="63">
        <f t="shared" si="27"/>
        <v>0</v>
      </c>
      <c r="H160" s="46" t="s">
        <v>1168</v>
      </c>
    </row>
    <row r="161" spans="1:8" ht="13">
      <c r="A161" s="482">
        <f t="shared" si="26"/>
        <v>99</v>
      </c>
      <c r="C161" s="93" t="s">
        <v>1248</v>
      </c>
      <c r="D161" s="63">
        <f t="shared" si="24"/>
        <v>497818.55457998341</v>
      </c>
      <c r="E161" s="63">
        <f t="shared" si="25"/>
        <v>-497818.55457998352</v>
      </c>
      <c r="F161" s="63">
        <f>(D161+E161)*('28-FFU'!$D$22+'28-FFU'!$E$22)</f>
        <v>-2.4048116009601142E-12</v>
      </c>
      <c r="G161" s="63">
        <f t="shared" si="27"/>
        <v>-1.1882013342789492E-10</v>
      </c>
      <c r="H161" s="46" t="s">
        <v>1168</v>
      </c>
    </row>
    <row r="162" spans="1:8" ht="13">
      <c r="A162" s="482">
        <f t="shared" si="26"/>
        <v>100</v>
      </c>
      <c r="C162" s="842" t="s">
        <v>2425</v>
      </c>
      <c r="D162" s="63">
        <f t="shared" si="24"/>
        <v>12150985.707356006</v>
      </c>
      <c r="E162" s="63">
        <f t="shared" si="25"/>
        <v>-11866882.073790131</v>
      </c>
      <c r="F162" s="63">
        <f>(D162+E162)*('28-FFU'!$D$22+'28-FFU'!$E$22)</f>
        <v>5868.7782944054234</v>
      </c>
      <c r="G162" s="63">
        <f t="shared" si="27"/>
        <v>289972.4118602802</v>
      </c>
      <c r="H162" s="46" t="s">
        <v>1168</v>
      </c>
    </row>
    <row r="163" spans="1:8" ht="13">
      <c r="A163" s="482">
        <f t="shared" si="26"/>
        <v>101</v>
      </c>
      <c r="C163" s="842" t="s">
        <v>2426</v>
      </c>
      <c r="D163" s="63">
        <f t="shared" si="24"/>
        <v>2225528.4384755855</v>
      </c>
      <c r="E163" s="63">
        <f t="shared" si="25"/>
        <v>147373.05810109383</v>
      </c>
      <c r="F163" s="63">
        <f>(D163+E163)*('28-FFU'!$D$22+'28-FFU'!$E$22)</f>
        <v>49017.439949927102</v>
      </c>
      <c r="G163" s="63">
        <f t="shared" si="27"/>
        <v>2421918.9365266063</v>
      </c>
      <c r="H163" s="46" t="s">
        <v>1168</v>
      </c>
    </row>
    <row r="164" spans="1:8" ht="13">
      <c r="A164" s="482">
        <f t="shared" si="26"/>
        <v>102</v>
      </c>
      <c r="C164" s="842" t="s">
        <v>2427</v>
      </c>
      <c r="D164" s="63">
        <f t="shared" ref="D164:D165" si="28">D87+E87+F87</f>
        <v>12577436.816792367</v>
      </c>
      <c r="E164" s="63">
        <f t="shared" ref="E164" si="29">D132</f>
        <v>-8564209.6114116926</v>
      </c>
      <c r="F164" s="63">
        <f>(D164+E164)*('28-FFU'!$D$22+'28-FFU'!$E$22)</f>
        <v>82901.934121142782</v>
      </c>
      <c r="G164" s="63">
        <f t="shared" ref="G164" si="30">SUM(D164:F164)</f>
        <v>4096129.1395018171</v>
      </c>
      <c r="H164" s="46" t="s">
        <v>1168</v>
      </c>
    </row>
    <row r="165" spans="1:8" s="955" customFormat="1" ht="13">
      <c r="A165" s="549">
        <f t="shared" si="26"/>
        <v>103</v>
      </c>
      <c r="C165" s="1433" t="s">
        <v>2806</v>
      </c>
      <c r="D165" s="63">
        <f t="shared" si="28"/>
        <v>2205864.986355898</v>
      </c>
      <c r="E165" s="63">
        <f t="shared" ref="E165" si="31">D133</f>
        <v>4024401.6883533504</v>
      </c>
      <c r="F165" s="63">
        <f>(D165+E165)*('28-FFU'!$D$22+'28-FFU'!$E$22)</f>
        <v>128699.70499836295</v>
      </c>
      <c r="G165" s="63">
        <f t="shared" ref="G165" si="32">SUM(D165:F165)</f>
        <v>6358966.3797076112</v>
      </c>
      <c r="H165" s="46" t="s">
        <v>1168</v>
      </c>
    </row>
    <row r="166" spans="1:8" ht="13">
      <c r="A166" s="549">
        <f t="shared" si="26"/>
        <v>104</v>
      </c>
      <c r="C166" s="396"/>
      <c r="D166" s="1149" t="s">
        <v>76</v>
      </c>
      <c r="E166" s="1149" t="s">
        <v>76</v>
      </c>
      <c r="F166" s="1149" t="s">
        <v>76</v>
      </c>
      <c r="G166" s="1149" t="s">
        <v>76</v>
      </c>
      <c r="H166" s="46" t="s">
        <v>1168</v>
      </c>
    </row>
    <row r="167" spans="1:8" ht="13">
      <c r="A167" s="549">
        <f t="shared" si="26"/>
        <v>105</v>
      </c>
      <c r="C167" s="93" t="s">
        <v>197</v>
      </c>
      <c r="D167" s="63">
        <f>SUM(D155:D166)</f>
        <v>91025636.749021202</v>
      </c>
      <c r="E167" s="63">
        <f>SUM(E155:E166)</f>
        <v>-76629272.994236529</v>
      </c>
      <c r="F167" s="63">
        <f>SUM(F155:F166)</f>
        <v>297388.19620853238</v>
      </c>
      <c r="G167" s="63">
        <f>SUM(G155:G166)</f>
        <v>14693751.950993221</v>
      </c>
      <c r="H167" s="14"/>
    </row>
    <row r="169" spans="1:8" ht="14.5">
      <c r="C169" s="363" t="s">
        <v>1465</v>
      </c>
    </row>
    <row r="170" spans="1:8" ht="14.5">
      <c r="C170" s="363"/>
    </row>
    <row r="171" spans="1:8" ht="13">
      <c r="D171" s="84" t="s">
        <v>358</v>
      </c>
      <c r="E171" s="84" t="s">
        <v>342</v>
      </c>
      <c r="F171" s="84" t="s">
        <v>343</v>
      </c>
      <c r="G171" s="84" t="s">
        <v>344</v>
      </c>
    </row>
    <row r="172" spans="1:8" ht="12.75" customHeight="1">
      <c r="D172" s="237" t="s">
        <v>1389</v>
      </c>
      <c r="E172" s="237" t="s">
        <v>1089</v>
      </c>
      <c r="F172" s="84"/>
      <c r="G172" s="84"/>
    </row>
    <row r="173" spans="1:8" ht="12.75" customHeight="1">
      <c r="D173" s="3" t="s">
        <v>1466</v>
      </c>
      <c r="E173" s="3" t="s">
        <v>1466</v>
      </c>
      <c r="F173" s="3" t="s">
        <v>1440</v>
      </c>
      <c r="G173" s="238" t="s">
        <v>196</v>
      </c>
      <c r="H173" s="3" t="s">
        <v>179</v>
      </c>
    </row>
    <row r="174" spans="1:8" ht="13">
      <c r="A174" s="482">
        <f>A167+1</f>
        <v>106</v>
      </c>
      <c r="C174" s="93" t="s">
        <v>1244</v>
      </c>
      <c r="D174" s="63">
        <f t="shared" ref="D174:D182" si="33">D78+E78+F78</f>
        <v>16292.203946337313</v>
      </c>
      <c r="E174" s="63">
        <f t="shared" ref="E174:E182" si="34">D123</f>
        <v>712419.81678186497</v>
      </c>
      <c r="F174" s="63">
        <f>(D174+E174)*('28-FFU'!$D$22)</f>
        <v>6739.185511282657</v>
      </c>
      <c r="G174" s="63">
        <f>SUM(D174:F174)</f>
        <v>735451.20623948495</v>
      </c>
      <c r="H174" s="467" t="s">
        <v>1169</v>
      </c>
    </row>
    <row r="175" spans="1:8" ht="13">
      <c r="A175" s="482">
        <f t="shared" ref="A175:A186" si="35">A174+1</f>
        <v>107</v>
      </c>
      <c r="C175" s="93" t="s">
        <v>1245</v>
      </c>
      <c r="D175" s="63">
        <f t="shared" si="33"/>
        <v>0</v>
      </c>
      <c r="E175" s="63">
        <f t="shared" si="34"/>
        <v>0</v>
      </c>
      <c r="F175" s="63">
        <f>(D175+E175)*('28-FFU'!$D$22)</f>
        <v>0</v>
      </c>
      <c r="G175" s="63">
        <f t="shared" ref="G175:G182" si="36">SUM(D175:F175)</f>
        <v>0</v>
      </c>
      <c r="H175" s="467" t="s">
        <v>1169</v>
      </c>
    </row>
    <row r="176" spans="1:8" ht="13">
      <c r="A176" s="482">
        <f t="shared" si="35"/>
        <v>108</v>
      </c>
      <c r="C176" s="461" t="s">
        <v>1249</v>
      </c>
      <c r="D176" s="63">
        <f t="shared" si="33"/>
        <v>539373.99413199071</v>
      </c>
      <c r="E176" s="63">
        <f t="shared" si="34"/>
        <v>227778.72969200555</v>
      </c>
      <c r="F176" s="63">
        <f>(D176+E176)*('28-FFU'!$D$22)</f>
        <v>7094.6881268259203</v>
      </c>
      <c r="G176" s="63">
        <f t="shared" si="36"/>
        <v>774247.41195082222</v>
      </c>
      <c r="H176" s="467" t="s">
        <v>1169</v>
      </c>
    </row>
    <row r="177" spans="1:11" ht="13">
      <c r="A177" s="482">
        <f t="shared" si="35"/>
        <v>109</v>
      </c>
      <c r="C177" s="461" t="s">
        <v>1250</v>
      </c>
      <c r="D177" s="63">
        <f t="shared" si="33"/>
        <v>60812336.04738304</v>
      </c>
      <c r="E177" s="63">
        <f t="shared" si="34"/>
        <v>-60812336.047383025</v>
      </c>
      <c r="F177" s="63">
        <f>(D177+E177)*('28-FFU'!$D$22)</f>
        <v>1.3780709904924315E-10</v>
      </c>
      <c r="G177" s="63">
        <f t="shared" si="36"/>
        <v>1.5038968292896899E-8</v>
      </c>
      <c r="H177" s="467" t="s">
        <v>1169</v>
      </c>
    </row>
    <row r="178" spans="1:11" ht="13">
      <c r="A178" s="482">
        <f t="shared" si="35"/>
        <v>110</v>
      </c>
      <c r="C178" s="93" t="s">
        <v>1246</v>
      </c>
      <c r="D178" s="63">
        <f t="shared" si="33"/>
        <v>0</v>
      </c>
      <c r="E178" s="63">
        <f t="shared" si="34"/>
        <v>0</v>
      </c>
      <c r="F178" s="63">
        <f>(D178+E178)*('28-FFU'!$D$22)</f>
        <v>0</v>
      </c>
      <c r="G178" s="63">
        <f t="shared" si="36"/>
        <v>0</v>
      </c>
      <c r="H178" s="467" t="s">
        <v>1169</v>
      </c>
    </row>
    <row r="179" spans="1:11" ht="13">
      <c r="A179" s="482">
        <f t="shared" si="35"/>
        <v>111</v>
      </c>
      <c r="C179" s="93" t="s">
        <v>1247</v>
      </c>
      <c r="D179" s="63">
        <f t="shared" si="33"/>
        <v>0</v>
      </c>
      <c r="E179" s="63">
        <f t="shared" si="34"/>
        <v>0</v>
      </c>
      <c r="F179" s="63">
        <f>(D179+E179)*('28-FFU'!$D$22)</f>
        <v>0</v>
      </c>
      <c r="G179" s="63">
        <f t="shared" si="36"/>
        <v>0</v>
      </c>
      <c r="H179" s="467" t="s">
        <v>1169</v>
      </c>
    </row>
    <row r="180" spans="1:11" ht="13">
      <c r="A180" s="482">
        <f t="shared" si="35"/>
        <v>112</v>
      </c>
      <c r="C180" s="93" t="s">
        <v>1248</v>
      </c>
      <c r="D180" s="63">
        <f t="shared" si="33"/>
        <v>497818.55457998341</v>
      </c>
      <c r="E180" s="63">
        <f t="shared" si="34"/>
        <v>-497818.55457998352</v>
      </c>
      <c r="F180" s="63">
        <f>(D180+E180)*('28-FFU'!$D$22)</f>
        <v>-1.0766179613222121E-12</v>
      </c>
      <c r="G180" s="63">
        <f t="shared" si="36"/>
        <v>-1.1749193978825702E-10</v>
      </c>
      <c r="H180" s="467" t="s">
        <v>1169</v>
      </c>
    </row>
    <row r="181" spans="1:11" ht="13">
      <c r="A181" s="482">
        <f t="shared" si="35"/>
        <v>113</v>
      </c>
      <c r="C181" s="842" t="s">
        <v>2425</v>
      </c>
      <c r="D181" s="63">
        <f t="shared" si="33"/>
        <v>12150985.707356006</v>
      </c>
      <c r="E181" s="63">
        <f t="shared" si="34"/>
        <v>-11866882.073790131</v>
      </c>
      <c r="F181" s="63">
        <f>(D181+E181)*('28-FFU'!$D$22)</f>
        <v>2627.4125258927561</v>
      </c>
      <c r="G181" s="63">
        <f t="shared" si="36"/>
        <v>286731.04609176755</v>
      </c>
      <c r="H181" s="467" t="s">
        <v>1169</v>
      </c>
    </row>
    <row r="182" spans="1:11" ht="13">
      <c r="A182" s="482">
        <f t="shared" si="35"/>
        <v>114</v>
      </c>
      <c r="C182" s="842" t="s">
        <v>2426</v>
      </c>
      <c r="D182" s="63">
        <f t="shared" si="33"/>
        <v>2225528.4384755855</v>
      </c>
      <c r="E182" s="63">
        <f t="shared" si="34"/>
        <v>147373.05810109383</v>
      </c>
      <c r="F182" s="63">
        <f>(D182+E182)*('28-FFU'!$D$22)</f>
        <v>21944.777814218371</v>
      </c>
      <c r="G182" s="63">
        <f t="shared" si="36"/>
        <v>2394846.2743908977</v>
      </c>
      <c r="H182" s="467" t="s">
        <v>1169</v>
      </c>
    </row>
    <row r="183" spans="1:11" ht="13">
      <c r="A183" s="482">
        <f t="shared" si="35"/>
        <v>115</v>
      </c>
      <c r="C183" s="842" t="s">
        <v>2427</v>
      </c>
      <c r="D183" s="63">
        <f t="shared" ref="D183" si="37">D87+E87+F87</f>
        <v>12577436.816792367</v>
      </c>
      <c r="E183" s="63">
        <f t="shared" ref="E183" si="38">D132</f>
        <v>-8564209.6114116926</v>
      </c>
      <c r="F183" s="63">
        <f>(D183+E183)*('28-FFU'!$D$22)</f>
        <v>37114.637698661623</v>
      </c>
      <c r="G183" s="63">
        <f t="shared" ref="G183" si="39">SUM(D183:F183)</f>
        <v>4050341.843079336</v>
      </c>
      <c r="H183" s="467" t="s">
        <v>1169</v>
      </c>
    </row>
    <row r="184" spans="1:11" s="955" customFormat="1" ht="13">
      <c r="A184" s="549">
        <f t="shared" si="35"/>
        <v>116</v>
      </c>
      <c r="C184" s="1433" t="s">
        <v>2806</v>
      </c>
      <c r="D184" s="63">
        <f t="shared" ref="D184" si="40">D88+E88+F88</f>
        <v>2205864.986355898</v>
      </c>
      <c r="E184" s="63">
        <f t="shared" ref="E184" si="41">D133</f>
        <v>4024401.6883533504</v>
      </c>
      <c r="F184" s="63">
        <f>(D184+E184)*('28-FFU'!$D$22)</f>
        <v>57617.991348173709</v>
      </c>
      <c r="G184" s="63">
        <f t="shared" ref="G184" si="42">SUM(D184:F184)</f>
        <v>6287884.6660574218</v>
      </c>
      <c r="H184" s="467" t="s">
        <v>1169</v>
      </c>
    </row>
    <row r="185" spans="1:11" ht="13">
      <c r="A185" s="549">
        <f t="shared" si="35"/>
        <v>117</v>
      </c>
      <c r="C185" s="396"/>
      <c r="D185" s="1149" t="s">
        <v>76</v>
      </c>
      <c r="E185" s="1149" t="s">
        <v>76</v>
      </c>
      <c r="F185" s="1149" t="s">
        <v>76</v>
      </c>
      <c r="G185" s="1149" t="s">
        <v>76</v>
      </c>
      <c r="H185" s="467" t="s">
        <v>1169</v>
      </c>
    </row>
    <row r="186" spans="1:11" ht="13">
      <c r="A186" s="549">
        <f t="shared" si="35"/>
        <v>118</v>
      </c>
      <c r="C186" s="93" t="s">
        <v>197</v>
      </c>
      <c r="D186" s="63">
        <f>SUM(D174:D185)</f>
        <v>91025636.749021202</v>
      </c>
      <c r="E186" s="63">
        <f>SUM(E174:E185)</f>
        <v>-76629272.994236529</v>
      </c>
      <c r="F186" s="63">
        <f>SUM(F174:F185)</f>
        <v>133138.69302505517</v>
      </c>
      <c r="G186" s="63">
        <f>SUM(G174:G185)</f>
        <v>14529502.447809745</v>
      </c>
    </row>
    <row r="188" spans="1:11" ht="13">
      <c r="B188" s="1" t="s">
        <v>230</v>
      </c>
    </row>
    <row r="189" spans="1:11">
      <c r="B189" s="108" t="str">
        <f>"1) (Sum Lines "&amp;A65&amp;" to "&amp;A68&amp;") * (FF + U Factors from 28-FFU) for Prior Year TRR"</f>
        <v>1) (Sum Lines 34 to 37) * (FF + U Factors from 28-FFU) for Prior Year TRR</v>
      </c>
      <c r="C189" s="14"/>
      <c r="D189" s="14"/>
      <c r="E189" s="14"/>
      <c r="F189" s="14"/>
      <c r="G189" s="14"/>
      <c r="H189" s="14"/>
      <c r="I189" s="14"/>
      <c r="J189" s="14"/>
      <c r="K189" s="14"/>
    </row>
    <row r="190" spans="1:11">
      <c r="B190" s="46" t="str">
        <f>"(Sum Lines "&amp;A65&amp;" to "&amp;A68&amp;") * (FF Factor from 28-FFU) for True Up TRR"</f>
        <v>(Sum Lines 34 to 37) * (FF Factor from 28-FFU) for True Up TRR</v>
      </c>
      <c r="C190" s="14"/>
      <c r="D190" s="14"/>
      <c r="E190" s="14"/>
      <c r="F190" s="14"/>
      <c r="G190" s="14"/>
      <c r="H190" s="14"/>
      <c r="I190" s="14"/>
      <c r="J190" s="14"/>
      <c r="K190" s="14"/>
    </row>
    <row r="191" spans="1:11">
      <c r="B191" s="15" t="str">
        <f>"2) Project Cost of capital is a fraction of total Cost of Capital on Line "&amp;A27&amp;" based on fraction of project CWIP Balances on Lines "&amp;A9&amp;" to "&amp;A21&amp;", Col 1."</f>
        <v>2) Project Cost of capital is a fraction of total Cost of Capital on Line 16 based on fraction of project CWIP Balances on Lines 1 to 13, Col 1.</v>
      </c>
      <c r="C191" s="14"/>
      <c r="D191" s="14"/>
      <c r="E191" s="14"/>
      <c r="F191" s="14"/>
      <c r="G191" s="14"/>
      <c r="H191" s="14"/>
      <c r="I191" s="14"/>
      <c r="J191" s="14"/>
      <c r="K191" s="14"/>
    </row>
    <row r="192" spans="1:11">
      <c r="B192" s="46" t="str">
        <f>"Project Income Taxes is a fraction of total Income on Line "&amp;A35&amp;" based on fraction of project CWIP Balances on Lines "&amp;A9&amp;" to "&amp;A21&amp;", Col 1."</f>
        <v>Project Income Taxes is a fraction of total Income on Line 20 based on fraction of project CWIP Balances on Lines 1 to 13, Col 1.</v>
      </c>
      <c r="C192" s="14"/>
      <c r="D192" s="14"/>
      <c r="E192" s="14"/>
      <c r="F192" s="14"/>
      <c r="G192" s="14"/>
      <c r="H192" s="14"/>
      <c r="I192" s="14"/>
      <c r="J192" s="14"/>
      <c r="K192" s="14"/>
    </row>
    <row r="193" spans="2:11">
      <c r="B193" s="112" t="str">
        <f>"ROE Adder is from Lines "&amp;A67&amp;" and "&amp;A68&amp;".  FF&amp;U Expenses are based on FF&amp;U Factors on 28-FFU."</f>
        <v>ROE Adder is from Lines 36 and 37.  FF&amp;U Expenses are based on FF&amp;U Factors on 28-FFU.</v>
      </c>
      <c r="C193" s="14"/>
      <c r="D193" s="14"/>
      <c r="E193" s="14"/>
      <c r="F193" s="14"/>
      <c r="G193" s="14"/>
      <c r="H193" s="14"/>
      <c r="I193" s="14"/>
      <c r="J193" s="14"/>
      <c r="K193" s="14"/>
    </row>
    <row r="194" spans="2:11">
      <c r="B194" s="15" t="str">
        <f>"3) Project Cost of capital is a fraction of total Cost of Capital on Line "&amp;A27&amp;" based on fraction of project CWIP Balances on Lines "&amp;A9&amp;" to "&amp;A21&amp;", Col 2."</f>
        <v>3) Project Cost of capital is a fraction of total Cost of Capital on Line 16 based on fraction of project CWIP Balances on Lines 1 to 13, Col 2.</v>
      </c>
      <c r="C194" s="14"/>
      <c r="D194" s="14"/>
      <c r="E194" s="14"/>
      <c r="F194" s="14"/>
      <c r="G194" s="14"/>
      <c r="H194" s="14"/>
      <c r="I194" s="14"/>
      <c r="J194" s="14"/>
      <c r="K194" s="14"/>
    </row>
    <row r="195" spans="2:11">
      <c r="B195" s="46" t="str">
        <f>"Project Income Taxes is a fraction of total Income on Line "&amp;A35&amp;" based on fraction of project CWIP Balances on Lines "&amp;A9&amp;" to "&amp;A21&amp;", Col 2."</f>
        <v>Project Income Taxes is a fraction of total Income on Line 20 based on fraction of project CWIP Balances on Lines 1 to 13, Col 2.</v>
      </c>
      <c r="C195" s="14"/>
      <c r="D195" s="14"/>
      <c r="E195" s="14"/>
      <c r="F195" s="14"/>
      <c r="G195" s="14"/>
      <c r="H195" s="14"/>
      <c r="I195" s="14"/>
      <c r="J195" s="14"/>
      <c r="K195" s="14"/>
    </row>
    <row r="196" spans="2:11">
      <c r="B196" s="112" t="str">
        <f>"ROE Adder is from Lines "&amp;A67&amp;" and "&amp;A68&amp;".  FF&amp;U Expenses are based on FF&amp;U Factors on 28-FFU."</f>
        <v>ROE Adder is from Lines 36 and 37.  FF&amp;U Expenses are based on FF&amp;U Factors on 28-FFU.</v>
      </c>
      <c r="C196" s="14"/>
      <c r="D196" s="14"/>
      <c r="E196" s="14"/>
      <c r="F196" s="14"/>
      <c r="G196" s="14"/>
      <c r="H196" s="14"/>
      <c r="I196" s="14"/>
      <c r="J196" s="14"/>
      <c r="K196" s="14"/>
    </row>
    <row r="197" spans="2:11">
      <c r="B197" s="15" t="str">
        <f>"4) Project contribution to total IFPTRR is based on fraction of Forecast Period CWIP Balances on Lines "&amp;A9&amp;" to "&amp;A21&amp;", Col 3."</f>
        <v>4) Project contribution to total IFPTRR is based on fraction of Forecast Period CWIP Balances on Lines 1 to 13, Col 3.</v>
      </c>
      <c r="C197" s="14"/>
      <c r="D197" s="14"/>
      <c r="E197" s="14"/>
      <c r="F197" s="14"/>
      <c r="G197" s="14"/>
      <c r="H197" s="14"/>
      <c r="I197" s="14"/>
      <c r="J197" s="14"/>
      <c r="K197" s="14"/>
    </row>
    <row r="198" spans="2:11">
      <c r="B198" s="15" t="str">
        <f>"5) Column 1 is from Lines "&amp;A78&amp;" to "&amp;A89&amp;", Sum of Column 1-3 (no FF&amp;U)."</f>
        <v>5) Column 1 is from Lines 40 to 51, Sum of Column 1-3 (no FF&amp;U).</v>
      </c>
      <c r="C198" s="14"/>
      <c r="D198" s="14"/>
      <c r="E198" s="14"/>
      <c r="F198" s="14"/>
      <c r="G198" s="14"/>
      <c r="H198" s="14"/>
      <c r="I198" s="14"/>
      <c r="J198" s="14"/>
      <c r="K198" s="14"/>
    </row>
    <row r="199" spans="2:11">
      <c r="B199" s="46" t="str">
        <f>"Column 2 is from Lines "&amp;A123&amp;" to "&amp;A134&amp;" (no FF&amp;U)."</f>
        <v>Column 2 is from Lines 71 to 82 (no FF&amp;U).</v>
      </c>
      <c r="C199" s="14"/>
      <c r="D199" s="14"/>
      <c r="E199" s="14"/>
      <c r="F199" s="14"/>
      <c r="G199" s="14"/>
      <c r="H199" s="14"/>
      <c r="I199" s="14"/>
      <c r="J199" s="14"/>
      <c r="K199" s="14"/>
    </row>
    <row r="200" spans="2:11">
      <c r="B200" s="462" t="str">
        <f>"Column 3 is the product of (C1 + C2) and the sum of FF and U factors (28-FFU, L"&amp;'28-FFU'!A22&amp;")"</f>
        <v>Column 3 is the product of (C1 + C2) and the sum of FF and U factors (28-FFU, L5)</v>
      </c>
      <c r="C200" s="14"/>
      <c r="D200" s="14"/>
      <c r="E200" s="14"/>
      <c r="F200" s="14"/>
      <c r="G200" s="14"/>
      <c r="H200" s="14"/>
      <c r="I200" s="14"/>
      <c r="J200" s="14"/>
      <c r="K200" s="14"/>
    </row>
    <row r="201" spans="2:11">
      <c r="B201" s="465" t="s">
        <v>1468</v>
      </c>
      <c r="C201" s="14"/>
      <c r="D201" s="14"/>
      <c r="E201" s="14"/>
      <c r="F201" s="14"/>
      <c r="G201" s="14"/>
      <c r="H201" s="14"/>
    </row>
    <row r="202" spans="2:11">
      <c r="B202" s="14"/>
      <c r="C202" s="14"/>
      <c r="D202" s="14"/>
      <c r="E202" s="14"/>
      <c r="F202" s="14"/>
      <c r="G202" s="14"/>
      <c r="H202" s="14"/>
    </row>
  </sheetData>
  <phoneticPr fontId="23" type="noConversion"/>
  <pageMargins left="0.7" right="0.7" top="0.75" bottom="0.75" header="0.3" footer="0.3"/>
  <pageSetup scale="70" orientation="portrait" cellComments="asDisplayed" r:id="rId1"/>
  <headerFooter>
    <oddHeader>&amp;CSchedule 24
CWIP TRR
&amp;RTO2022 Annual Update 
Attachment 1</oddHeader>
    <oddFooter>&amp;R24-CWIPTRR</oddFooter>
  </headerFooter>
  <rowBreaks count="2" manualBreakCount="2">
    <brk id="71" max="16383" man="1"/>
    <brk id="13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53"/>
  <sheetViews>
    <sheetView topLeftCell="A25" zoomScaleNormal="100" workbookViewId="0">
      <selection activeCell="E71" sqref="E71"/>
    </sheetView>
  </sheetViews>
  <sheetFormatPr defaultRowHeight="12.5"/>
  <cols>
    <col min="1" max="1" width="4.54296875" customWidth="1"/>
    <col min="6" max="6" width="17.81640625" customWidth="1"/>
    <col min="7" max="7" width="21.54296875" customWidth="1"/>
    <col min="8" max="8" width="15.54296875" customWidth="1"/>
    <col min="9" max="9" width="14.54296875" customWidth="1"/>
  </cols>
  <sheetData>
    <row r="1" spans="1:12" ht="13">
      <c r="A1" s="1" t="s">
        <v>1318</v>
      </c>
      <c r="B1" s="227"/>
      <c r="C1" s="227"/>
      <c r="D1" s="227"/>
      <c r="E1" s="227"/>
      <c r="F1" s="227"/>
      <c r="G1" s="227"/>
      <c r="H1" s="227"/>
      <c r="I1" s="227"/>
      <c r="J1" s="227"/>
      <c r="K1" s="227"/>
      <c r="L1" s="227"/>
    </row>
    <row r="2" spans="1:12" ht="13">
      <c r="A2" s="1"/>
      <c r="B2" s="227"/>
      <c r="C2" s="1248" t="s">
        <v>2531</v>
      </c>
      <c r="D2" s="1480" t="s">
        <v>2807</v>
      </c>
      <c r="E2" s="1449"/>
      <c r="F2" s="958"/>
      <c r="G2" s="235"/>
      <c r="H2" s="437" t="s">
        <v>17</v>
      </c>
      <c r="I2" s="383"/>
      <c r="J2" s="227"/>
      <c r="K2" s="227"/>
      <c r="L2" s="227"/>
    </row>
    <row r="3" spans="1:12" ht="13">
      <c r="A3" s="1"/>
      <c r="B3" s="227" t="s">
        <v>1319</v>
      </c>
      <c r="C3" s="227"/>
      <c r="D3" s="227"/>
      <c r="E3" s="227"/>
      <c r="F3" s="227"/>
      <c r="G3" s="227"/>
      <c r="H3" s="235"/>
      <c r="I3" s="235"/>
      <c r="J3" s="227"/>
      <c r="K3" s="227"/>
      <c r="L3" s="227"/>
    </row>
    <row r="4" spans="1:12" ht="13">
      <c r="A4" s="1"/>
      <c r="B4" s="235" t="s">
        <v>1808</v>
      </c>
      <c r="C4" s="235"/>
      <c r="D4" s="235"/>
      <c r="E4" s="235"/>
      <c r="F4" s="235"/>
      <c r="G4" s="235"/>
      <c r="H4" s="235"/>
      <c r="I4" s="235"/>
      <c r="J4" s="227"/>
      <c r="K4" s="227"/>
      <c r="L4" s="227"/>
    </row>
    <row r="5" spans="1:12" ht="13">
      <c r="A5" s="1"/>
      <c r="B5" s="235" t="s">
        <v>1722</v>
      </c>
      <c r="C5" s="235"/>
      <c r="D5" s="235"/>
      <c r="E5" s="235"/>
      <c r="F5" s="235"/>
      <c r="G5" s="235"/>
      <c r="H5" s="235"/>
      <c r="I5" s="235"/>
      <c r="J5" s="227"/>
      <c r="K5" s="227"/>
      <c r="L5" s="227"/>
    </row>
    <row r="6" spans="1:12" ht="13">
      <c r="A6" s="1"/>
      <c r="B6" s="235"/>
      <c r="C6" s="235"/>
      <c r="D6" s="235"/>
      <c r="E6" s="235"/>
      <c r="F6" s="235"/>
      <c r="G6" s="235"/>
      <c r="H6" s="235"/>
      <c r="I6" s="235"/>
      <c r="J6" s="227"/>
      <c r="K6" s="227"/>
      <c r="L6" s="227"/>
    </row>
    <row r="7" spans="1:12" ht="13">
      <c r="A7" s="1"/>
      <c r="B7" s="235" t="s">
        <v>1809</v>
      </c>
      <c r="C7" s="235"/>
      <c r="D7" s="235"/>
      <c r="E7" s="235"/>
      <c r="F7" s="235"/>
      <c r="G7" s="235"/>
      <c r="H7" s="235"/>
      <c r="I7" s="235"/>
      <c r="J7" s="227"/>
      <c r="K7" s="227"/>
      <c r="L7" s="227"/>
    </row>
    <row r="8" spans="1:12" ht="13">
      <c r="A8" s="1"/>
      <c r="B8" s="235" t="s">
        <v>1320</v>
      </c>
      <c r="C8" s="235"/>
      <c r="D8" s="235"/>
      <c r="E8" s="235"/>
      <c r="F8" s="235"/>
      <c r="G8" s="235"/>
      <c r="H8" s="235"/>
      <c r="I8" s="235"/>
      <c r="J8" s="227"/>
      <c r="K8" s="227"/>
      <c r="L8" s="227"/>
    </row>
    <row r="9" spans="1:12" ht="13">
      <c r="A9" s="1"/>
      <c r="B9" s="235" t="s">
        <v>1321</v>
      </c>
      <c r="C9" s="235"/>
      <c r="D9" s="235"/>
      <c r="E9" s="235"/>
      <c r="F9" s="235"/>
      <c r="G9" s="235"/>
      <c r="H9" s="235"/>
      <c r="I9" s="235"/>
      <c r="J9" s="227"/>
      <c r="K9" s="227"/>
      <c r="L9" s="227"/>
    </row>
    <row r="10" spans="1:12" ht="13">
      <c r="A10" s="1"/>
      <c r="B10" s="235"/>
      <c r="C10" s="235"/>
      <c r="D10" s="235"/>
      <c r="E10" s="235"/>
      <c r="F10" s="235"/>
      <c r="G10" s="235"/>
      <c r="H10" s="438" t="s">
        <v>1322</v>
      </c>
      <c r="I10" s="235"/>
      <c r="J10" s="227"/>
      <c r="K10" s="227"/>
      <c r="L10" s="227"/>
    </row>
    <row r="11" spans="1:12" ht="14.5">
      <c r="A11" s="1"/>
      <c r="B11" s="235"/>
      <c r="C11" s="235"/>
      <c r="D11" s="235"/>
      <c r="E11" s="235"/>
      <c r="F11" s="235"/>
      <c r="G11" s="438" t="s">
        <v>173</v>
      </c>
      <c r="H11" s="904" t="s">
        <v>1323</v>
      </c>
      <c r="I11" s="438" t="s">
        <v>323</v>
      </c>
      <c r="J11" s="227"/>
      <c r="K11" s="227"/>
      <c r="L11" s="227"/>
    </row>
    <row r="12" spans="1:12" ht="13">
      <c r="A12" s="51" t="s">
        <v>329</v>
      </c>
      <c r="B12" s="235"/>
      <c r="C12" s="235"/>
      <c r="D12" s="235"/>
      <c r="E12" s="235"/>
      <c r="F12" s="235"/>
      <c r="G12" s="439" t="s">
        <v>287</v>
      </c>
      <c r="H12" s="439" t="s">
        <v>287</v>
      </c>
      <c r="I12" s="439" t="s">
        <v>1324</v>
      </c>
      <c r="J12" s="227"/>
      <c r="K12" s="227"/>
      <c r="L12" s="227"/>
    </row>
    <row r="13" spans="1:12" ht="13">
      <c r="A13" s="2">
        <v>1</v>
      </c>
      <c r="B13" s="235" t="s">
        <v>1325</v>
      </c>
      <c r="C13" s="235"/>
      <c r="D13" s="235"/>
      <c r="E13" s="235"/>
      <c r="F13" s="235"/>
      <c r="G13" s="440" t="s">
        <v>221</v>
      </c>
      <c r="H13" s="440" t="s">
        <v>221</v>
      </c>
      <c r="I13" s="838" t="s">
        <v>222</v>
      </c>
      <c r="J13" s="227"/>
      <c r="K13" s="227"/>
      <c r="L13" s="227"/>
    </row>
    <row r="14" spans="1:12" ht="13">
      <c r="A14" s="2">
        <f>A13+1</f>
        <v>2</v>
      </c>
      <c r="B14" s="235" t="s">
        <v>1326</v>
      </c>
      <c r="C14" s="235"/>
      <c r="D14" s="235"/>
      <c r="E14" s="235"/>
      <c r="F14" s="235"/>
      <c r="G14" s="440" t="s">
        <v>221</v>
      </c>
      <c r="H14" s="440" t="s">
        <v>221</v>
      </c>
      <c r="I14" s="440" t="s">
        <v>221</v>
      </c>
      <c r="J14" s="227"/>
      <c r="K14" s="227"/>
      <c r="L14" s="227"/>
    </row>
    <row r="15" spans="1:12" ht="13">
      <c r="A15" s="109">
        <f>A14+1</f>
        <v>3</v>
      </c>
      <c r="B15" s="235" t="s">
        <v>1500</v>
      </c>
      <c r="C15" s="235"/>
      <c r="D15" s="235"/>
      <c r="E15" s="235"/>
      <c r="F15" s="235"/>
      <c r="G15" s="440" t="s">
        <v>221</v>
      </c>
      <c r="H15" s="440" t="s">
        <v>221</v>
      </c>
      <c r="I15" s="440" t="s">
        <v>221</v>
      </c>
      <c r="J15" s="227"/>
      <c r="K15" s="227"/>
      <c r="L15" s="227"/>
    </row>
    <row r="16" spans="1:12" ht="13">
      <c r="A16" s="2">
        <f>A15+1</f>
        <v>4</v>
      </c>
      <c r="B16" s="235" t="s">
        <v>1327</v>
      </c>
      <c r="C16" s="235"/>
      <c r="D16" s="235"/>
      <c r="E16" s="235"/>
      <c r="F16" s="235"/>
      <c r="G16" s="440" t="s">
        <v>221</v>
      </c>
      <c r="H16" s="440" t="s">
        <v>221</v>
      </c>
      <c r="I16" s="440" t="s">
        <v>222</v>
      </c>
      <c r="J16" s="227"/>
      <c r="K16" s="227"/>
      <c r="L16" s="227"/>
    </row>
    <row r="17" spans="1:12" ht="13">
      <c r="A17" s="2">
        <f>A16+1</f>
        <v>5</v>
      </c>
      <c r="B17" s="235" t="s">
        <v>1328</v>
      </c>
      <c r="C17" s="235"/>
      <c r="D17" s="235"/>
      <c r="E17" s="235"/>
      <c r="F17" s="235"/>
      <c r="G17" s="440" t="s">
        <v>222</v>
      </c>
      <c r="H17" s="440" t="s">
        <v>221</v>
      </c>
      <c r="I17" s="440" t="s">
        <v>222</v>
      </c>
      <c r="J17" s="227"/>
      <c r="K17" s="227"/>
      <c r="L17" s="227"/>
    </row>
    <row r="18" spans="1:12" ht="13">
      <c r="A18" s="109">
        <f>A17+1</f>
        <v>6</v>
      </c>
      <c r="B18" s="235" t="s">
        <v>2278</v>
      </c>
      <c r="C18" s="235"/>
      <c r="D18" s="235"/>
      <c r="E18" s="235"/>
      <c r="F18" s="235"/>
      <c r="G18" s="440" t="s">
        <v>222</v>
      </c>
      <c r="H18" s="440" t="s">
        <v>221</v>
      </c>
      <c r="I18" s="440" t="s">
        <v>222</v>
      </c>
      <c r="J18" s="227"/>
      <c r="K18" s="227"/>
      <c r="L18" s="227"/>
    </row>
    <row r="19" spans="1:12">
      <c r="A19" s="227"/>
      <c r="B19" s="227"/>
      <c r="C19" s="441"/>
      <c r="D19" s="235"/>
      <c r="E19" s="235"/>
      <c r="F19" s="235"/>
      <c r="G19" s="227"/>
      <c r="H19" s="227"/>
      <c r="I19" s="227"/>
      <c r="J19" s="227"/>
      <c r="K19" s="227"/>
      <c r="L19" s="227"/>
    </row>
    <row r="20" spans="1:12" ht="13">
      <c r="A20" s="227"/>
      <c r="B20" s="382" t="s">
        <v>1329</v>
      </c>
      <c r="C20" s="367"/>
      <c r="D20" s="235"/>
      <c r="E20" s="235"/>
      <c r="F20" s="235"/>
      <c r="G20" s="227"/>
      <c r="H20" s="227"/>
      <c r="I20" s="227"/>
      <c r="J20" s="227"/>
      <c r="K20" s="227"/>
      <c r="L20" s="227"/>
    </row>
    <row r="21" spans="1:12" ht="13">
      <c r="A21" s="227"/>
      <c r="B21" s="382"/>
      <c r="C21" s="367"/>
      <c r="D21" s="235"/>
      <c r="E21" s="235"/>
      <c r="F21" s="235"/>
      <c r="G21" s="227"/>
      <c r="H21" s="227"/>
      <c r="I21" s="227"/>
      <c r="J21" s="227"/>
      <c r="K21" s="227"/>
      <c r="L21" s="227"/>
    </row>
    <row r="22" spans="1:12" ht="13">
      <c r="A22" s="227"/>
      <c r="B22" s="442" t="s">
        <v>1330</v>
      </c>
      <c r="C22" s="369"/>
      <c r="D22" s="235"/>
      <c r="E22" s="235"/>
      <c r="F22" s="235"/>
      <c r="G22" s="227"/>
      <c r="H22" s="227"/>
      <c r="I22" s="227"/>
      <c r="J22" s="227"/>
      <c r="K22" s="227"/>
      <c r="L22" s="227"/>
    </row>
    <row r="23" spans="1:12">
      <c r="A23" s="227"/>
      <c r="B23" s="241" t="s">
        <v>2287</v>
      </c>
      <c r="C23" s="369"/>
      <c r="D23" s="235"/>
      <c r="E23" s="235"/>
      <c r="F23" s="235"/>
      <c r="G23" s="227"/>
      <c r="H23" s="227"/>
      <c r="I23" s="227"/>
      <c r="J23" s="227"/>
      <c r="K23" s="227"/>
      <c r="L23" s="227"/>
    </row>
    <row r="24" spans="1:12">
      <c r="A24" s="227"/>
      <c r="B24" s="241" t="s">
        <v>1331</v>
      </c>
      <c r="C24" s="227"/>
      <c r="D24" s="227"/>
      <c r="E24" s="227"/>
      <c r="F24" s="227"/>
      <c r="G24" s="227"/>
      <c r="H24" s="227"/>
      <c r="I24" s="227"/>
      <c r="J24" s="227"/>
      <c r="K24" s="227"/>
      <c r="L24" s="227"/>
    </row>
    <row r="25" spans="1:12" ht="13">
      <c r="A25" s="227"/>
      <c r="B25" s="227"/>
      <c r="C25" s="227"/>
      <c r="D25" s="227"/>
      <c r="E25" s="227"/>
      <c r="F25" s="227"/>
      <c r="G25" s="227"/>
      <c r="H25" s="84" t="s">
        <v>358</v>
      </c>
      <c r="I25" s="84" t="s">
        <v>342</v>
      </c>
      <c r="J25" s="227"/>
      <c r="K25" s="227"/>
      <c r="L25" s="227"/>
    </row>
    <row r="26" spans="1:12" ht="13">
      <c r="A26" s="227"/>
      <c r="B26" s="227"/>
      <c r="C26" s="227"/>
      <c r="D26" s="227"/>
      <c r="E26" s="227"/>
      <c r="F26" s="227"/>
      <c r="G26" s="227"/>
      <c r="H26" s="443" t="s">
        <v>1332</v>
      </c>
      <c r="I26" s="227"/>
      <c r="J26" s="227"/>
      <c r="K26" s="227"/>
      <c r="L26" s="227"/>
    </row>
    <row r="27" spans="1:12" ht="13">
      <c r="A27" s="227"/>
      <c r="B27" s="227"/>
      <c r="C27" s="227"/>
      <c r="D27" s="227"/>
      <c r="E27" s="227"/>
      <c r="F27" s="227"/>
      <c r="G27" s="227"/>
      <c r="H27" s="443" t="s">
        <v>287</v>
      </c>
      <c r="I27" s="230" t="s">
        <v>1333</v>
      </c>
      <c r="J27" s="227"/>
      <c r="K27" s="227"/>
      <c r="L27" s="227"/>
    </row>
    <row r="28" spans="1:12" ht="13">
      <c r="A28" s="227"/>
      <c r="B28" s="227"/>
      <c r="C28" s="227"/>
      <c r="D28" s="227"/>
      <c r="E28" s="227"/>
      <c r="F28" s="227"/>
      <c r="G28" s="26" t="s">
        <v>194</v>
      </c>
      <c r="H28" s="230" t="s">
        <v>1334</v>
      </c>
      <c r="I28" s="230" t="s">
        <v>1335</v>
      </c>
      <c r="J28" s="227"/>
      <c r="K28" s="227"/>
      <c r="L28" s="227"/>
    </row>
    <row r="29" spans="1:12" ht="14.5">
      <c r="A29" s="51"/>
      <c r="B29" s="227"/>
      <c r="C29" s="227"/>
      <c r="D29" s="227"/>
      <c r="E29" s="227"/>
      <c r="F29" s="227"/>
      <c r="G29" s="25" t="s">
        <v>179</v>
      </c>
      <c r="H29" s="444" t="s">
        <v>1336</v>
      </c>
      <c r="I29" s="238" t="s">
        <v>1323</v>
      </c>
      <c r="J29" s="361"/>
      <c r="K29" s="227"/>
      <c r="L29" s="227"/>
    </row>
    <row r="30" spans="1:12" ht="13">
      <c r="A30" s="109">
        <f>A18+1</f>
        <v>7</v>
      </c>
      <c r="B30" s="235"/>
      <c r="C30" s="235" t="s">
        <v>1337</v>
      </c>
      <c r="D30" s="235"/>
      <c r="E30" s="235"/>
      <c r="F30" s="235"/>
      <c r="G30" s="46" t="s">
        <v>1338</v>
      </c>
      <c r="H30" s="231">
        <v>31556000</v>
      </c>
      <c r="I30" s="229">
        <v>-2176300</v>
      </c>
      <c r="J30" s="227"/>
      <c r="K30" s="227"/>
      <c r="L30" s="227"/>
    </row>
    <row r="31" spans="1:12" ht="13">
      <c r="A31" s="109">
        <f>A30+1</f>
        <v>8</v>
      </c>
      <c r="B31" s="235"/>
      <c r="C31" s="235" t="s">
        <v>1339</v>
      </c>
      <c r="D31" s="235"/>
      <c r="E31" s="235"/>
      <c r="F31" s="235"/>
      <c r="G31" s="46" t="s">
        <v>1338</v>
      </c>
      <c r="H31" s="229">
        <v>-35044000</v>
      </c>
      <c r="I31" s="229">
        <v>2503000</v>
      </c>
      <c r="J31" s="227"/>
      <c r="K31" s="227"/>
      <c r="L31" s="227"/>
    </row>
    <row r="32" spans="1:12" ht="13">
      <c r="A32" s="109">
        <f>A31+1</f>
        <v>9</v>
      </c>
      <c r="B32" s="235"/>
      <c r="C32" s="235" t="s">
        <v>1501</v>
      </c>
      <c r="D32" s="235"/>
      <c r="E32" s="235"/>
      <c r="F32" s="235"/>
      <c r="G32" s="46" t="s">
        <v>1338</v>
      </c>
      <c r="H32" s="231">
        <v>-624650</v>
      </c>
      <c r="I32" s="231">
        <v>43100</v>
      </c>
      <c r="J32" s="227"/>
      <c r="K32" s="227"/>
      <c r="L32" s="227"/>
    </row>
    <row r="33" spans="1:12" ht="13">
      <c r="A33" s="109">
        <f>A32+1</f>
        <v>10</v>
      </c>
      <c r="B33" s="235"/>
      <c r="C33" s="235" t="s">
        <v>1340</v>
      </c>
      <c r="D33" s="235"/>
      <c r="E33" s="235"/>
      <c r="F33" s="235"/>
      <c r="G33" s="46" t="s">
        <v>1338</v>
      </c>
      <c r="H33" s="360">
        <v>-7410000</v>
      </c>
      <c r="I33" s="445">
        <v>511200</v>
      </c>
      <c r="J33" s="227"/>
      <c r="K33" s="227"/>
      <c r="L33" s="227"/>
    </row>
    <row r="34" spans="1:12" ht="13">
      <c r="A34" s="109">
        <f>A33+1</f>
        <v>11</v>
      </c>
      <c r="B34" s="235"/>
      <c r="C34" s="235"/>
      <c r="D34" s="235"/>
      <c r="E34" s="235"/>
      <c r="F34" s="14"/>
      <c r="G34" s="858" t="s">
        <v>197</v>
      </c>
      <c r="H34" s="231">
        <f>SUM(H30:H33)</f>
        <v>-11522650</v>
      </c>
      <c r="I34" s="231">
        <f>SUM(I30:I33)</f>
        <v>881000</v>
      </c>
      <c r="J34" s="227"/>
      <c r="K34" s="227"/>
      <c r="L34" s="227"/>
    </row>
    <row r="35" spans="1:12" ht="13">
      <c r="A35" s="109"/>
      <c r="B35" s="235"/>
      <c r="C35" s="235"/>
      <c r="D35" s="235"/>
      <c r="E35" s="235"/>
      <c r="F35" s="14"/>
      <c r="G35" s="858"/>
      <c r="H35" s="229"/>
      <c r="I35" s="229"/>
      <c r="J35" s="227"/>
      <c r="K35" s="227"/>
      <c r="L35" s="227"/>
    </row>
    <row r="36" spans="1:12" ht="13">
      <c r="A36" s="109"/>
      <c r="B36" s="905" t="s">
        <v>1341</v>
      </c>
      <c r="C36" s="235"/>
      <c r="D36" s="235"/>
      <c r="E36" s="235"/>
      <c r="F36" s="14"/>
      <c r="G36" s="858"/>
      <c r="H36" s="229"/>
      <c r="I36" s="229"/>
      <c r="J36" s="227"/>
      <c r="K36" s="227"/>
      <c r="L36" s="227"/>
    </row>
    <row r="37" spans="1:12" ht="13">
      <c r="A37" s="109"/>
      <c r="B37" s="450" t="s">
        <v>1613</v>
      </c>
      <c r="C37" s="235"/>
      <c r="D37" s="235"/>
      <c r="E37" s="235"/>
      <c r="F37" s="14"/>
      <c r="G37" s="858"/>
      <c r="H37" s="229"/>
      <c r="I37" s="229"/>
      <c r="J37" s="227"/>
      <c r="K37" s="227"/>
      <c r="L37" s="227"/>
    </row>
    <row r="38" spans="1:12" ht="13">
      <c r="A38" s="109"/>
      <c r="B38" s="450" t="s">
        <v>1342</v>
      </c>
      <c r="C38" s="235"/>
      <c r="D38" s="235"/>
      <c r="E38" s="235"/>
      <c r="F38" s="14"/>
      <c r="G38" s="858"/>
      <c r="H38" s="229"/>
      <c r="I38" s="229"/>
      <c r="J38" s="227"/>
      <c r="K38" s="227"/>
      <c r="L38" s="227"/>
    </row>
    <row r="39" spans="1:12" ht="13">
      <c r="A39" s="438"/>
      <c r="B39" s="235"/>
      <c r="C39" s="235"/>
      <c r="D39" s="235"/>
      <c r="E39" s="235"/>
      <c r="F39" s="235"/>
      <c r="G39" s="411" t="s">
        <v>194</v>
      </c>
      <c r="H39" s="227"/>
      <c r="I39" s="227"/>
      <c r="J39" s="227"/>
      <c r="K39" s="227"/>
      <c r="L39" s="227"/>
    </row>
    <row r="40" spans="1:12" ht="13">
      <c r="A40" s="438"/>
      <c r="B40" s="906"/>
      <c r="C40" s="367"/>
      <c r="D40" s="235"/>
      <c r="E40" s="235"/>
      <c r="F40" s="235"/>
      <c r="G40" s="29" t="s">
        <v>179</v>
      </c>
      <c r="H40" s="3" t="s">
        <v>171</v>
      </c>
      <c r="I40" s="447" t="s">
        <v>1343</v>
      </c>
      <c r="J40" s="227"/>
      <c r="K40" s="227"/>
      <c r="L40" s="227"/>
    </row>
    <row r="41" spans="1:12" ht="13">
      <c r="A41" s="109">
        <f>A34+1</f>
        <v>12</v>
      </c>
      <c r="B41" s="450" t="s">
        <v>1344</v>
      </c>
      <c r="C41" s="235"/>
      <c r="D41" s="235"/>
      <c r="E41" s="235"/>
      <c r="F41" s="235"/>
      <c r="G41" s="450" t="str">
        <f>"2-IFPTRR Line "&amp;'2-IFPTRR'!A25&amp;""</f>
        <v>2-IFPTRR Line 16</v>
      </c>
      <c r="H41" s="359">
        <f>'2-IFPTRR'!D25</f>
        <v>9.3437363478466151E-2</v>
      </c>
      <c r="I41" s="243">
        <v>1</v>
      </c>
      <c r="J41" s="227"/>
      <c r="K41" s="227"/>
      <c r="L41" s="227"/>
    </row>
    <row r="42" spans="1:12" ht="13">
      <c r="A42" s="109">
        <f>A41+1</f>
        <v>13</v>
      </c>
      <c r="B42" s="450" t="s">
        <v>63</v>
      </c>
      <c r="C42" s="235"/>
      <c r="D42" s="235"/>
      <c r="E42" s="235"/>
      <c r="F42" s="235"/>
      <c r="G42" s="450"/>
      <c r="H42" s="448">
        <v>2020</v>
      </c>
      <c r="I42" s="243">
        <v>2</v>
      </c>
      <c r="J42" s="227"/>
      <c r="K42" s="227"/>
      <c r="L42" s="227"/>
    </row>
    <row r="43" spans="1:12" ht="13">
      <c r="A43" s="109">
        <f>A42+1</f>
        <v>14</v>
      </c>
      <c r="B43" s="450" t="s">
        <v>1345</v>
      </c>
      <c r="C43" s="235"/>
      <c r="D43" s="235"/>
      <c r="E43" s="235"/>
      <c r="F43" s="235"/>
      <c r="G43" s="231"/>
      <c r="H43" s="229">
        <f>H34+ (I34*(H42-2010))</f>
        <v>-2712650</v>
      </c>
      <c r="I43" s="440">
        <v>3</v>
      </c>
      <c r="J43" s="227"/>
      <c r="K43" s="227"/>
      <c r="L43" s="227"/>
    </row>
    <row r="44" spans="1:12" ht="13">
      <c r="A44" s="109">
        <f>A43+1</f>
        <v>15</v>
      </c>
      <c r="B44" s="450" t="s">
        <v>1346</v>
      </c>
      <c r="C44" s="367"/>
      <c r="D44" s="235"/>
      <c r="E44" s="235"/>
      <c r="F44" s="235"/>
      <c r="G44" s="46" t="str">
        <f>"Line "&amp;A43&amp;" * Line "&amp;A41&amp;""</f>
        <v>Line 14 * Line 12</v>
      </c>
      <c r="H44" s="231">
        <f xml:space="preserve"> H43*H41</f>
        <v>-253462.86403986122</v>
      </c>
      <c r="I44" s="227"/>
      <c r="J44" s="227"/>
      <c r="K44" s="227"/>
      <c r="L44" s="227"/>
    </row>
    <row r="45" spans="1:12">
      <c r="A45" s="14"/>
      <c r="B45" s="14"/>
      <c r="C45" s="14"/>
      <c r="D45" s="14"/>
      <c r="E45" s="14"/>
      <c r="F45" s="14"/>
      <c r="G45" s="14"/>
      <c r="L45" s="227"/>
    </row>
    <row r="46" spans="1:12" ht="13">
      <c r="B46" s="382" t="s">
        <v>1506</v>
      </c>
      <c r="L46" s="227"/>
    </row>
    <row r="47" spans="1:12">
      <c r="L47" s="227"/>
    </row>
    <row r="48" spans="1:12">
      <c r="B48" s="227" t="str">
        <f>"The annual Wholesale Expense Difference impact is the negative of amounts stated in Lines "&amp;A30&amp;" to "&amp;A33&amp;" above, Column 2."</f>
        <v>The annual Wholesale Expense Difference impact is the negative of amounts stated in Lines 7 to 10 above, Column 2.</v>
      </c>
      <c r="L48" s="227"/>
    </row>
    <row r="49" spans="1:12">
      <c r="B49" s="227" t="s">
        <v>1373</v>
      </c>
      <c r="L49" s="227"/>
    </row>
    <row r="50" spans="1:12">
      <c r="A50" s="227"/>
      <c r="B50" s="227" t="s">
        <v>1614</v>
      </c>
      <c r="C50" s="227"/>
      <c r="D50" s="227"/>
      <c r="E50" s="227"/>
      <c r="F50" s="227"/>
      <c r="G50" s="227"/>
      <c r="H50" s="227"/>
      <c r="I50" s="227"/>
      <c r="J50" s="227"/>
      <c r="K50" s="227"/>
      <c r="L50" s="227"/>
    </row>
    <row r="52" spans="1:12" ht="13">
      <c r="A52" s="227"/>
      <c r="B52" s="70" t="s">
        <v>1347</v>
      </c>
      <c r="C52" s="227"/>
      <c r="D52" s="227"/>
      <c r="E52" s="227"/>
      <c r="F52" s="227"/>
      <c r="G52" s="227"/>
      <c r="H52" s="227"/>
      <c r="I52" s="227"/>
      <c r="J52" s="227"/>
      <c r="K52" s="227"/>
      <c r="L52" s="227"/>
    </row>
    <row r="53" spans="1:12" ht="13">
      <c r="A53" s="227"/>
      <c r="B53" s="227"/>
      <c r="C53" s="227"/>
      <c r="D53" s="227"/>
      <c r="E53" s="227"/>
      <c r="F53" s="227"/>
      <c r="G53" s="26"/>
      <c r="H53" s="227"/>
      <c r="I53" s="227"/>
      <c r="J53" s="227"/>
      <c r="K53" s="227"/>
      <c r="L53" s="227"/>
    </row>
    <row r="54" spans="1:12" ht="13">
      <c r="B54" s="227"/>
      <c r="C54" s="227"/>
      <c r="D54" s="227"/>
      <c r="E54" s="227"/>
      <c r="F54" s="227"/>
      <c r="G54" s="25" t="s">
        <v>179</v>
      </c>
      <c r="H54" s="3" t="s">
        <v>171</v>
      </c>
      <c r="I54" s="227"/>
      <c r="J54" s="361"/>
      <c r="K54" s="227"/>
      <c r="L54" s="227"/>
    </row>
    <row r="55" spans="1:12" ht="13">
      <c r="A55" s="109">
        <f>A44+1</f>
        <v>16</v>
      </c>
      <c r="B55" s="450" t="s">
        <v>1348</v>
      </c>
      <c r="C55" s="235"/>
      <c r="D55" s="235"/>
      <c r="E55" s="235"/>
      <c r="F55" s="235"/>
      <c r="G55" s="46" t="str">
        <f>"Line "&amp;A31&amp;""</f>
        <v>Line 8</v>
      </c>
      <c r="H55" s="229">
        <f>I31</f>
        <v>2503000</v>
      </c>
      <c r="I55" s="227"/>
      <c r="J55" s="227"/>
      <c r="K55" s="227"/>
      <c r="L55" s="227"/>
    </row>
    <row r="56" spans="1:12" ht="13">
      <c r="A56" s="109">
        <f>A55+1</f>
        <v>17</v>
      </c>
      <c r="B56" s="46" t="s">
        <v>289</v>
      </c>
      <c r="C56" s="235"/>
      <c r="D56" s="235"/>
      <c r="E56" s="235"/>
      <c r="F56" s="235"/>
      <c r="G56" s="450" t="str">
        <f>"1-BaseTRR L "&amp;'1-BaseTRR'!A104&amp;""</f>
        <v>1-BaseTRR L 59</v>
      </c>
      <c r="H56" s="380">
        <f>'1-BaseTRR'!K104</f>
        <v>0.27983599999999997</v>
      </c>
      <c r="I56" s="227"/>
      <c r="J56" s="227"/>
      <c r="K56" s="227"/>
      <c r="L56" s="227"/>
    </row>
    <row r="57" spans="1:12" ht="13">
      <c r="A57" s="109">
        <f>A56+1</f>
        <v>18</v>
      </c>
      <c r="B57" s="46" t="s">
        <v>1372</v>
      </c>
      <c r="C57" s="235"/>
      <c r="D57" s="235"/>
      <c r="E57" s="235"/>
      <c r="F57" s="235"/>
      <c r="G57" s="849" t="s">
        <v>288</v>
      </c>
      <c r="H57" s="449">
        <f>1/(1-H56)</f>
        <v>1.3885726029071155</v>
      </c>
      <c r="I57" s="227"/>
      <c r="J57" s="227"/>
      <c r="K57" s="227"/>
      <c r="L57" s="227"/>
    </row>
    <row r="58" spans="1:12" ht="13">
      <c r="A58" s="109">
        <f>A57+1</f>
        <v>19</v>
      </c>
      <c r="B58" s="46" t="s">
        <v>331</v>
      </c>
      <c r="C58" s="235"/>
      <c r="D58" s="235"/>
      <c r="E58" s="235"/>
      <c r="F58" s="235"/>
      <c r="G58" s="235"/>
      <c r="H58" s="227"/>
      <c r="I58" s="227"/>
      <c r="J58" s="227"/>
      <c r="K58" s="227"/>
      <c r="L58" s="227"/>
    </row>
    <row r="59" spans="1:12" ht="13">
      <c r="A59" s="109">
        <f>A58+1</f>
        <v>20</v>
      </c>
      <c r="B59" s="46" t="s">
        <v>330</v>
      </c>
      <c r="C59" s="235"/>
      <c r="D59" s="235"/>
      <c r="E59" s="235"/>
      <c r="F59" s="235"/>
      <c r="G59" s="46" t="str">
        <f>"- Line "&amp;A55&amp;" * Line "&amp;A57&amp;""</f>
        <v>- Line 16 * Line 18</v>
      </c>
      <c r="H59" s="229">
        <f>-H57*H55</f>
        <v>-3475597.2250765101</v>
      </c>
      <c r="I59" s="227"/>
      <c r="J59" s="227"/>
      <c r="K59" s="227"/>
      <c r="L59" s="227"/>
    </row>
    <row r="60" spans="1:12">
      <c r="A60" s="14"/>
      <c r="B60" s="14"/>
      <c r="C60" s="14"/>
      <c r="D60" s="14"/>
      <c r="E60" s="14"/>
      <c r="F60" s="14"/>
      <c r="G60" s="14"/>
    </row>
    <row r="61" spans="1:12" ht="13">
      <c r="A61" s="14"/>
      <c r="B61" s="907" t="s">
        <v>1503</v>
      </c>
      <c r="C61" s="14"/>
      <c r="D61" s="14"/>
      <c r="E61" s="14"/>
      <c r="F61" s="14"/>
      <c r="G61" s="14"/>
    </row>
    <row r="62" spans="1:12">
      <c r="A62" s="14"/>
      <c r="B62" s="14"/>
      <c r="C62" s="14"/>
      <c r="D62" s="14"/>
      <c r="E62" s="14"/>
      <c r="F62" s="14"/>
      <c r="G62" s="14"/>
    </row>
    <row r="63" spans="1:12" ht="13">
      <c r="A63" s="14"/>
      <c r="B63" s="14"/>
      <c r="C63" s="14"/>
      <c r="D63" s="14"/>
      <c r="E63" s="14"/>
      <c r="F63" s="14"/>
      <c r="G63" s="29" t="s">
        <v>179</v>
      </c>
      <c r="H63" s="3" t="s">
        <v>171</v>
      </c>
    </row>
    <row r="64" spans="1:12" ht="13">
      <c r="A64" s="109">
        <f>A59+1</f>
        <v>21</v>
      </c>
      <c r="B64" s="450" t="s">
        <v>1502</v>
      </c>
      <c r="C64" s="14"/>
      <c r="D64" s="14"/>
      <c r="E64" s="14"/>
      <c r="F64" s="14"/>
      <c r="G64" s="46" t="str">
        <f>"Line "&amp;A32&amp;""</f>
        <v>Line 9</v>
      </c>
      <c r="H64" s="7">
        <f>I32</f>
        <v>43100</v>
      </c>
    </row>
    <row r="65" spans="1:12" ht="13">
      <c r="A65" s="109">
        <f>A64+1</f>
        <v>22</v>
      </c>
      <c r="B65" s="46" t="s">
        <v>1372</v>
      </c>
      <c r="C65" s="235"/>
      <c r="D65" s="235"/>
      <c r="E65" s="235"/>
      <c r="F65" s="235"/>
      <c r="G65" s="46" t="str">
        <f>"Line "&amp;A57&amp;""</f>
        <v>Line 18</v>
      </c>
      <c r="H65" s="449">
        <f>H57</f>
        <v>1.3885726029071155</v>
      </c>
    </row>
    <row r="66" spans="1:12" ht="13">
      <c r="A66" s="109">
        <f>A65+1</f>
        <v>23</v>
      </c>
      <c r="B66" s="450" t="s">
        <v>1504</v>
      </c>
      <c r="C66" s="14"/>
      <c r="D66" s="14"/>
      <c r="E66" s="14"/>
      <c r="F66" s="14"/>
      <c r="G66" s="46" t="str">
        <f>"- Line "&amp;A64&amp;" * Line "&amp;A65&amp;""</f>
        <v>- Line 21 * Line 22</v>
      </c>
      <c r="H66" s="7">
        <f>-H64*H65</f>
        <v>-59847.479185296681</v>
      </c>
    </row>
    <row r="67" spans="1:12" ht="13">
      <c r="A67" s="109">
        <f t="shared" ref="A67:A74" si="0">A66+1</f>
        <v>24</v>
      </c>
      <c r="B67" s="450"/>
      <c r="C67" s="14"/>
      <c r="D67" s="14"/>
      <c r="E67" s="14"/>
      <c r="F67" s="14"/>
      <c r="G67" s="46"/>
      <c r="H67" s="7"/>
    </row>
    <row r="68" spans="1:12" ht="13">
      <c r="A68" s="109">
        <f t="shared" si="0"/>
        <v>25</v>
      </c>
      <c r="B68" s="907" t="s">
        <v>2279</v>
      </c>
      <c r="C68" s="14"/>
      <c r="D68" s="14"/>
      <c r="E68" s="14"/>
      <c r="F68" s="14"/>
      <c r="G68" s="46"/>
      <c r="H68" s="7"/>
    </row>
    <row r="69" spans="1:12" ht="13">
      <c r="A69" s="109">
        <f t="shared" si="0"/>
        <v>26</v>
      </c>
      <c r="B69" s="450"/>
      <c r="C69" s="14"/>
      <c r="D69" s="14"/>
      <c r="E69" s="14"/>
      <c r="F69" s="14"/>
      <c r="G69" s="29" t="s">
        <v>179</v>
      </c>
      <c r="H69" s="7"/>
      <c r="I69" s="539" t="s">
        <v>1343</v>
      </c>
    </row>
    <row r="70" spans="1:12" ht="13">
      <c r="A70" s="109">
        <f t="shared" si="0"/>
        <v>27</v>
      </c>
      <c r="B70" s="450" t="s">
        <v>2280</v>
      </c>
      <c r="C70" s="14"/>
      <c r="D70" s="14"/>
      <c r="E70" s="14"/>
      <c r="F70" s="14"/>
      <c r="G70" s="462" t="s">
        <v>33</v>
      </c>
      <c r="H70" s="1410">
        <v>468351</v>
      </c>
      <c r="I70" s="462" t="s">
        <v>1168</v>
      </c>
    </row>
    <row r="71" spans="1:12" ht="13">
      <c r="A71" s="109">
        <f t="shared" si="0"/>
        <v>28</v>
      </c>
      <c r="B71" s="450" t="s">
        <v>2281</v>
      </c>
      <c r="C71" s="14"/>
      <c r="D71" s="14"/>
      <c r="E71" s="14"/>
      <c r="F71" s="14"/>
      <c r="G71" s="462" t="s">
        <v>33</v>
      </c>
      <c r="H71" s="1410">
        <v>46948</v>
      </c>
      <c r="I71" s="16" t="s">
        <v>1168</v>
      </c>
    </row>
    <row r="72" spans="1:12" ht="13">
      <c r="A72" s="109">
        <f t="shared" si="0"/>
        <v>29</v>
      </c>
      <c r="B72" s="450" t="s">
        <v>2282</v>
      </c>
      <c r="C72" s="14"/>
      <c r="D72" s="14"/>
      <c r="E72" s="14"/>
      <c r="F72" s="14"/>
      <c r="G72" s="849" t="str">
        <f>"Line "&amp;A70&amp;" + "&amp;A71&amp;""</f>
        <v>Line 27 + 28</v>
      </c>
      <c r="H72" s="908">
        <f>SUM(H70:H71)</f>
        <v>515299</v>
      </c>
    </row>
    <row r="73" spans="1:12" ht="13">
      <c r="A73" s="109">
        <f t="shared" si="0"/>
        <v>30</v>
      </c>
      <c r="B73" s="450" t="s">
        <v>93</v>
      </c>
      <c r="C73" s="14"/>
      <c r="D73" s="14"/>
      <c r="E73" s="14"/>
      <c r="F73" s="14"/>
      <c r="G73" s="450" t="str">
        <f>"27-Allocators, Line "&amp;'27-Allocators'!A15&amp;""</f>
        <v>27-Allocators, Line 9</v>
      </c>
      <c r="H73" s="49">
        <f>'27-Allocators'!G15</f>
        <v>6.982260642173875E-2</v>
      </c>
    </row>
    <row r="74" spans="1:12" ht="13">
      <c r="A74" s="109">
        <f t="shared" si="0"/>
        <v>31</v>
      </c>
      <c r="B74" s="450" t="s">
        <v>2283</v>
      </c>
      <c r="C74" s="14"/>
      <c r="D74" s="14"/>
      <c r="E74" s="14"/>
      <c r="F74" s="14"/>
      <c r="G74" s="849" t="str">
        <f>"Line "&amp;A72&amp;" * "&amp;A73&amp;""</f>
        <v>Line 29 * 30</v>
      </c>
      <c r="H74" s="63">
        <f>H72*H73</f>
        <v>35979.519266515556</v>
      </c>
    </row>
    <row r="75" spans="1:12">
      <c r="G75" s="14"/>
    </row>
    <row r="76" spans="1:12" ht="13">
      <c r="A76" s="235"/>
      <c r="B76" s="905" t="s">
        <v>1810</v>
      </c>
      <c r="C76" s="235"/>
      <c r="D76" s="235"/>
      <c r="E76" s="235"/>
      <c r="F76" s="235"/>
      <c r="G76" s="235"/>
      <c r="H76" s="235"/>
      <c r="I76" s="447" t="s">
        <v>1343</v>
      </c>
      <c r="J76" s="227"/>
      <c r="K76" s="227"/>
      <c r="L76" s="227"/>
    </row>
    <row r="77" spans="1:12" ht="13">
      <c r="A77" s="109">
        <f>A74+1</f>
        <v>32</v>
      </c>
      <c r="B77" s="441" t="s">
        <v>1523</v>
      </c>
      <c r="C77" s="235"/>
      <c r="D77" s="235"/>
      <c r="E77" s="235"/>
      <c r="F77" s="235"/>
      <c r="G77" s="450" t="str">
        <f>" - Line "&amp;A30&amp;", Col. 2"</f>
        <v xml:space="preserve"> - Line 7, Col. 2</v>
      </c>
      <c r="H77" s="231">
        <f>-I30</f>
        <v>2176300</v>
      </c>
      <c r="I77" s="227"/>
      <c r="J77" s="227"/>
      <c r="K77" s="227"/>
      <c r="L77" s="227"/>
    </row>
    <row r="78" spans="1:12" ht="13">
      <c r="A78" s="109">
        <f>A77+1</f>
        <v>33</v>
      </c>
      <c r="B78" s="441" t="s">
        <v>1339</v>
      </c>
      <c r="C78" s="235"/>
      <c r="D78" s="235"/>
      <c r="E78" s="235"/>
      <c r="F78" s="235"/>
      <c r="G78" s="450" t="str">
        <f>"Line "&amp;A59&amp;""</f>
        <v>Line 20</v>
      </c>
      <c r="H78" s="231">
        <f>H59</f>
        <v>-3475597.2250765101</v>
      </c>
      <c r="I78" s="227"/>
      <c r="J78" s="227"/>
      <c r="K78" s="227"/>
      <c r="L78" s="227"/>
    </row>
    <row r="79" spans="1:12" ht="13">
      <c r="A79" s="109">
        <f>A78+1</f>
        <v>34</v>
      </c>
      <c r="B79" s="441" t="s">
        <v>1501</v>
      </c>
      <c r="C79" s="235"/>
      <c r="D79" s="235"/>
      <c r="E79" s="235"/>
      <c r="F79" s="235"/>
      <c r="G79" s="450" t="str">
        <f>"Line "&amp;A66&amp;""</f>
        <v>Line 23</v>
      </c>
      <c r="H79" s="231">
        <f>H66</f>
        <v>-59847.479185296681</v>
      </c>
      <c r="I79" s="227"/>
      <c r="J79" s="227"/>
      <c r="K79" s="227"/>
      <c r="L79" s="227"/>
    </row>
    <row r="80" spans="1:12" ht="13">
      <c r="A80" s="109">
        <f>A79+1</f>
        <v>35</v>
      </c>
      <c r="B80" s="441" t="s">
        <v>1340</v>
      </c>
      <c r="C80" s="235"/>
      <c r="D80" s="235"/>
      <c r="E80" s="235"/>
      <c r="F80" s="235"/>
      <c r="G80" s="450" t="str">
        <f>"- Line "&amp;A33&amp;", Col. 2"</f>
        <v>- Line 10, Col. 2</v>
      </c>
      <c r="H80" s="231">
        <f>-I33</f>
        <v>-511200</v>
      </c>
      <c r="I80" s="227"/>
      <c r="J80" s="227"/>
      <c r="K80" s="227"/>
      <c r="L80" s="227"/>
    </row>
    <row r="81" spans="1:12" ht="13">
      <c r="A81" s="109">
        <f t="shared" ref="A81:A83" si="1">A80+1</f>
        <v>36</v>
      </c>
      <c r="B81" s="441" t="s">
        <v>2284</v>
      </c>
      <c r="C81" s="235"/>
      <c r="D81" s="235"/>
      <c r="E81" s="235"/>
      <c r="F81" s="235"/>
      <c r="G81" s="849" t="str">
        <f>" - Line "&amp;A74&amp;""</f>
        <v xml:space="preserve"> - Line 31</v>
      </c>
      <c r="H81" s="231">
        <f>-H74</f>
        <v>-35979.519266515556</v>
      </c>
      <c r="I81" s="227"/>
      <c r="J81" s="227"/>
      <c r="K81" s="227"/>
      <c r="L81" s="227"/>
    </row>
    <row r="82" spans="1:12" s="955" customFormat="1" ht="13">
      <c r="A82" s="109">
        <f t="shared" si="1"/>
        <v>37</v>
      </c>
      <c r="B82" s="845" t="s">
        <v>2285</v>
      </c>
      <c r="C82" s="235"/>
      <c r="D82" s="235"/>
      <c r="E82" s="235"/>
      <c r="F82" s="235"/>
      <c r="G82" s="849"/>
      <c r="H82" s="991">
        <v>-24051</v>
      </c>
      <c r="I82" s="241" t="s">
        <v>1169</v>
      </c>
      <c r="J82" s="227"/>
      <c r="K82" s="227"/>
      <c r="L82" s="227"/>
    </row>
    <row r="83" spans="1:12" ht="13">
      <c r="A83" s="109">
        <f t="shared" si="1"/>
        <v>38</v>
      </c>
      <c r="B83" s="235"/>
      <c r="C83" s="235"/>
      <c r="D83" s="235"/>
      <c r="E83" s="235"/>
      <c r="F83" s="235"/>
      <c r="G83" s="858" t="s">
        <v>1349</v>
      </c>
      <c r="H83" s="231">
        <f>SUM(H77:H82)</f>
        <v>-1930375.2235283223</v>
      </c>
      <c r="I83" s="227"/>
      <c r="J83" s="227"/>
      <c r="K83" s="227"/>
      <c r="L83" s="227"/>
    </row>
    <row r="84" spans="1:12">
      <c r="A84" s="235"/>
      <c r="B84" s="235"/>
      <c r="C84" s="235"/>
      <c r="D84" s="235"/>
      <c r="E84" s="235"/>
      <c r="F84" s="235"/>
      <c r="G84" s="235"/>
      <c r="H84" s="235"/>
      <c r="I84" s="227"/>
      <c r="J84" s="227"/>
      <c r="K84" s="227"/>
      <c r="L84" s="227"/>
    </row>
    <row r="85" spans="1:12" ht="13">
      <c r="A85" s="235"/>
      <c r="B85" s="909" t="s">
        <v>1350</v>
      </c>
      <c r="C85" s="235"/>
      <c r="D85" s="235"/>
      <c r="E85" s="235"/>
      <c r="F85" s="235"/>
      <c r="G85" s="235"/>
      <c r="H85" s="235"/>
      <c r="I85" s="227"/>
      <c r="J85" s="227"/>
      <c r="K85" s="227"/>
      <c r="L85" s="227"/>
    </row>
    <row r="86" spans="1:12" ht="13">
      <c r="A86" s="235"/>
      <c r="B86" s="14"/>
      <c r="C86" s="235"/>
      <c r="D86" s="235"/>
      <c r="E86" s="235"/>
      <c r="F86" s="235"/>
      <c r="G86" s="29" t="s">
        <v>179</v>
      </c>
      <c r="H86" s="122" t="s">
        <v>171</v>
      </c>
      <c r="I86" s="227"/>
      <c r="J86" s="227"/>
      <c r="K86" s="227"/>
      <c r="L86" s="227"/>
    </row>
    <row r="87" spans="1:12" ht="13">
      <c r="A87" s="109">
        <f>A83+1</f>
        <v>39</v>
      </c>
      <c r="B87" s="848" t="s">
        <v>1346</v>
      </c>
      <c r="C87" s="235"/>
      <c r="D87" s="235"/>
      <c r="E87" s="235"/>
      <c r="F87" s="235"/>
      <c r="G87" s="450" t="str">
        <f>"Line "&amp;A44&amp;""</f>
        <v>Line 15</v>
      </c>
      <c r="H87" s="231">
        <f>H44</f>
        <v>-253462.86403986122</v>
      </c>
      <c r="I87" s="227"/>
      <c r="J87" s="227"/>
      <c r="K87" s="227"/>
      <c r="L87" s="227"/>
    </row>
    <row r="88" spans="1:12" ht="13">
      <c r="A88" s="109">
        <f>A87+1</f>
        <v>40</v>
      </c>
      <c r="B88" s="235" t="s">
        <v>1351</v>
      </c>
      <c r="C88" s="235"/>
      <c r="D88" s="235"/>
      <c r="E88" s="235"/>
      <c r="F88" s="235"/>
      <c r="G88" s="450" t="str">
        <f>"Line "&amp;A83&amp;""</f>
        <v>Line 38</v>
      </c>
      <c r="H88" s="231">
        <f>H83</f>
        <v>-1930375.2235283223</v>
      </c>
      <c r="I88" s="227"/>
      <c r="J88" s="227"/>
      <c r="K88" s="227"/>
      <c r="L88" s="227"/>
    </row>
    <row r="89" spans="1:12" ht="13">
      <c r="A89" s="109">
        <f>A88+1</f>
        <v>41</v>
      </c>
      <c r="B89" s="15" t="s">
        <v>1433</v>
      </c>
      <c r="C89" s="235"/>
      <c r="D89" s="235"/>
      <c r="E89" s="235"/>
      <c r="F89" s="235"/>
      <c r="G89" s="450" t="str">
        <f>"- 1-Base TRR, L "&amp;'1-BaseTRR'!A142&amp;""</f>
        <v>- 1-Base TRR, L 80</v>
      </c>
      <c r="H89" s="231">
        <f>-'1-BaseTRR'!K142</f>
        <v>-14184095.660442838</v>
      </c>
      <c r="I89" s="227"/>
      <c r="J89" s="227"/>
      <c r="K89" s="227"/>
      <c r="L89" s="227"/>
    </row>
    <row r="90" spans="1:12" ht="13">
      <c r="A90" s="109">
        <f t="shared" ref="A90:A93" si="2">A89+1</f>
        <v>42</v>
      </c>
      <c r="B90" s="15" t="s">
        <v>1434</v>
      </c>
      <c r="C90" s="235"/>
      <c r="D90" s="235"/>
      <c r="E90" s="235"/>
      <c r="F90" s="235"/>
      <c r="G90" s="450" t="str">
        <f>"- 2-IFPTRR, L "&amp;'2-IFPTRR'!A89&amp;""</f>
        <v>- 2-IFPTRR, L 80</v>
      </c>
      <c r="H90" s="445">
        <f>-'2-IFPTRR'!D89</f>
        <v>-1241375.5779439965</v>
      </c>
      <c r="I90" s="227"/>
      <c r="J90" s="227"/>
      <c r="K90" s="227"/>
      <c r="L90" s="227"/>
    </row>
    <row r="91" spans="1:12" ht="13">
      <c r="A91" s="109">
        <f t="shared" si="2"/>
        <v>43</v>
      </c>
      <c r="B91" s="15" t="s">
        <v>97</v>
      </c>
      <c r="C91" s="235"/>
      <c r="D91" s="235"/>
      <c r="E91" s="235"/>
      <c r="F91" s="235"/>
      <c r="G91" s="46" t="str">
        <f>"Sum Line "&amp;A87&amp;" to Line "&amp;A90&amp;""</f>
        <v>Sum Line 39 to Line 42</v>
      </c>
      <c r="H91" s="231">
        <f>SUM(H87:H90)</f>
        <v>-17609309.325955018</v>
      </c>
      <c r="I91" s="235"/>
      <c r="J91" s="227"/>
      <c r="K91" s="227"/>
      <c r="L91" s="227"/>
    </row>
    <row r="92" spans="1:12" ht="13">
      <c r="A92" s="109">
        <f t="shared" si="2"/>
        <v>44</v>
      </c>
      <c r="B92" s="15" t="s">
        <v>1358</v>
      </c>
      <c r="C92" s="235"/>
      <c r="D92" s="235"/>
      <c r="E92" s="235"/>
      <c r="F92" s="235"/>
      <c r="G92" s="14"/>
      <c r="H92" s="445">
        <f>'28-FFU'!D22*SUM(H87+H88)</f>
        <v>-20196.304685655839</v>
      </c>
      <c r="I92" s="450" t="s">
        <v>1166</v>
      </c>
      <c r="J92" s="227"/>
      <c r="K92" s="227"/>
      <c r="L92" s="227"/>
    </row>
    <row r="93" spans="1:12" ht="13">
      <c r="A93" s="109">
        <f t="shared" si="2"/>
        <v>45</v>
      </c>
      <c r="B93" s="14" t="s">
        <v>1352</v>
      </c>
      <c r="C93" s="235"/>
      <c r="D93" s="235"/>
      <c r="E93" s="235"/>
      <c r="F93" s="235"/>
      <c r="G93" s="46" t="str">
        <f>"Line "&amp;A91&amp;" + Line "&amp;A92&amp;""</f>
        <v>Line 43 + Line 44</v>
      </c>
      <c r="H93" s="231">
        <f>H91+H92</f>
        <v>-17629505.630640674</v>
      </c>
      <c r="I93" s="235"/>
      <c r="J93" s="227"/>
      <c r="K93" s="227"/>
      <c r="L93" s="227"/>
    </row>
    <row r="94" spans="1:12">
      <c r="A94" s="235"/>
      <c r="B94" s="14"/>
      <c r="C94" s="235"/>
      <c r="D94" s="235"/>
      <c r="E94" s="235"/>
      <c r="F94" s="235"/>
      <c r="G94" s="235"/>
      <c r="H94" s="235"/>
      <c r="I94" s="227"/>
      <c r="J94" s="227"/>
      <c r="K94" s="227"/>
      <c r="L94" s="227"/>
    </row>
    <row r="95" spans="1:12" ht="13">
      <c r="A95" s="235"/>
      <c r="B95" s="865" t="s">
        <v>1353</v>
      </c>
      <c r="C95" s="235"/>
      <c r="D95" s="235"/>
      <c r="E95" s="235"/>
      <c r="F95" s="235"/>
      <c r="G95" s="235"/>
      <c r="H95" s="235"/>
      <c r="I95" s="227"/>
      <c r="J95" s="227"/>
      <c r="K95" s="227"/>
      <c r="L95" s="227"/>
    </row>
    <row r="96" spans="1:12">
      <c r="A96" s="235"/>
      <c r="B96" s="235" t="s">
        <v>1354</v>
      </c>
      <c r="C96" s="235"/>
      <c r="D96" s="235"/>
      <c r="E96" s="235"/>
      <c r="F96" s="235"/>
      <c r="G96" s="235"/>
      <c r="H96" s="235"/>
      <c r="I96" s="235"/>
      <c r="J96" s="227"/>
      <c r="K96" s="227"/>
      <c r="L96" s="227"/>
    </row>
    <row r="97" spans="1:12">
      <c r="A97" s="235"/>
      <c r="B97" s="235" t="s">
        <v>1355</v>
      </c>
      <c r="C97" s="235"/>
      <c r="D97" s="235"/>
      <c r="E97" s="235"/>
      <c r="F97" s="235"/>
      <c r="G97" s="235"/>
      <c r="H97" s="235"/>
      <c r="I97" s="235"/>
      <c r="J97" s="227"/>
      <c r="K97" s="227"/>
      <c r="L97" s="227"/>
    </row>
    <row r="98" spans="1:12">
      <c r="A98" s="235"/>
      <c r="B98" s="235" t="str">
        <f>"2) Input Prior Year for this Informational Filing in Line "&amp;A42&amp;"."</f>
        <v>2) Input Prior Year for this Informational Filing in Line 13.</v>
      </c>
      <c r="C98" s="14"/>
      <c r="D98" s="14"/>
      <c r="E98" s="14"/>
      <c r="F98" s="14"/>
      <c r="G98" s="14"/>
      <c r="H98" s="14"/>
      <c r="I98" s="235"/>
      <c r="J98" s="227"/>
      <c r="K98" s="227"/>
      <c r="L98" s="227"/>
    </row>
    <row r="99" spans="1:12">
      <c r="A99" s="235"/>
      <c r="B99" s="235" t="str">
        <f>"3) Calculation: (Line "&amp;A34&amp;", "&amp;H25&amp;") + ((Line "&amp;A34&amp;", "&amp;I25&amp;") * (Line "&amp;A42&amp;" - 2010))."</f>
        <v>3) Calculation: (Line 11, Col 1) + ((Line 11, Col 2) * (Line 13 - 2010)).</v>
      </c>
      <c r="C99" s="14"/>
      <c r="D99" s="14"/>
      <c r="E99" s="14"/>
      <c r="F99" s="14"/>
      <c r="G99" s="14"/>
      <c r="H99" s="14"/>
      <c r="I99" s="235"/>
      <c r="J99" s="227"/>
      <c r="K99" s="227"/>
      <c r="L99" s="227"/>
    </row>
    <row r="100" spans="1:12">
      <c r="A100" s="235"/>
      <c r="B100" s="235" t="str">
        <f>"4) Franchise Fee Exclusion is equal to the Franchise Fee Factor on the 28-FFU Line "&amp;'28-FFU'!A22&amp;""</f>
        <v>4) Franchise Fee Exclusion is equal to the Franchise Fee Factor on the 28-FFU Line 5</v>
      </c>
      <c r="C100" s="235"/>
      <c r="D100" s="235"/>
      <c r="E100" s="235"/>
      <c r="F100" s="235"/>
      <c r="G100" s="235"/>
      <c r="H100" s="235"/>
      <c r="I100" s="235"/>
      <c r="J100" s="227"/>
      <c r="K100" s="227"/>
      <c r="L100" s="227"/>
    </row>
    <row r="101" spans="1:12">
      <c r="A101" s="227"/>
      <c r="B101" s="235" t="str">
        <f>"times Line "&amp;A87&amp;" + "&amp;A88&amp;"."</f>
        <v>times Line 39 + 40.</v>
      </c>
      <c r="C101" s="235"/>
      <c r="D101" s="235"/>
      <c r="E101" s="235"/>
      <c r="F101" s="235"/>
      <c r="G101" s="235"/>
      <c r="H101" s="235"/>
      <c r="I101" s="235"/>
      <c r="J101" s="227"/>
      <c r="K101" s="227"/>
      <c r="L101" s="227"/>
    </row>
    <row r="102" spans="1:12" ht="13">
      <c r="A102" s="227"/>
      <c r="B102" s="235" t="s">
        <v>2535</v>
      </c>
      <c r="C102" s="235"/>
      <c r="D102" s="235"/>
      <c r="E102" s="235"/>
      <c r="F102" s="235"/>
      <c r="G102" s="1235"/>
      <c r="H102" s="235"/>
      <c r="I102" s="235"/>
      <c r="J102" s="227"/>
      <c r="K102" s="227"/>
      <c r="L102" s="227"/>
    </row>
    <row r="103" spans="1:12">
      <c r="A103" s="227"/>
      <c r="B103" s="465" t="s">
        <v>2536</v>
      </c>
      <c r="C103" s="235"/>
      <c r="D103" s="235"/>
      <c r="E103" s="235"/>
      <c r="F103" s="235"/>
      <c r="G103" s="235"/>
      <c r="H103" s="235"/>
      <c r="I103" s="235"/>
      <c r="J103" s="227"/>
      <c r="K103" s="227"/>
      <c r="L103" s="227"/>
    </row>
    <row r="104" spans="1:12">
      <c r="A104" s="227"/>
      <c r="B104" s="227"/>
      <c r="C104" s="227"/>
      <c r="D104" s="227"/>
      <c r="E104" s="227"/>
      <c r="F104" s="227"/>
      <c r="G104" s="227"/>
      <c r="H104" s="227"/>
      <c r="I104" s="227"/>
      <c r="J104" s="227"/>
      <c r="K104" s="227"/>
      <c r="L104" s="227"/>
    </row>
    <row r="105" spans="1:12">
      <c r="A105" s="227"/>
      <c r="B105" s="227"/>
      <c r="C105" s="227"/>
      <c r="D105" s="227"/>
      <c r="E105" s="227"/>
      <c r="F105" s="227"/>
      <c r="G105" s="227"/>
      <c r="H105" s="227"/>
      <c r="I105" s="227"/>
      <c r="J105" s="227"/>
      <c r="K105" s="227"/>
      <c r="L105" s="227"/>
    </row>
    <row r="106" spans="1:12">
      <c r="A106" s="227"/>
      <c r="B106" s="227"/>
      <c r="C106" s="227"/>
      <c r="D106" s="227"/>
      <c r="E106" s="227"/>
      <c r="F106" s="227"/>
      <c r="G106" s="227"/>
      <c r="H106" s="227"/>
      <c r="I106" s="227"/>
      <c r="J106" s="227"/>
      <c r="K106" s="227"/>
      <c r="L106" s="227"/>
    </row>
    <row r="107" spans="1:12">
      <c r="A107" s="227"/>
      <c r="B107" s="227"/>
      <c r="C107" s="227"/>
      <c r="D107" s="227"/>
      <c r="E107" s="227"/>
      <c r="F107" s="227"/>
      <c r="G107" s="227"/>
      <c r="H107" s="227"/>
      <c r="I107" s="227"/>
      <c r="J107" s="227"/>
      <c r="K107" s="227"/>
      <c r="L107" s="227"/>
    </row>
    <row r="108" spans="1:12">
      <c r="A108" s="227"/>
      <c r="B108" s="227"/>
      <c r="C108" s="227"/>
      <c r="D108" s="227"/>
      <c r="E108" s="227"/>
      <c r="F108" s="227"/>
      <c r="G108" s="227"/>
      <c r="H108" s="227"/>
      <c r="I108" s="227"/>
      <c r="J108" s="227"/>
      <c r="K108" s="227"/>
      <c r="L108" s="227"/>
    </row>
    <row r="109" spans="1:12">
      <c r="A109" s="227"/>
      <c r="B109" s="227"/>
      <c r="C109" s="227"/>
      <c r="D109" s="227"/>
      <c r="E109" s="227"/>
      <c r="F109" s="227"/>
      <c r="G109" s="227"/>
      <c r="H109" s="227"/>
      <c r="I109" s="227"/>
      <c r="J109" s="227"/>
      <c r="K109" s="227"/>
      <c r="L109" s="227"/>
    </row>
    <row r="110" spans="1:12">
      <c r="A110" s="227"/>
      <c r="B110" s="227"/>
      <c r="C110" s="227"/>
      <c r="D110" s="227"/>
      <c r="E110" s="227"/>
      <c r="F110" s="227"/>
      <c r="G110" s="227"/>
      <c r="H110" s="227"/>
      <c r="I110" s="227"/>
      <c r="J110" s="227"/>
      <c r="K110" s="227"/>
      <c r="L110" s="227"/>
    </row>
    <row r="111" spans="1:12">
      <c r="A111" s="227"/>
      <c r="B111" s="227"/>
      <c r="C111" s="227"/>
      <c r="D111" s="227"/>
      <c r="E111" s="227"/>
      <c r="F111" s="227"/>
      <c r="G111" s="227"/>
      <c r="H111" s="227"/>
      <c r="I111" s="227"/>
      <c r="J111" s="227"/>
      <c r="K111" s="227"/>
      <c r="L111" s="227"/>
    </row>
    <row r="112" spans="1:12">
      <c r="A112" s="227"/>
      <c r="B112" s="227"/>
      <c r="C112" s="227"/>
      <c r="D112" s="227"/>
      <c r="E112" s="227"/>
      <c r="F112" s="227"/>
      <c r="G112" s="227"/>
      <c r="H112" s="227"/>
      <c r="I112" s="227"/>
      <c r="J112" s="227"/>
      <c r="K112" s="227"/>
      <c r="L112" s="227"/>
    </row>
    <row r="113" spans="1:12">
      <c r="A113" s="227"/>
      <c r="B113" s="227"/>
      <c r="C113" s="227"/>
      <c r="D113" s="227"/>
      <c r="E113" s="227"/>
      <c r="F113" s="227"/>
      <c r="G113" s="227"/>
      <c r="H113" s="227"/>
      <c r="I113" s="227"/>
      <c r="J113" s="227"/>
      <c r="K113" s="227"/>
      <c r="L113" s="227"/>
    </row>
    <row r="114" spans="1:12">
      <c r="A114" s="227"/>
      <c r="B114" s="227"/>
      <c r="C114" s="227"/>
      <c r="D114" s="227"/>
      <c r="E114" s="227"/>
      <c r="F114" s="227"/>
      <c r="G114" s="227"/>
      <c r="H114" s="227"/>
      <c r="I114" s="227"/>
      <c r="J114" s="227"/>
      <c r="K114" s="227"/>
      <c r="L114" s="227"/>
    </row>
    <row r="115" spans="1:12">
      <c r="A115" s="227"/>
      <c r="B115" s="227"/>
      <c r="C115" s="227"/>
      <c r="D115" s="227"/>
      <c r="E115" s="227"/>
      <c r="F115" s="227"/>
      <c r="G115" s="227"/>
      <c r="H115" s="227"/>
      <c r="I115" s="227"/>
      <c r="J115" s="227"/>
      <c r="K115" s="227"/>
      <c r="L115" s="227"/>
    </row>
    <row r="116" spans="1:12">
      <c r="A116" s="227"/>
      <c r="B116" s="227"/>
      <c r="C116" s="227"/>
      <c r="D116" s="227"/>
      <c r="E116" s="227"/>
      <c r="F116" s="227"/>
      <c r="G116" s="227"/>
      <c r="H116" s="227"/>
      <c r="I116" s="227"/>
      <c r="J116" s="227"/>
      <c r="K116" s="227"/>
      <c r="L116" s="227"/>
    </row>
    <row r="117" spans="1:12">
      <c r="A117" s="227"/>
      <c r="B117" s="227"/>
      <c r="C117" s="227"/>
      <c r="D117" s="227"/>
      <c r="E117" s="227"/>
      <c r="F117" s="227"/>
      <c r="G117" s="227"/>
      <c r="H117" s="227"/>
      <c r="I117" s="227"/>
      <c r="J117" s="227"/>
      <c r="K117" s="227"/>
      <c r="L117" s="227"/>
    </row>
    <row r="118" spans="1:12">
      <c r="A118" s="227"/>
      <c r="B118" s="227"/>
      <c r="C118" s="227"/>
      <c r="D118" s="227"/>
      <c r="E118" s="227"/>
      <c r="F118" s="227"/>
      <c r="G118" s="227"/>
      <c r="H118" s="227"/>
      <c r="I118" s="227"/>
      <c r="J118" s="227"/>
      <c r="K118" s="227"/>
      <c r="L118" s="227"/>
    </row>
    <row r="119" spans="1:12">
      <c r="A119" s="227"/>
      <c r="B119" s="227"/>
      <c r="C119" s="227"/>
      <c r="D119" s="227"/>
      <c r="E119" s="227"/>
      <c r="F119" s="227"/>
      <c r="G119" s="227"/>
      <c r="H119" s="227"/>
      <c r="I119" s="227"/>
      <c r="J119" s="227"/>
      <c r="K119" s="227"/>
      <c r="L119" s="227"/>
    </row>
    <row r="120" spans="1:12">
      <c r="A120" s="227"/>
      <c r="B120" s="227"/>
      <c r="C120" s="227"/>
      <c r="D120" s="227"/>
      <c r="E120" s="227"/>
      <c r="F120" s="227"/>
      <c r="G120" s="227"/>
      <c r="H120" s="227"/>
      <c r="I120" s="227"/>
      <c r="J120" s="227"/>
      <c r="K120" s="227"/>
      <c r="L120" s="227"/>
    </row>
    <row r="121" spans="1:12">
      <c r="A121" s="227"/>
      <c r="B121" s="227"/>
      <c r="C121" s="227"/>
      <c r="D121" s="227"/>
      <c r="E121" s="227"/>
      <c r="F121" s="227"/>
      <c r="G121" s="227"/>
      <c r="H121" s="227"/>
      <c r="I121" s="227"/>
      <c r="J121" s="227"/>
      <c r="K121" s="227"/>
      <c r="L121" s="227"/>
    </row>
    <row r="122" spans="1:12">
      <c r="A122" s="227"/>
      <c r="B122" s="227"/>
      <c r="C122" s="227"/>
      <c r="D122" s="227"/>
      <c r="E122" s="227"/>
      <c r="F122" s="227"/>
      <c r="G122" s="227"/>
      <c r="H122" s="227"/>
      <c r="I122" s="227"/>
      <c r="J122" s="227"/>
      <c r="K122" s="227"/>
      <c r="L122" s="227"/>
    </row>
    <row r="123" spans="1:12">
      <c r="A123" s="227"/>
      <c r="B123" s="227"/>
      <c r="C123" s="227"/>
      <c r="D123" s="227"/>
      <c r="E123" s="227"/>
      <c r="F123" s="227"/>
      <c r="G123" s="227"/>
      <c r="H123" s="227"/>
      <c r="I123" s="227"/>
      <c r="J123" s="227"/>
      <c r="K123" s="227"/>
      <c r="L123" s="227"/>
    </row>
    <row r="124" spans="1:12">
      <c r="A124" s="227"/>
      <c r="B124" s="227"/>
      <c r="C124" s="227"/>
      <c r="D124" s="227"/>
      <c r="E124" s="227"/>
      <c r="F124" s="227"/>
      <c r="G124" s="227"/>
      <c r="H124" s="227"/>
      <c r="I124" s="227"/>
      <c r="J124" s="227"/>
      <c r="K124" s="227"/>
      <c r="L124" s="227"/>
    </row>
    <row r="125" spans="1:12">
      <c r="A125" s="227"/>
      <c r="B125" s="227"/>
      <c r="C125" s="227"/>
      <c r="D125" s="227"/>
      <c r="E125" s="227"/>
      <c r="F125" s="227"/>
      <c r="G125" s="227"/>
      <c r="H125" s="227"/>
      <c r="I125" s="227"/>
      <c r="J125" s="227"/>
      <c r="K125" s="227"/>
      <c r="L125" s="227"/>
    </row>
    <row r="126" spans="1:12">
      <c r="A126" s="227"/>
      <c r="B126" s="227"/>
      <c r="C126" s="227"/>
      <c r="D126" s="227"/>
      <c r="E126" s="227"/>
      <c r="F126" s="227"/>
      <c r="G126" s="227"/>
      <c r="H126" s="227"/>
      <c r="I126" s="227"/>
      <c r="J126" s="227"/>
      <c r="K126" s="227"/>
      <c r="L126" s="227"/>
    </row>
    <row r="127" spans="1:12">
      <c r="A127" s="227"/>
      <c r="B127" s="227"/>
      <c r="C127" s="227"/>
      <c r="D127" s="227"/>
      <c r="E127" s="227"/>
      <c r="F127" s="227"/>
      <c r="G127" s="227"/>
      <c r="H127" s="227"/>
      <c r="I127" s="227"/>
      <c r="J127" s="227"/>
      <c r="K127" s="227"/>
      <c r="L127" s="227"/>
    </row>
    <row r="128" spans="1:12">
      <c r="A128" s="227"/>
      <c r="B128" s="227"/>
      <c r="C128" s="227"/>
      <c r="D128" s="227"/>
      <c r="E128" s="227"/>
      <c r="F128" s="227"/>
      <c r="G128" s="227"/>
      <c r="H128" s="227"/>
      <c r="I128" s="227"/>
      <c r="J128" s="227"/>
      <c r="K128" s="227"/>
      <c r="L128" s="227"/>
    </row>
    <row r="129" spans="1:12">
      <c r="A129" s="227"/>
      <c r="B129" s="227"/>
      <c r="C129" s="227"/>
      <c r="D129" s="227"/>
      <c r="E129" s="227"/>
      <c r="F129" s="227"/>
      <c r="G129" s="227"/>
      <c r="H129" s="227"/>
      <c r="I129" s="227"/>
      <c r="J129" s="227"/>
      <c r="K129" s="227"/>
      <c r="L129" s="227"/>
    </row>
    <row r="130" spans="1:12">
      <c r="A130" s="227"/>
      <c r="B130" s="227"/>
      <c r="C130" s="227"/>
      <c r="D130" s="227"/>
      <c r="E130" s="227"/>
      <c r="F130" s="227"/>
      <c r="G130" s="227"/>
      <c r="H130" s="227"/>
      <c r="I130" s="227"/>
      <c r="J130" s="227"/>
      <c r="K130" s="227"/>
      <c r="L130" s="227"/>
    </row>
    <row r="131" spans="1:12">
      <c r="A131" s="227"/>
      <c r="B131" s="227"/>
      <c r="C131" s="227"/>
      <c r="D131" s="227"/>
      <c r="E131" s="227"/>
      <c r="F131" s="227"/>
      <c r="G131" s="227"/>
      <c r="H131" s="227"/>
      <c r="I131" s="227"/>
      <c r="J131" s="227"/>
      <c r="K131" s="227"/>
      <c r="L131" s="227"/>
    </row>
    <row r="132" spans="1:12">
      <c r="A132" s="227"/>
      <c r="B132" s="227"/>
      <c r="C132" s="227"/>
      <c r="D132" s="227"/>
      <c r="E132" s="227"/>
      <c r="F132" s="227"/>
      <c r="G132" s="227"/>
      <c r="H132" s="227"/>
      <c r="I132" s="227"/>
      <c r="J132" s="227"/>
      <c r="K132" s="227"/>
      <c r="L132" s="227"/>
    </row>
    <row r="133" spans="1:12">
      <c r="A133" s="227"/>
      <c r="B133" s="227"/>
      <c r="C133" s="227"/>
      <c r="D133" s="227"/>
      <c r="E133" s="227"/>
      <c r="F133" s="227"/>
      <c r="G133" s="227"/>
      <c r="H133" s="227"/>
      <c r="I133" s="227"/>
      <c r="J133" s="227"/>
      <c r="K133" s="227"/>
      <c r="L133" s="227"/>
    </row>
    <row r="134" spans="1:12">
      <c r="A134" s="227"/>
      <c r="B134" s="227"/>
      <c r="C134" s="227"/>
      <c r="D134" s="227"/>
      <c r="E134" s="227"/>
      <c r="F134" s="227"/>
      <c r="G134" s="227"/>
      <c r="H134" s="227"/>
      <c r="I134" s="227"/>
      <c r="J134" s="227"/>
      <c r="K134" s="227"/>
      <c r="L134" s="227"/>
    </row>
    <row r="135" spans="1:12">
      <c r="A135" s="227"/>
      <c r="B135" s="227"/>
      <c r="C135" s="227"/>
      <c r="D135" s="227"/>
      <c r="E135" s="227"/>
      <c r="F135" s="227"/>
      <c r="G135" s="227"/>
      <c r="H135" s="227"/>
      <c r="I135" s="227"/>
      <c r="J135" s="227"/>
      <c r="K135" s="227"/>
      <c r="L135" s="227"/>
    </row>
    <row r="136" spans="1:12">
      <c r="A136" s="227"/>
      <c r="B136" s="227"/>
      <c r="C136" s="227"/>
      <c r="D136" s="227"/>
      <c r="E136" s="227"/>
      <c r="F136" s="227"/>
      <c r="G136" s="227"/>
      <c r="H136" s="227"/>
      <c r="I136" s="227"/>
      <c r="J136" s="227"/>
      <c r="K136" s="227"/>
      <c r="L136" s="227"/>
    </row>
    <row r="137" spans="1:12">
      <c r="A137" s="227"/>
      <c r="B137" s="227"/>
      <c r="C137" s="227"/>
      <c r="D137" s="227"/>
      <c r="E137" s="227"/>
      <c r="F137" s="227"/>
      <c r="G137" s="227"/>
      <c r="H137" s="227"/>
      <c r="I137" s="227"/>
      <c r="J137" s="227"/>
      <c r="K137" s="227"/>
      <c r="L137" s="227"/>
    </row>
    <row r="138" spans="1:12">
      <c r="A138" s="227"/>
      <c r="B138" s="227"/>
      <c r="C138" s="227"/>
      <c r="D138" s="227"/>
      <c r="E138" s="227"/>
      <c r="F138" s="227"/>
      <c r="G138" s="227"/>
      <c r="H138" s="227"/>
      <c r="I138" s="227"/>
      <c r="J138" s="227"/>
      <c r="K138" s="227"/>
      <c r="L138" s="227"/>
    </row>
    <row r="139" spans="1:12">
      <c r="A139" s="227"/>
      <c r="B139" s="227"/>
      <c r="C139" s="227"/>
      <c r="D139" s="227"/>
      <c r="E139" s="227"/>
      <c r="F139" s="227"/>
      <c r="G139" s="227"/>
      <c r="H139" s="227"/>
      <c r="I139" s="227"/>
      <c r="J139" s="227"/>
      <c r="K139" s="227"/>
      <c r="L139" s="227"/>
    </row>
    <row r="140" spans="1:12">
      <c r="A140" s="227"/>
      <c r="B140" s="227"/>
      <c r="C140" s="227"/>
      <c r="D140" s="227"/>
      <c r="E140" s="227"/>
      <c r="F140" s="227"/>
      <c r="G140" s="227"/>
      <c r="H140" s="227"/>
      <c r="I140" s="227"/>
      <c r="J140" s="227"/>
      <c r="K140" s="227"/>
      <c r="L140" s="227"/>
    </row>
    <row r="141" spans="1:12">
      <c r="A141" s="227"/>
      <c r="B141" s="227"/>
      <c r="C141" s="227"/>
      <c r="D141" s="227"/>
      <c r="E141" s="227"/>
      <c r="F141" s="227"/>
      <c r="G141" s="227"/>
      <c r="H141" s="227"/>
      <c r="I141" s="227"/>
      <c r="J141" s="227"/>
      <c r="K141" s="227"/>
      <c r="L141" s="227"/>
    </row>
    <row r="142" spans="1:12">
      <c r="A142" s="227"/>
      <c r="B142" s="227"/>
      <c r="C142" s="227"/>
      <c r="D142" s="227"/>
      <c r="E142" s="227"/>
      <c r="F142" s="227"/>
      <c r="G142" s="227"/>
      <c r="H142" s="227"/>
      <c r="I142" s="227"/>
      <c r="J142" s="227"/>
      <c r="K142" s="227"/>
      <c r="L142" s="227"/>
    </row>
    <row r="143" spans="1:12">
      <c r="A143" s="227"/>
      <c r="B143" s="227"/>
      <c r="C143" s="227"/>
      <c r="D143" s="227"/>
      <c r="E143" s="227"/>
      <c r="F143" s="227"/>
      <c r="G143" s="227"/>
      <c r="H143" s="227"/>
      <c r="I143" s="227"/>
      <c r="J143" s="227"/>
      <c r="K143" s="227"/>
      <c r="L143" s="227"/>
    </row>
    <row r="144" spans="1:12">
      <c r="A144" s="227"/>
      <c r="B144" s="227"/>
      <c r="C144" s="227"/>
      <c r="D144" s="227"/>
      <c r="E144" s="227"/>
      <c r="F144" s="227"/>
      <c r="G144" s="227"/>
      <c r="H144" s="227"/>
      <c r="I144" s="227"/>
      <c r="J144" s="227"/>
      <c r="K144" s="227"/>
      <c r="L144" s="227"/>
    </row>
    <row r="145" spans="1:12">
      <c r="A145" s="227"/>
      <c r="B145" s="227"/>
      <c r="C145" s="227"/>
      <c r="D145" s="227"/>
      <c r="E145" s="227"/>
      <c r="F145" s="227"/>
      <c r="G145" s="227"/>
      <c r="H145" s="227"/>
      <c r="I145" s="227"/>
      <c r="J145" s="227"/>
      <c r="K145" s="227"/>
      <c r="L145" s="227"/>
    </row>
    <row r="146" spans="1:12">
      <c r="A146" s="227"/>
      <c r="B146" s="227"/>
      <c r="C146" s="227"/>
      <c r="D146" s="227"/>
      <c r="E146" s="227"/>
      <c r="F146" s="227"/>
      <c r="G146" s="227"/>
      <c r="H146" s="227"/>
      <c r="I146" s="227"/>
      <c r="J146" s="227"/>
      <c r="K146" s="227"/>
      <c r="L146" s="227"/>
    </row>
    <row r="147" spans="1:12">
      <c r="A147" s="227"/>
      <c r="B147" s="227"/>
      <c r="C147" s="227"/>
      <c r="D147" s="227"/>
      <c r="E147" s="227"/>
      <c r="F147" s="227"/>
      <c r="G147" s="227"/>
      <c r="H147" s="227"/>
      <c r="I147" s="227"/>
      <c r="J147" s="227"/>
      <c r="K147" s="227"/>
      <c r="L147" s="227"/>
    </row>
    <row r="148" spans="1:12">
      <c r="A148" s="227"/>
      <c r="B148" s="227"/>
      <c r="C148" s="227"/>
      <c r="D148" s="227"/>
      <c r="E148" s="227"/>
      <c r="F148" s="227"/>
      <c r="G148" s="227"/>
      <c r="H148" s="227"/>
      <c r="I148" s="227"/>
      <c r="J148" s="227"/>
      <c r="K148" s="227"/>
      <c r="L148" s="227"/>
    </row>
    <row r="149" spans="1:12">
      <c r="A149" s="227"/>
      <c r="B149" s="227"/>
      <c r="C149" s="227"/>
      <c r="D149" s="227"/>
      <c r="E149" s="227"/>
      <c r="F149" s="227"/>
      <c r="G149" s="227"/>
      <c r="H149" s="227"/>
      <c r="I149" s="227"/>
      <c r="J149" s="227"/>
      <c r="K149" s="227"/>
      <c r="L149" s="227"/>
    </row>
    <row r="150" spans="1:12">
      <c r="A150" s="227"/>
      <c r="B150" s="227"/>
      <c r="C150" s="227"/>
      <c r="D150" s="227"/>
      <c r="E150" s="227"/>
      <c r="F150" s="227"/>
      <c r="G150" s="227"/>
      <c r="H150" s="227"/>
      <c r="I150" s="227"/>
      <c r="J150" s="227"/>
      <c r="K150" s="227"/>
      <c r="L150" s="227"/>
    </row>
    <row r="151" spans="1:12">
      <c r="A151" s="227"/>
      <c r="B151" s="227"/>
      <c r="C151" s="227"/>
      <c r="D151" s="227"/>
      <c r="E151" s="227"/>
      <c r="F151" s="227"/>
      <c r="G151" s="227"/>
      <c r="H151" s="227"/>
      <c r="I151" s="227"/>
      <c r="J151" s="227"/>
      <c r="K151" s="227"/>
      <c r="L151" s="227"/>
    </row>
    <row r="152" spans="1:12">
      <c r="A152" s="227"/>
      <c r="B152" s="227"/>
      <c r="C152" s="227"/>
      <c r="D152" s="227"/>
      <c r="E152" s="227"/>
      <c r="F152" s="227"/>
      <c r="G152" s="227"/>
      <c r="H152" s="227"/>
      <c r="I152" s="227"/>
      <c r="J152" s="227"/>
      <c r="K152" s="227"/>
      <c r="L152" s="227"/>
    </row>
    <row r="153" spans="1:12">
      <c r="A153" s="227"/>
      <c r="B153" s="227"/>
      <c r="C153" s="227"/>
      <c r="D153" s="227"/>
      <c r="E153" s="227"/>
      <c r="F153" s="227"/>
      <c r="G153" s="227"/>
      <c r="H153" s="227"/>
      <c r="I153" s="227"/>
      <c r="J153" s="227"/>
      <c r="K153" s="227"/>
      <c r="L153" s="227"/>
    </row>
  </sheetData>
  <pageMargins left="0.7" right="0.7" top="0.75" bottom="0.75" header="0.3" footer="0.3"/>
  <pageSetup scale="77" orientation="portrait" cellComments="asDisplayed" r:id="rId1"/>
  <headerFooter>
    <oddHeader>&amp;CSchedule 25
Wholesale Differences to Base TRR
&amp;RTO2022 Annual Update 
Attachment 1</oddHeader>
    <oddFooter>&amp;R&amp;A</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zoomScaleNormal="100" workbookViewId="0"/>
  </sheetViews>
  <sheetFormatPr defaultRowHeight="12.5"/>
  <cols>
    <col min="1" max="1" width="4.54296875" customWidth="1"/>
    <col min="2" max="2" width="3.54296875" customWidth="1"/>
    <col min="3" max="3" width="18.54296875" customWidth="1"/>
    <col min="4" max="4" width="14.54296875" customWidth="1"/>
    <col min="5" max="5" width="45.54296875" customWidth="1"/>
    <col min="6" max="6" width="12.453125" bestFit="1" customWidth="1"/>
  </cols>
  <sheetData>
    <row r="1" spans="1:5" ht="13">
      <c r="A1" s="1" t="s">
        <v>2339</v>
      </c>
    </row>
    <row r="3" spans="1:5" ht="13">
      <c r="B3" s="1" t="s">
        <v>36</v>
      </c>
      <c r="E3" s="96" t="s">
        <v>17</v>
      </c>
    </row>
    <row r="4" spans="1:5" ht="13">
      <c r="D4" s="2" t="s">
        <v>37</v>
      </c>
    </row>
    <row r="5" spans="1:5" ht="13">
      <c r="C5" s="549" t="s">
        <v>13</v>
      </c>
      <c r="D5" s="2" t="s">
        <v>403</v>
      </c>
    </row>
    <row r="6" spans="1:5" ht="13">
      <c r="A6" s="3" t="s">
        <v>329</v>
      </c>
      <c r="C6" s="3" t="s">
        <v>193</v>
      </c>
      <c r="D6" s="3" t="s">
        <v>405</v>
      </c>
      <c r="E6" s="3" t="s">
        <v>179</v>
      </c>
    </row>
    <row r="7" spans="1:5" ht="13">
      <c r="A7" s="2">
        <v>1</v>
      </c>
      <c r="C7" s="524">
        <v>2022</v>
      </c>
      <c r="D7" s="1121">
        <v>0.21</v>
      </c>
      <c r="E7" s="864" t="s">
        <v>2442</v>
      </c>
    </row>
    <row r="8" spans="1:5" ht="13">
      <c r="A8" s="2">
        <f>A7+1</f>
        <v>2</v>
      </c>
      <c r="D8">
        <v>0</v>
      </c>
      <c r="E8" s="462"/>
    </row>
    <row r="9" spans="1:5" ht="13">
      <c r="A9" s="2">
        <f t="shared" ref="A9:A23" si="0">A8+1</f>
        <v>3</v>
      </c>
      <c r="B9" s="1" t="s">
        <v>38</v>
      </c>
      <c r="E9" s="955"/>
    </row>
    <row r="10" spans="1:5" ht="13">
      <c r="A10" s="2">
        <f t="shared" si="0"/>
        <v>4</v>
      </c>
      <c r="B10" s="1"/>
      <c r="D10" s="2"/>
      <c r="E10" s="955"/>
    </row>
    <row r="11" spans="1:5" ht="13">
      <c r="A11" s="2">
        <f t="shared" si="0"/>
        <v>5</v>
      </c>
      <c r="D11" s="2" t="s">
        <v>2462</v>
      </c>
      <c r="E11" s="955"/>
    </row>
    <row r="12" spans="1:5" ht="13">
      <c r="A12" s="2">
        <f t="shared" si="0"/>
        <v>6</v>
      </c>
      <c r="C12" s="549" t="s">
        <v>13</v>
      </c>
      <c r="D12" s="2" t="s">
        <v>403</v>
      </c>
      <c r="E12" s="955"/>
    </row>
    <row r="13" spans="1:5" ht="13">
      <c r="A13" s="2">
        <f t="shared" si="0"/>
        <v>7</v>
      </c>
      <c r="C13" s="3" t="s">
        <v>193</v>
      </c>
      <c r="D13" s="3" t="s">
        <v>404</v>
      </c>
      <c r="E13" s="3" t="s">
        <v>179</v>
      </c>
    </row>
    <row r="14" spans="1:5" ht="13">
      <c r="A14" s="2">
        <f t="shared" si="0"/>
        <v>8</v>
      </c>
      <c r="C14" s="524">
        <v>2022</v>
      </c>
      <c r="D14" s="1041">
        <v>8.8400000000000006E-2</v>
      </c>
      <c r="E14" s="864" t="s">
        <v>360</v>
      </c>
    </row>
    <row r="15" spans="1:5" ht="13">
      <c r="A15" s="2">
        <f t="shared" si="0"/>
        <v>9</v>
      </c>
      <c r="C15" s="54"/>
      <c r="D15" s="14"/>
      <c r="E15" s="13"/>
    </row>
    <row r="16" spans="1:5" ht="13">
      <c r="A16" s="2">
        <f t="shared" si="0"/>
        <v>10</v>
      </c>
      <c r="C16" s="54"/>
      <c r="D16" s="14"/>
      <c r="E16" s="16"/>
    </row>
    <row r="17" spans="1:9" ht="13">
      <c r="A17" s="2">
        <f t="shared" si="0"/>
        <v>11</v>
      </c>
      <c r="C17" s="61"/>
      <c r="E17" s="16"/>
    </row>
    <row r="18" spans="1:9" ht="12.75" customHeight="1">
      <c r="A18" s="549">
        <f t="shared" si="0"/>
        <v>12</v>
      </c>
      <c r="B18" s="1" t="s">
        <v>1629</v>
      </c>
      <c r="E18" s="16"/>
    </row>
    <row r="19" spans="1:9" ht="12.75" customHeight="1">
      <c r="A19" s="549">
        <f t="shared" si="0"/>
        <v>13</v>
      </c>
      <c r="E19" s="113"/>
      <c r="F19" s="3" t="s">
        <v>175</v>
      </c>
    </row>
    <row r="20" spans="1:9" ht="12.75" customHeight="1">
      <c r="A20" s="549">
        <f t="shared" si="0"/>
        <v>14</v>
      </c>
      <c r="B20" s="14"/>
      <c r="C20" s="14" t="str">
        <f>"Total Electric Payroll Tax Expense (From 1-BaseTRR, Line "&amp;'1-BaseTRR'!A52&amp;")"</f>
        <v>Total Electric Payroll Tax Expense (From 1-BaseTRR, Line 31)</v>
      </c>
      <c r="D20" s="14"/>
      <c r="E20" s="14"/>
      <c r="F20" s="7">
        <f>'1-BaseTRR'!K52</f>
        <v>132882954</v>
      </c>
      <c r="G20" s="12"/>
    </row>
    <row r="21" spans="1:9" ht="12.75" customHeight="1">
      <c r="A21" s="549">
        <f t="shared" si="0"/>
        <v>15</v>
      </c>
      <c r="B21" s="14"/>
      <c r="C21" s="465" t="s">
        <v>2335</v>
      </c>
      <c r="D21" s="14"/>
      <c r="E21" s="14"/>
      <c r="F21" s="571">
        <v>0.45500000000000002</v>
      </c>
      <c r="G21" s="12"/>
    </row>
    <row r="22" spans="1:9" ht="12.75" customHeight="1">
      <c r="A22" s="549">
        <f t="shared" si="0"/>
        <v>16</v>
      </c>
      <c r="B22" s="14"/>
      <c r="C22" s="465" t="str">
        <f>"Capitalized Overhead portion of Electric Payroll Tax Expense (Line "&amp;A20&amp;" * Line "&amp;A21&amp;")"</f>
        <v>Capitalized Overhead portion of Electric Payroll Tax Expense (Line 14 * Line 15)</v>
      </c>
      <c r="D22" s="14"/>
      <c r="E22" s="14"/>
      <c r="F22" s="445">
        <f>F20*F21</f>
        <v>60461744.07</v>
      </c>
      <c r="G22" s="465"/>
      <c r="H22" s="14"/>
      <c r="I22" s="465"/>
    </row>
    <row r="23" spans="1:9" ht="13">
      <c r="A23" s="549">
        <f t="shared" si="0"/>
        <v>17</v>
      </c>
      <c r="B23" s="14"/>
      <c r="C23" s="465" t="str">
        <f>"Non-Capitalized Overhead portion of Electric Payroll Tax Expense (Line "&amp;A20&amp;" - Line "&amp;A22&amp;")"</f>
        <v>Non-Capitalized Overhead portion of Electric Payroll Tax Expense (Line 14 - Line 16)</v>
      </c>
      <c r="D23" s="14"/>
      <c r="E23" s="14"/>
      <c r="F23" s="7">
        <f>F20-F22</f>
        <v>72421209.930000007</v>
      </c>
      <c r="G23" s="12"/>
      <c r="H23" s="14"/>
    </row>
    <row r="25" spans="1:9" ht="13">
      <c r="B25" s="51" t="s">
        <v>230</v>
      </c>
    </row>
    <row r="26" spans="1:9">
      <c r="B26" s="910" t="s">
        <v>2336</v>
      </c>
      <c r="C26" s="14"/>
      <c r="D26" s="961" t="s">
        <v>2808</v>
      </c>
      <c r="E26" s="961"/>
      <c r="F26" s="96"/>
    </row>
    <row r="27" spans="1:9">
      <c r="B27" s="910" t="s">
        <v>2338</v>
      </c>
      <c r="C27" s="14"/>
      <c r="D27" s="14"/>
      <c r="E27" s="14"/>
      <c r="F27" s="14"/>
    </row>
    <row r="28" spans="1:9">
      <c r="B28" s="652"/>
      <c r="C28" s="14"/>
      <c r="D28" s="96" t="s">
        <v>2809</v>
      </c>
      <c r="E28" s="96"/>
      <c r="F28" s="96"/>
    </row>
    <row r="29" spans="1:9">
      <c r="B29" s="465" t="s">
        <v>2337</v>
      </c>
      <c r="C29" s="14"/>
      <c r="D29" s="14"/>
      <c r="E29" s="961" t="s">
        <v>2812</v>
      </c>
    </row>
    <row r="30" spans="1:9">
      <c r="B30" s="462" t="s">
        <v>1794</v>
      </c>
      <c r="C30" s="14"/>
      <c r="D30" s="14"/>
      <c r="E30" s="932" t="s">
        <v>2813</v>
      </c>
    </row>
    <row r="31" spans="1:9">
      <c r="B31" s="463" t="s">
        <v>2428</v>
      </c>
    </row>
    <row r="32" spans="1:9">
      <c r="B32" s="463" t="s">
        <v>2429</v>
      </c>
    </row>
    <row r="33" spans="2:2">
      <c r="B33" s="463" t="s">
        <v>2430</v>
      </c>
    </row>
    <row r="34" spans="2:2">
      <c r="B34" s="463" t="s">
        <v>2431</v>
      </c>
    </row>
    <row r="35" spans="2:2">
      <c r="B35" s="463" t="s">
        <v>2440</v>
      </c>
    </row>
    <row r="36" spans="2:2">
      <c r="B36" s="463" t="s">
        <v>2432</v>
      </c>
    </row>
    <row r="37" spans="2:2">
      <c r="B37" s="463" t="s">
        <v>2433</v>
      </c>
    </row>
    <row r="38" spans="2:2">
      <c r="B38" s="463" t="s">
        <v>2434</v>
      </c>
    </row>
    <row r="39" spans="2:2">
      <c r="B39" s="463" t="s">
        <v>2435</v>
      </c>
    </row>
    <row r="40" spans="2:2">
      <c r="B40" s="463" t="s">
        <v>2436</v>
      </c>
    </row>
  </sheetData>
  <phoneticPr fontId="23" type="noConversion"/>
  <pageMargins left="0.75" right="0.75" top="1" bottom="1" header="0.5" footer="0.5"/>
  <pageSetup scale="75" orientation="portrait" cellComments="asDisplayed" r:id="rId1"/>
  <headerFooter alignWithMargins="0">
    <oddHeader>&amp;CSchedule 26
Tax Rates
&amp;RTO2022 Annual Update 
Attachment 1</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6"/>
  <sheetViews>
    <sheetView zoomScaleNormal="100" zoomScalePageLayoutView="70" workbookViewId="0"/>
  </sheetViews>
  <sheetFormatPr defaultRowHeight="12.5"/>
  <cols>
    <col min="1" max="2" width="4.54296875" customWidth="1"/>
    <col min="3" max="3" width="40.54296875" customWidth="1"/>
    <col min="4" max="4" width="20.54296875" customWidth="1"/>
    <col min="5" max="5" width="28.54296875" customWidth="1"/>
    <col min="6" max="6" width="2.54296875" customWidth="1"/>
    <col min="7" max="7" width="16.54296875" customWidth="1"/>
  </cols>
  <sheetData>
    <row r="1" spans="1:9" ht="13">
      <c r="A1" s="1" t="s">
        <v>202</v>
      </c>
      <c r="B1" s="1"/>
      <c r="E1" s="96" t="s">
        <v>17</v>
      </c>
    </row>
    <row r="2" spans="1:9" ht="13">
      <c r="A2" s="1"/>
      <c r="B2" s="1"/>
      <c r="C2" s="68" t="s">
        <v>2531</v>
      </c>
      <c r="D2" s="1480" t="s">
        <v>2810</v>
      </c>
      <c r="E2" s="511"/>
    </row>
    <row r="3" spans="1:9" s="955" customFormat="1" ht="13">
      <c r="A3" s="1"/>
      <c r="B3" s="1"/>
      <c r="C3" s="1232"/>
      <c r="D3" s="1232"/>
      <c r="E3" s="1232"/>
    </row>
    <row r="4" spans="1:9" ht="13">
      <c r="A4" s="2"/>
      <c r="B4" s="1" t="s">
        <v>1114</v>
      </c>
      <c r="G4" s="98"/>
    </row>
    <row r="5" spans="1:9" ht="13">
      <c r="A5" s="2"/>
      <c r="C5" s="1"/>
      <c r="D5" s="2"/>
      <c r="E5" s="2" t="s">
        <v>169</v>
      </c>
      <c r="G5" s="4" t="s">
        <v>63</v>
      </c>
    </row>
    <row r="6" spans="1:9" ht="13">
      <c r="A6" s="51" t="s">
        <v>329</v>
      </c>
      <c r="C6" s="1"/>
      <c r="D6" s="3" t="s">
        <v>168</v>
      </c>
      <c r="E6" s="3" t="s">
        <v>170</v>
      </c>
      <c r="G6" s="3" t="s">
        <v>171</v>
      </c>
    </row>
    <row r="7" spans="1:9" ht="13">
      <c r="A7" s="2">
        <v>1</v>
      </c>
      <c r="C7" s="911" t="s">
        <v>2456</v>
      </c>
      <c r="D7" s="14"/>
      <c r="E7" s="15" t="str">
        <f>"19-OandM Line "&amp;'19-OandM'!A124&amp;", Col. 7"</f>
        <v>19-OandM Line 91, Col. 7</v>
      </c>
      <c r="G7" s="7">
        <f>'19-OandM'!H124</f>
        <v>45761462.13821695</v>
      </c>
      <c r="I7" s="12"/>
    </row>
    <row r="8" spans="1:9" ht="13">
      <c r="A8" s="2">
        <f>A7+1</f>
        <v>2</v>
      </c>
      <c r="C8" s="66" t="s">
        <v>237</v>
      </c>
      <c r="D8" s="14"/>
      <c r="E8" s="15" t="s">
        <v>283</v>
      </c>
      <c r="G8" s="6">
        <v>911707192</v>
      </c>
    </row>
    <row r="9" spans="1:9" ht="13">
      <c r="A9" s="2">
        <f t="shared" ref="A9:A44" si="0">A8+1</f>
        <v>3</v>
      </c>
      <c r="C9" s="5" t="s">
        <v>238</v>
      </c>
      <c r="D9" s="14"/>
      <c r="E9" s="15" t="s">
        <v>284</v>
      </c>
      <c r="G9" s="6">
        <v>244615529</v>
      </c>
    </row>
    <row r="10" spans="1:9" ht="13">
      <c r="A10" s="2">
        <f t="shared" si="0"/>
        <v>4</v>
      </c>
      <c r="C10" s="66" t="s">
        <v>1120</v>
      </c>
      <c r="D10" s="14"/>
      <c r="E10" s="15" t="str">
        <f>"Line "&amp;A8&amp;" - Line "&amp;A9&amp;""</f>
        <v>Line 2 - Line 3</v>
      </c>
      <c r="G10" s="7">
        <f>G8-G9</f>
        <v>667091663</v>
      </c>
    </row>
    <row r="11" spans="1:9" ht="13">
      <c r="A11" s="2">
        <f t="shared" si="0"/>
        <v>5</v>
      </c>
      <c r="C11" s="911" t="s">
        <v>2007</v>
      </c>
      <c r="D11" s="14"/>
      <c r="E11" s="15" t="str">
        <f>"20-AandG, Note 2"</f>
        <v>20-AandG, Note 2</v>
      </c>
      <c r="G11" s="63">
        <f>'20-AandG'!E64</f>
        <v>-17396019</v>
      </c>
      <c r="I11" s="12"/>
    </row>
    <row r="12" spans="1:9" ht="13">
      <c r="A12" s="2">
        <f t="shared" si="0"/>
        <v>6</v>
      </c>
      <c r="C12" s="867" t="s">
        <v>2003</v>
      </c>
      <c r="D12" s="14"/>
      <c r="E12" s="15" t="str">
        <f>"20-AandG, Note 2"</f>
        <v>20-AandG, Note 2</v>
      </c>
      <c r="G12" s="100">
        <f>'20-AandG'!E61</f>
        <v>-5700430.1856445111</v>
      </c>
    </row>
    <row r="13" spans="1:9" ht="13">
      <c r="A13" s="2">
        <f t="shared" si="0"/>
        <v>7</v>
      </c>
      <c r="C13" s="911" t="s">
        <v>2004</v>
      </c>
      <c r="D13" s="14"/>
      <c r="E13" s="15" t="str">
        <f>"Line "&amp;A11&amp;" - Line "&amp;A12&amp;""</f>
        <v>Line 5 - Line 6</v>
      </c>
      <c r="G13" s="7">
        <f>G11-G12</f>
        <v>-11695588.814355489</v>
      </c>
    </row>
    <row r="14" spans="1:9" ht="13">
      <c r="A14" s="2">
        <f t="shared" si="0"/>
        <v>8</v>
      </c>
      <c r="C14" s="911" t="s">
        <v>2005</v>
      </c>
      <c r="D14" s="14"/>
      <c r="E14" s="15" t="str">
        <f>"Line "&amp;A10&amp;" + Line "&amp;A13&amp;""</f>
        <v>Line 4 + Line 7</v>
      </c>
      <c r="G14" s="7">
        <f>G10+G13</f>
        <v>655396074.18564451</v>
      </c>
    </row>
    <row r="15" spans="1:9" ht="13">
      <c r="A15" s="2">
        <f t="shared" si="0"/>
        <v>9</v>
      </c>
      <c r="C15" s="14" t="s">
        <v>200</v>
      </c>
      <c r="D15" s="14"/>
      <c r="E15" s="15" t="str">
        <f>"Line "&amp;A7&amp;" / Line "&amp;A14&amp;""</f>
        <v>Line 1 / Line 8</v>
      </c>
      <c r="G15" s="8">
        <f>G7/G14</f>
        <v>6.982260642173875E-2</v>
      </c>
    </row>
    <row r="16" spans="1:9" ht="13">
      <c r="A16" s="2">
        <f t="shared" si="0"/>
        <v>10</v>
      </c>
      <c r="C16" s="14"/>
      <c r="D16" s="14"/>
      <c r="E16" s="14"/>
    </row>
    <row r="17" spans="1:11" ht="13">
      <c r="A17" s="2">
        <f t="shared" si="0"/>
        <v>11</v>
      </c>
      <c r="B17" s="1" t="s">
        <v>1115</v>
      </c>
      <c r="C17" s="14"/>
      <c r="D17" s="14"/>
      <c r="E17" s="14"/>
      <c r="G17" s="98"/>
    </row>
    <row r="18" spans="1:11" ht="13">
      <c r="A18" s="2">
        <f t="shared" si="0"/>
        <v>12</v>
      </c>
      <c r="C18" s="14"/>
      <c r="D18" s="109"/>
      <c r="E18" s="109" t="s">
        <v>169</v>
      </c>
      <c r="G18" s="4" t="s">
        <v>63</v>
      </c>
    </row>
    <row r="19" spans="1:11" ht="13">
      <c r="A19" s="2">
        <f t="shared" si="0"/>
        <v>13</v>
      </c>
      <c r="C19" s="14"/>
      <c r="D19" s="122" t="s">
        <v>168</v>
      </c>
      <c r="E19" s="122" t="s">
        <v>170</v>
      </c>
      <c r="G19" s="3" t="s">
        <v>171</v>
      </c>
    </row>
    <row r="20" spans="1:11" ht="13">
      <c r="A20" s="2">
        <f t="shared" si="0"/>
        <v>14</v>
      </c>
      <c r="C20" s="14" t="s">
        <v>332</v>
      </c>
      <c r="D20" s="14"/>
      <c r="E20" s="15" t="str">
        <f>"7-PlantStudy, Line "&amp;'7-PlantStudy'!A28&amp;""</f>
        <v>7-PlantStudy, Line 21</v>
      </c>
      <c r="G20" s="63">
        <f>'7-PlantStudy'!E28</f>
        <v>9662547990.8865452</v>
      </c>
    </row>
    <row r="21" spans="1:11" ht="13">
      <c r="A21" s="2">
        <f t="shared" si="0"/>
        <v>15</v>
      </c>
      <c r="C21" s="14" t="s">
        <v>333</v>
      </c>
      <c r="D21" s="14"/>
      <c r="E21" s="15" t="str">
        <f>"7-PlantStudy, Line "&amp;'7-PlantStudy'!A42&amp;""</f>
        <v>7-PlantStudy, Line 30</v>
      </c>
      <c r="G21" s="63">
        <f>'7-PlantStudy'!E42</f>
        <v>0</v>
      </c>
    </row>
    <row r="22" spans="1:11" ht="13">
      <c r="A22" s="2">
        <f t="shared" si="0"/>
        <v>16</v>
      </c>
      <c r="C22" s="14" t="s">
        <v>59</v>
      </c>
      <c r="D22" s="14"/>
      <c r="E22" s="15" t="str">
        <f>"6-PlantInService, Line "&amp;'6-PlantInService'!A54&amp;", C2"</f>
        <v>6-PlantInService, Line 21, C2</v>
      </c>
      <c r="G22" s="63">
        <f>'6-PlantInService'!G54</f>
        <v>1587005797</v>
      </c>
      <c r="H22" s="98"/>
    </row>
    <row r="23" spans="1:11" ht="13">
      <c r="A23" s="2">
        <f t="shared" si="0"/>
        <v>17</v>
      </c>
      <c r="C23" s="14" t="s">
        <v>2376</v>
      </c>
      <c r="D23" s="14"/>
      <c r="E23" s="14" t="str">
        <f>"Line "&amp;A22&amp;" * Line "&amp;A15&amp;""</f>
        <v>Line 16 * Line 9</v>
      </c>
      <c r="G23" s="63">
        <f>G22*G15</f>
        <v>110808881.15294883</v>
      </c>
    </row>
    <row r="24" spans="1:11" ht="13">
      <c r="A24" s="2">
        <f t="shared" si="0"/>
        <v>18</v>
      </c>
      <c r="C24" s="14" t="s">
        <v>58</v>
      </c>
      <c r="D24" s="14"/>
      <c r="E24" s="15" t="str">
        <f>"6-PlantInService, Line "&amp;'6-PlantInService'!A54&amp;", C1"</f>
        <v>6-PlantInService, Line 21, C1</v>
      </c>
      <c r="G24" s="63">
        <f>'6-PlantInService'!F54</f>
        <v>3458659697</v>
      </c>
    </row>
    <row r="25" spans="1:11" ht="13">
      <c r="A25" s="2">
        <f t="shared" si="0"/>
        <v>19</v>
      </c>
      <c r="C25" s="14" t="s">
        <v>2377</v>
      </c>
      <c r="D25" s="14"/>
      <c r="E25" s="14" t="str">
        <f>"Line "&amp;A24&amp;" * Line "&amp;A15&amp;""</f>
        <v>Line 18 * Line 9</v>
      </c>
      <c r="G25" s="63">
        <f>G24*G15</f>
        <v>241492634.77036121</v>
      </c>
    </row>
    <row r="26" spans="1:11" ht="13">
      <c r="A26" s="2">
        <f t="shared" si="0"/>
        <v>20</v>
      </c>
      <c r="C26" s="15" t="s">
        <v>1118</v>
      </c>
      <c r="D26" s="14"/>
      <c r="E26" s="14" t="s">
        <v>34</v>
      </c>
      <c r="G26" s="6">
        <v>54562145476</v>
      </c>
    </row>
    <row r="27" spans="1:11" ht="13">
      <c r="A27" s="2">
        <f t="shared" si="0"/>
        <v>21</v>
      </c>
      <c r="C27" s="14"/>
      <c r="D27" s="14"/>
      <c r="E27" s="14"/>
      <c r="G27" s="98"/>
    </row>
    <row r="28" spans="1:11" ht="13">
      <c r="A28" s="2">
        <f t="shared" si="0"/>
        <v>22</v>
      </c>
      <c r="C28" s="14" t="s">
        <v>57</v>
      </c>
      <c r="D28" s="14"/>
      <c r="E28" s="15" t="str">
        <f>"(L"&amp;A20&amp;" + L"&amp;A21&amp;" + L"&amp;A23&amp;" + L"&amp;A25&amp;") / L"&amp;A26&amp;""</f>
        <v>(L14 + L15 + L17 + L19) / L20</v>
      </c>
      <c r="G28" s="8">
        <f>(G20+G21+G23+G25)/G26</f>
        <v>0.18354940810043915</v>
      </c>
    </row>
    <row r="29" spans="1:11" ht="13">
      <c r="A29" s="549">
        <f t="shared" si="0"/>
        <v>23</v>
      </c>
      <c r="C29" s="14"/>
      <c r="D29" s="14"/>
      <c r="E29" s="15"/>
      <c r="G29" s="8"/>
    </row>
    <row r="30" spans="1:11" ht="13">
      <c r="A30" s="109">
        <f t="shared" si="0"/>
        <v>24</v>
      </c>
      <c r="B30" s="44" t="s">
        <v>1834</v>
      </c>
      <c r="C30" s="14"/>
      <c r="D30" s="14"/>
      <c r="E30" s="14"/>
      <c r="F30" s="14"/>
      <c r="G30" s="14"/>
      <c r="H30" s="14"/>
      <c r="I30" s="14"/>
      <c r="J30" s="14"/>
      <c r="K30" s="14"/>
    </row>
    <row r="31" spans="1:11" ht="13">
      <c r="A31" s="109">
        <f t="shared" si="0"/>
        <v>25</v>
      </c>
      <c r="B31" s="465"/>
      <c r="C31" s="14"/>
      <c r="D31" s="14"/>
      <c r="E31" s="14"/>
      <c r="F31" s="14"/>
      <c r="G31" s="14"/>
      <c r="H31" s="14"/>
      <c r="I31" s="14"/>
      <c r="J31" s="14"/>
      <c r="K31" s="14"/>
    </row>
    <row r="32" spans="1:11" ht="13">
      <c r="A32" s="109">
        <f t="shared" si="0"/>
        <v>26</v>
      </c>
      <c r="B32" s="465" t="s">
        <v>2396</v>
      </c>
      <c r="C32" s="14"/>
      <c r="D32" s="122" t="s">
        <v>1778</v>
      </c>
      <c r="E32" s="122" t="s">
        <v>168</v>
      </c>
      <c r="F32" s="14"/>
      <c r="G32" s="539" t="s">
        <v>1779</v>
      </c>
      <c r="H32" s="14"/>
      <c r="I32" s="14"/>
      <c r="J32" s="14"/>
      <c r="K32" s="14"/>
    </row>
    <row r="33" spans="1:11" ht="13">
      <c r="A33" s="109">
        <f t="shared" si="0"/>
        <v>27</v>
      </c>
      <c r="B33" s="14"/>
      <c r="C33" s="465" t="s">
        <v>1780</v>
      </c>
      <c r="D33" s="951">
        <v>5946.7111938534917</v>
      </c>
      <c r="E33" s="122"/>
      <c r="F33" s="14"/>
      <c r="G33" s="570" t="s">
        <v>2307</v>
      </c>
      <c r="H33" s="14"/>
      <c r="I33" s="14"/>
      <c r="J33" s="14"/>
      <c r="K33" s="14"/>
    </row>
    <row r="34" spans="1:11" ht="13">
      <c r="A34" s="109">
        <f t="shared" si="0"/>
        <v>28</v>
      </c>
      <c r="B34" s="14"/>
      <c r="C34" s="465" t="s">
        <v>1781</v>
      </c>
      <c r="D34" s="951">
        <v>6523.0685067525601</v>
      </c>
      <c r="E34" s="122"/>
      <c r="F34" s="14"/>
      <c r="G34" s="570" t="s">
        <v>2308</v>
      </c>
      <c r="H34" s="14"/>
      <c r="I34" s="14"/>
      <c r="J34" s="14"/>
      <c r="K34" s="14"/>
    </row>
    <row r="35" spans="1:11" ht="13">
      <c r="A35" s="109">
        <f t="shared" si="0"/>
        <v>29</v>
      </c>
      <c r="B35" s="14"/>
      <c r="C35" s="465" t="s">
        <v>1782</v>
      </c>
      <c r="D35" s="111">
        <f>SUM(D33:D34)</f>
        <v>12469.779700606052</v>
      </c>
      <c r="E35" s="15" t="str">
        <f>" = L"&amp;A33&amp;" + L"&amp;A34&amp;""</f>
        <v xml:space="preserve"> = L27 + L28</v>
      </c>
      <c r="F35" s="14"/>
      <c r="G35" s="570" t="s">
        <v>2309</v>
      </c>
      <c r="H35" s="14"/>
      <c r="I35" s="14"/>
      <c r="J35" s="14"/>
      <c r="K35" s="14"/>
    </row>
    <row r="36" spans="1:11" ht="13">
      <c r="A36" s="109">
        <f t="shared" si="0"/>
        <v>30</v>
      </c>
      <c r="B36" s="14"/>
      <c r="C36" s="465" t="s">
        <v>2343</v>
      </c>
      <c r="D36" s="912">
        <f>D33/D35</f>
        <v>0.47688983579753791</v>
      </c>
      <c r="E36" s="15" t="str">
        <f>" = L"&amp;A33&amp;" / L"&amp;A35&amp;""</f>
        <v xml:space="preserve"> = L27 / L29</v>
      </c>
      <c r="F36" s="14"/>
      <c r="G36" s="868"/>
      <c r="H36" s="14"/>
      <c r="I36" s="14"/>
      <c r="J36" s="14"/>
      <c r="K36" s="14"/>
    </row>
    <row r="37" spans="1:11" ht="13">
      <c r="A37" s="109">
        <f t="shared" si="0"/>
        <v>31</v>
      </c>
      <c r="B37" s="122"/>
      <c r="C37" s="122"/>
      <c r="D37" s="14"/>
      <c r="E37" s="122"/>
      <c r="F37" s="14"/>
      <c r="G37" s="122"/>
      <c r="H37" s="14"/>
      <c r="I37" s="14"/>
      <c r="J37" s="14"/>
      <c r="K37" s="14"/>
    </row>
    <row r="38" spans="1:11" ht="13">
      <c r="A38" s="109">
        <f t="shared" si="0"/>
        <v>32</v>
      </c>
      <c r="B38" s="465" t="s">
        <v>2397</v>
      </c>
      <c r="C38" s="14"/>
      <c r="D38" s="122" t="s">
        <v>1778</v>
      </c>
      <c r="E38" s="122" t="s">
        <v>168</v>
      </c>
      <c r="F38" s="14"/>
      <c r="G38" s="539" t="s">
        <v>1779</v>
      </c>
      <c r="H38" s="14"/>
      <c r="I38" s="14"/>
      <c r="J38" s="14"/>
      <c r="K38" s="14"/>
    </row>
    <row r="39" spans="1:11" ht="13">
      <c r="A39" s="109">
        <f t="shared" si="0"/>
        <v>33</v>
      </c>
      <c r="B39" s="838"/>
      <c r="C39" s="465" t="s">
        <v>1783</v>
      </c>
      <c r="D39" s="951">
        <v>4.7140999999999993</v>
      </c>
      <c r="E39" s="122"/>
      <c r="F39" s="14"/>
      <c r="G39" s="868" t="s">
        <v>1272</v>
      </c>
      <c r="H39" s="14"/>
      <c r="I39" s="14"/>
      <c r="J39" s="14"/>
      <c r="K39" s="14"/>
    </row>
    <row r="40" spans="1:11" ht="13">
      <c r="A40" s="109">
        <f t="shared" si="0"/>
        <v>34</v>
      </c>
      <c r="B40" s="838"/>
      <c r="C40" s="465" t="s">
        <v>1784</v>
      </c>
      <c r="D40" s="951">
        <v>363.09459999999996</v>
      </c>
      <c r="E40" s="122"/>
      <c r="F40" s="14"/>
      <c r="G40" s="868" t="s">
        <v>1283</v>
      </c>
      <c r="H40" s="14"/>
      <c r="I40" s="14"/>
      <c r="J40" s="14"/>
      <c r="K40" s="14"/>
    </row>
    <row r="41" spans="1:11" ht="13">
      <c r="A41" s="109">
        <f t="shared" si="0"/>
        <v>35</v>
      </c>
      <c r="B41" s="838"/>
      <c r="C41" s="465" t="s">
        <v>1785</v>
      </c>
      <c r="D41" s="111">
        <f>SUM(D39:D40)</f>
        <v>367.80869999999993</v>
      </c>
      <c r="E41" s="15" t="str">
        <f>" = L"&amp;A39&amp;" + L"&amp;A40&amp;""</f>
        <v xml:space="preserve"> = L33 + L34</v>
      </c>
      <c r="F41" s="14"/>
      <c r="G41" s="14"/>
      <c r="H41" s="14"/>
      <c r="I41" s="14"/>
      <c r="J41" s="14"/>
      <c r="K41" s="14"/>
    </row>
    <row r="42" spans="1:11" ht="13">
      <c r="A42" s="109">
        <f t="shared" si="0"/>
        <v>36</v>
      </c>
      <c r="B42" s="838"/>
      <c r="C42" s="465" t="s">
        <v>2344</v>
      </c>
      <c r="D42" s="912">
        <f>D39/D41</f>
        <v>1.2816716950958474E-2</v>
      </c>
      <c r="E42" s="15" t="str">
        <f>" = L"&amp;A39&amp;" / L"&amp;A41&amp;""</f>
        <v xml:space="preserve"> = L33 / L35</v>
      </c>
      <c r="F42" s="14"/>
      <c r="G42" s="14"/>
      <c r="H42" s="14"/>
      <c r="I42" s="14"/>
      <c r="J42" s="14"/>
      <c r="K42" s="14"/>
    </row>
    <row r="43" spans="1:11" ht="13">
      <c r="A43" s="109">
        <f t="shared" si="0"/>
        <v>37</v>
      </c>
      <c r="B43" s="838"/>
      <c r="C43" s="112"/>
      <c r="D43" s="14"/>
      <c r="E43" s="122"/>
      <c r="F43" s="14"/>
      <c r="G43" s="63"/>
      <c r="H43" s="14"/>
      <c r="I43" s="14"/>
      <c r="J43" s="14"/>
      <c r="K43" s="14"/>
    </row>
    <row r="44" spans="1:11" ht="13">
      <c r="A44" s="109">
        <f t="shared" si="0"/>
        <v>38</v>
      </c>
      <c r="B44" s="465" t="s">
        <v>2398</v>
      </c>
      <c r="C44" s="14"/>
      <c r="D44" s="122" t="s">
        <v>1778</v>
      </c>
      <c r="E44" s="122" t="s">
        <v>168</v>
      </c>
      <c r="F44" s="14"/>
      <c r="G44" s="539" t="s">
        <v>1779</v>
      </c>
      <c r="H44" s="14"/>
      <c r="I44" s="14"/>
      <c r="J44" s="14"/>
      <c r="K44" s="14"/>
    </row>
    <row r="45" spans="1:11" ht="13">
      <c r="A45" s="109">
        <f t="shared" ref="A45:A54" si="1">A44+1</f>
        <v>39</v>
      </c>
      <c r="B45" s="838"/>
      <c r="C45" s="465" t="s">
        <v>1786</v>
      </c>
      <c r="D45" s="951">
        <v>1291</v>
      </c>
      <c r="E45" s="122"/>
      <c r="F45" s="14"/>
      <c r="G45" s="868" t="s">
        <v>2310</v>
      </c>
      <c r="H45" s="14"/>
      <c r="I45" s="14"/>
      <c r="J45" s="14"/>
      <c r="K45" s="14"/>
    </row>
    <row r="46" spans="1:11" ht="13">
      <c r="A46" s="109">
        <f t="shared" si="1"/>
        <v>40</v>
      </c>
      <c r="B46" s="838"/>
      <c r="C46" s="465" t="s">
        <v>1787</v>
      </c>
      <c r="D46" s="951">
        <v>2015</v>
      </c>
      <c r="E46" s="122"/>
      <c r="F46" s="14"/>
      <c r="G46" s="868"/>
      <c r="H46" s="14"/>
      <c r="I46" s="14"/>
      <c r="J46" s="14"/>
      <c r="K46" s="14"/>
    </row>
    <row r="47" spans="1:11" ht="13">
      <c r="A47" s="109">
        <f t="shared" si="1"/>
        <v>41</v>
      </c>
      <c r="B47" s="838"/>
      <c r="C47" s="465" t="s">
        <v>1788</v>
      </c>
      <c r="D47" s="111">
        <f>SUM(D45:D46)</f>
        <v>3306</v>
      </c>
      <c r="E47" s="15" t="str">
        <f>" = L"&amp;A45&amp;" + L"&amp;A46&amp;""</f>
        <v xml:space="preserve"> = L39 + L40</v>
      </c>
      <c r="F47" s="14"/>
      <c r="G47" s="14"/>
      <c r="H47" s="14"/>
      <c r="I47" s="14"/>
      <c r="J47" s="14"/>
      <c r="K47" s="14"/>
    </row>
    <row r="48" spans="1:11" ht="13">
      <c r="A48" s="109">
        <f t="shared" si="1"/>
        <v>42</v>
      </c>
      <c r="B48" s="838"/>
      <c r="C48" s="465" t="s">
        <v>1789</v>
      </c>
      <c r="D48" s="912">
        <f>D45/D47</f>
        <v>0.39050211736237145</v>
      </c>
      <c r="E48" s="15" t="str">
        <f>" = L"&amp;A45&amp;" / L"&amp;A47&amp;""</f>
        <v xml:space="preserve"> = L39 / L41</v>
      </c>
      <c r="F48" s="14"/>
      <c r="G48" s="14"/>
      <c r="H48" s="14"/>
      <c r="I48" s="14"/>
      <c r="J48" s="14"/>
      <c r="K48" s="14"/>
    </row>
    <row r="49" spans="1:11" ht="13">
      <c r="A49" s="109">
        <f t="shared" si="1"/>
        <v>43</v>
      </c>
      <c r="B49" s="14"/>
      <c r="C49" s="79"/>
      <c r="D49" s="14"/>
      <c r="E49" s="14"/>
      <c r="F49" s="14"/>
      <c r="G49" s="14"/>
      <c r="H49" s="14"/>
      <c r="I49" s="14"/>
      <c r="J49" s="14"/>
      <c r="K49" s="14"/>
    </row>
    <row r="50" spans="1:11" ht="13">
      <c r="A50" s="109">
        <f t="shared" si="1"/>
        <v>44</v>
      </c>
      <c r="B50" s="465" t="s">
        <v>2399</v>
      </c>
      <c r="C50" s="14"/>
      <c r="D50" s="122" t="s">
        <v>1778</v>
      </c>
      <c r="E50" s="122" t="s">
        <v>168</v>
      </c>
      <c r="F50" s="14"/>
      <c r="G50" s="539" t="s">
        <v>1779</v>
      </c>
      <c r="H50" s="14"/>
      <c r="I50" s="14"/>
      <c r="J50" s="14"/>
      <c r="K50" s="14"/>
    </row>
    <row r="51" spans="1:11" ht="13">
      <c r="A51" s="109">
        <f t="shared" si="1"/>
        <v>45</v>
      </c>
      <c r="B51" s="838"/>
      <c r="C51" s="465" t="s">
        <v>1792</v>
      </c>
      <c r="D51" s="951">
        <v>0</v>
      </c>
      <c r="E51" s="122"/>
      <c r="F51" s="14"/>
      <c r="G51" s="570" t="s">
        <v>2311</v>
      </c>
      <c r="H51" s="14"/>
      <c r="I51" s="14"/>
      <c r="J51" s="14"/>
      <c r="K51" s="14"/>
    </row>
    <row r="52" spans="1:11" ht="13">
      <c r="A52" s="109">
        <f t="shared" si="1"/>
        <v>46</v>
      </c>
      <c r="B52" s="838"/>
      <c r="C52" s="465" t="s">
        <v>1790</v>
      </c>
      <c r="D52" s="951">
        <v>8942</v>
      </c>
      <c r="E52" s="122"/>
      <c r="F52" s="14"/>
      <c r="G52" s="570" t="s">
        <v>1287</v>
      </c>
      <c r="H52" s="14"/>
      <c r="I52" s="14"/>
      <c r="J52" s="14"/>
      <c r="K52" s="14"/>
    </row>
    <row r="53" spans="1:11" ht="13">
      <c r="A53" s="109">
        <f t="shared" si="1"/>
        <v>47</v>
      </c>
      <c r="B53" s="838"/>
      <c r="C53" s="465" t="s">
        <v>1791</v>
      </c>
      <c r="D53" s="111">
        <f>D51+D52</f>
        <v>8942</v>
      </c>
      <c r="E53" s="15" t="str">
        <f>" = L"&amp;A51&amp;" + L"&amp;A52&amp;""</f>
        <v xml:space="preserve"> = L45 + L46</v>
      </c>
      <c r="F53" s="14"/>
      <c r="G53" s="570" t="s">
        <v>1288</v>
      </c>
      <c r="H53" s="14"/>
      <c r="I53" s="14"/>
      <c r="J53" s="14"/>
      <c r="K53" s="14"/>
    </row>
    <row r="54" spans="1:11" ht="13">
      <c r="A54" s="109">
        <f t="shared" si="1"/>
        <v>48</v>
      </c>
      <c r="B54" s="838"/>
      <c r="C54" s="465" t="s">
        <v>1793</v>
      </c>
      <c r="D54" s="912">
        <f>D51/D53</f>
        <v>0</v>
      </c>
      <c r="E54" s="15" t="str">
        <f>" = L"&amp;A51&amp;" / L"&amp;A53&amp;""</f>
        <v xml:space="preserve"> = L45 / L47</v>
      </c>
      <c r="F54" s="14"/>
      <c r="G54" s="570" t="s">
        <v>2312</v>
      </c>
      <c r="H54" s="14"/>
      <c r="I54" s="14"/>
      <c r="J54" s="14"/>
      <c r="K54" s="14"/>
    </row>
    <row r="55" spans="1:11" ht="13">
      <c r="A55" s="549"/>
      <c r="E55" s="14"/>
      <c r="F55" s="14"/>
      <c r="G55" s="14"/>
      <c r="H55" s="14"/>
      <c r="I55" s="14"/>
      <c r="J55" s="14"/>
      <c r="K55" s="14"/>
    </row>
    <row r="56" spans="1:11" ht="13">
      <c r="A56" s="549"/>
      <c r="E56" s="14"/>
      <c r="F56" s="14"/>
      <c r="G56" s="14"/>
      <c r="H56" s="14"/>
      <c r="I56" s="14"/>
      <c r="J56" s="14"/>
      <c r="K56" s="14"/>
    </row>
    <row r="57" spans="1:11" ht="13">
      <c r="A57" s="549"/>
      <c r="E57" s="14"/>
      <c r="F57" s="14"/>
      <c r="G57" s="14"/>
      <c r="H57" s="14"/>
      <c r="I57" s="14"/>
      <c r="J57" s="14"/>
      <c r="K57" s="14"/>
    </row>
    <row r="58" spans="1:11" ht="13">
      <c r="A58" s="549"/>
    </row>
    <row r="59" spans="1:11" ht="13">
      <c r="A59" s="549"/>
    </row>
    <row r="60" spans="1:11" ht="13">
      <c r="A60" s="549"/>
    </row>
    <row r="61" spans="1:11" ht="13">
      <c r="A61" s="549"/>
    </row>
    <row r="62" spans="1:11" ht="13">
      <c r="A62" s="549"/>
    </row>
    <row r="63" spans="1:11" ht="13">
      <c r="A63" s="549"/>
    </row>
    <row r="64" spans="1:11" ht="13">
      <c r="A64" s="549"/>
    </row>
    <row r="65" spans="1:1" ht="13">
      <c r="A65" s="549"/>
    </row>
    <row r="66" spans="1:1" ht="13">
      <c r="A66" s="549"/>
    </row>
  </sheetData>
  <phoneticPr fontId="23" type="noConversion"/>
  <pageMargins left="0.75" right="0.75" top="1" bottom="1" header="0.5" footer="0.5"/>
  <pageSetup scale="65" orientation="landscape" cellComments="asDisplayed" r:id="rId1"/>
  <headerFooter alignWithMargins="0">
    <oddHeader>&amp;CSchedule 27
Allocation Factors
&amp;RTO2022 Annual Update 
Attachment 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zoomScaleNormal="100" workbookViewId="0"/>
  </sheetViews>
  <sheetFormatPr defaultRowHeight="12.5"/>
  <cols>
    <col min="1" max="1" width="4.54296875" customWidth="1"/>
    <col min="2" max="2" width="3.54296875" customWidth="1"/>
    <col min="3" max="6" width="10.54296875" customWidth="1"/>
    <col min="7" max="7" width="9.453125" bestFit="1" customWidth="1"/>
    <col min="8" max="8" width="4.54296875" customWidth="1"/>
    <col min="9" max="9" width="35.54296875" customWidth="1"/>
  </cols>
  <sheetData>
    <row r="1" spans="1:9" ht="13">
      <c r="A1" s="1" t="s">
        <v>1631</v>
      </c>
    </row>
    <row r="2" spans="1:9" ht="13">
      <c r="C2" s="1227"/>
      <c r="D2" s="1" t="s">
        <v>2531</v>
      </c>
      <c r="E2" s="1480" t="s">
        <v>2937</v>
      </c>
      <c r="F2" s="511"/>
    </row>
    <row r="3" spans="1:9" ht="13">
      <c r="B3" s="1" t="s">
        <v>497</v>
      </c>
      <c r="I3" s="96" t="s">
        <v>17</v>
      </c>
    </row>
    <row r="4" spans="1:9" ht="13">
      <c r="B4" s="1"/>
      <c r="I4" s="14"/>
    </row>
    <row r="5" spans="1:9" ht="13">
      <c r="E5" s="109" t="s">
        <v>1851</v>
      </c>
    </row>
    <row r="6" spans="1:9" ht="13">
      <c r="A6" s="51" t="s">
        <v>329</v>
      </c>
      <c r="C6" s="3" t="s">
        <v>232</v>
      </c>
      <c r="D6" s="3" t="s">
        <v>233</v>
      </c>
      <c r="E6" s="913" t="s">
        <v>63</v>
      </c>
      <c r="G6" s="3" t="s">
        <v>234</v>
      </c>
      <c r="I6" s="51" t="s">
        <v>205</v>
      </c>
    </row>
    <row r="7" spans="1:9" ht="13">
      <c r="A7" s="2">
        <v>1</v>
      </c>
      <c r="C7" s="147">
        <v>2020</v>
      </c>
      <c r="D7" s="1476" t="s">
        <v>2811</v>
      </c>
      <c r="E7" s="148">
        <v>366</v>
      </c>
      <c r="F7" s="955"/>
      <c r="G7" s="1474">
        <v>9.2480778683301876E-3</v>
      </c>
      <c r="H7" s="955"/>
      <c r="I7" s="711" t="s">
        <v>2866</v>
      </c>
    </row>
    <row r="8" spans="1:9" ht="13">
      <c r="A8" s="2">
        <v>2</v>
      </c>
      <c r="C8" s="96"/>
      <c r="D8" s="96"/>
      <c r="E8" s="96"/>
      <c r="G8" s="96"/>
      <c r="I8" s="114"/>
    </row>
    <row r="10" spans="1:9" ht="13">
      <c r="B10" s="1" t="s">
        <v>1632</v>
      </c>
    </row>
    <row r="11" spans="1:9" ht="13">
      <c r="B11" s="1"/>
    </row>
    <row r="12" spans="1:9" ht="13">
      <c r="E12" s="109" t="s">
        <v>1851</v>
      </c>
    </row>
    <row r="13" spans="1:9" ht="13">
      <c r="C13" s="3" t="s">
        <v>232</v>
      </c>
      <c r="D13" s="3" t="s">
        <v>233</v>
      </c>
      <c r="E13" s="913" t="s">
        <v>63</v>
      </c>
      <c r="G13" s="3" t="s">
        <v>235</v>
      </c>
      <c r="I13" s="51" t="s">
        <v>205</v>
      </c>
    </row>
    <row r="14" spans="1:9" ht="13">
      <c r="A14" s="2">
        <v>3</v>
      </c>
      <c r="C14" s="147">
        <v>2020</v>
      </c>
      <c r="D14" s="148" t="s">
        <v>2811</v>
      </c>
      <c r="E14" s="148">
        <v>366</v>
      </c>
      <c r="F14" s="955"/>
      <c r="G14" s="1502">
        <v>1.1409096489999999E-2</v>
      </c>
      <c r="H14" s="955"/>
      <c r="I14" s="961" t="s">
        <v>2867</v>
      </c>
    </row>
    <row r="15" spans="1:9" ht="13">
      <c r="A15" s="2">
        <v>4</v>
      </c>
      <c r="C15" s="147"/>
      <c r="D15" s="96"/>
      <c r="E15" s="96"/>
      <c r="G15" s="88"/>
      <c r="I15" s="114"/>
    </row>
    <row r="18" spans="1:9" ht="13">
      <c r="B18" s="1" t="s">
        <v>496</v>
      </c>
    </row>
    <row r="19" spans="1:9" ht="13">
      <c r="B19" s="1"/>
    </row>
    <row r="20" spans="1:9" ht="13">
      <c r="C20" s="2" t="s">
        <v>402</v>
      </c>
      <c r="D20" s="2"/>
      <c r="E20" s="2"/>
    </row>
    <row r="21" spans="1:9" ht="13">
      <c r="C21" s="3" t="s">
        <v>193</v>
      </c>
      <c r="D21" s="3" t="s">
        <v>234</v>
      </c>
      <c r="E21" s="3" t="s">
        <v>235</v>
      </c>
      <c r="I21" s="51" t="s">
        <v>168</v>
      </c>
    </row>
    <row r="22" spans="1:9" ht="13">
      <c r="A22" s="2">
        <v>5</v>
      </c>
      <c r="C22" s="148">
        <v>2020</v>
      </c>
      <c r="D22" s="914">
        <f>E41</f>
        <v>9.2480778683301876E-3</v>
      </c>
      <c r="E22" s="914">
        <f>E42</f>
        <v>1.1409096489999999E-2</v>
      </c>
      <c r="F22" s="14"/>
      <c r="G22" s="14"/>
      <c r="H22" s="14"/>
      <c r="I22" s="465" t="s">
        <v>1726</v>
      </c>
    </row>
    <row r="24" spans="1:9" ht="13">
      <c r="B24" s="1" t="s">
        <v>230</v>
      </c>
    </row>
    <row r="25" spans="1:9">
      <c r="B25" s="12" t="s">
        <v>546</v>
      </c>
    </row>
    <row r="26" spans="1:9">
      <c r="B26" s="12" t="s">
        <v>545</v>
      </c>
    </row>
    <row r="28" spans="1:9" ht="13">
      <c r="B28" s="1" t="s">
        <v>377</v>
      </c>
    </row>
    <row r="29" spans="1:9">
      <c r="B29" s="465" t="s">
        <v>1728</v>
      </c>
      <c r="C29" s="14"/>
      <c r="D29" s="14"/>
      <c r="E29" s="14"/>
      <c r="F29" s="14"/>
      <c r="G29" s="14"/>
      <c r="H29" s="14"/>
      <c r="I29" s="14"/>
    </row>
    <row r="30" spans="1:9">
      <c r="B30" s="465" t="s">
        <v>1737</v>
      </c>
      <c r="C30" s="14"/>
      <c r="D30" s="14"/>
      <c r="E30" s="14"/>
      <c r="F30" s="14"/>
      <c r="G30" s="14"/>
      <c r="H30" s="14"/>
      <c r="I30" s="14"/>
    </row>
    <row r="31" spans="1:9">
      <c r="B31" s="465" t="s">
        <v>1856</v>
      </c>
      <c r="C31" s="14"/>
      <c r="D31" s="14"/>
      <c r="E31" s="14"/>
      <c r="F31" s="14"/>
      <c r="G31" s="14"/>
      <c r="H31" s="14"/>
      <c r="I31" s="14"/>
    </row>
    <row r="32" spans="1:9">
      <c r="B32" s="465" t="s">
        <v>1855</v>
      </c>
      <c r="C32" s="14"/>
      <c r="D32" s="14"/>
      <c r="E32" s="14"/>
      <c r="F32" s="14"/>
      <c r="G32" s="14"/>
      <c r="H32" s="14"/>
      <c r="I32" s="14"/>
    </row>
    <row r="33" spans="2:9">
      <c r="B33" s="465" t="s">
        <v>1723</v>
      </c>
      <c r="C33" s="14"/>
      <c r="D33" s="14"/>
      <c r="E33" s="14"/>
      <c r="F33" s="14"/>
      <c r="G33" s="14"/>
      <c r="H33" s="14"/>
      <c r="I33" s="14"/>
    </row>
    <row r="34" spans="2:9">
      <c r="B34" s="465" t="s">
        <v>1724</v>
      </c>
      <c r="C34" s="14"/>
      <c r="D34" s="14"/>
      <c r="E34" s="14"/>
      <c r="F34" s="14"/>
      <c r="G34" s="14"/>
      <c r="H34" s="14"/>
      <c r="I34" s="14"/>
    </row>
    <row r="35" spans="2:9">
      <c r="B35" s="465" t="s">
        <v>2008</v>
      </c>
      <c r="C35" s="14"/>
      <c r="D35" s="14"/>
      <c r="E35" s="14"/>
      <c r="F35" s="14"/>
      <c r="G35" s="14"/>
      <c r="H35" s="14"/>
      <c r="I35" s="14"/>
    </row>
    <row r="36" spans="2:9">
      <c r="B36" s="465" t="s">
        <v>1727</v>
      </c>
      <c r="C36" s="14"/>
      <c r="D36" s="14"/>
      <c r="E36" s="14"/>
      <c r="F36" s="14"/>
      <c r="G36" s="14"/>
      <c r="H36" s="14"/>
      <c r="I36" s="14"/>
    </row>
    <row r="37" spans="2:9">
      <c r="B37" s="465" t="s">
        <v>1725</v>
      </c>
      <c r="C37" s="14"/>
      <c r="D37" s="14"/>
      <c r="E37" s="14"/>
      <c r="F37" s="14"/>
      <c r="G37" s="14"/>
      <c r="H37" s="14"/>
      <c r="I37" s="14"/>
    </row>
    <row r="38" spans="2:9">
      <c r="B38" s="465" t="s">
        <v>1854</v>
      </c>
      <c r="C38" s="14"/>
      <c r="D38" s="14"/>
      <c r="E38" s="14"/>
      <c r="F38" s="14"/>
      <c r="G38" s="14"/>
      <c r="H38" s="14"/>
      <c r="I38" s="14"/>
    </row>
    <row r="39" spans="2:9">
      <c r="B39" s="14"/>
      <c r="C39" s="14"/>
      <c r="D39" s="14"/>
      <c r="E39" s="14"/>
      <c r="F39" s="14"/>
      <c r="G39" s="14"/>
      <c r="H39" s="14"/>
      <c r="I39" s="14"/>
    </row>
    <row r="40" spans="2:9" ht="13">
      <c r="B40" s="14"/>
      <c r="C40" s="14"/>
      <c r="D40" s="14"/>
      <c r="E40" s="122" t="s">
        <v>1426</v>
      </c>
      <c r="F40" s="14"/>
      <c r="G40" s="833" t="s">
        <v>154</v>
      </c>
      <c r="H40" s="14"/>
      <c r="I40" s="14"/>
    </row>
    <row r="41" spans="2:9">
      <c r="B41" s="14"/>
      <c r="C41" s="14"/>
      <c r="D41" s="842" t="s">
        <v>1852</v>
      </c>
      <c r="E41" s="914">
        <f>((G7*E7) + (G8*E8))/(E7+E8)</f>
        <v>9.2480778683301876E-3</v>
      </c>
      <c r="F41" s="14"/>
      <c r="G41" s="570" t="s">
        <v>2345</v>
      </c>
      <c r="H41" s="14"/>
      <c r="I41" s="14"/>
    </row>
    <row r="42" spans="2:9">
      <c r="B42" s="14"/>
      <c r="C42" s="14"/>
      <c r="D42" s="842" t="s">
        <v>1853</v>
      </c>
      <c r="E42" s="914">
        <f>((G14*E14) + (G15*E15))/(E14+E15)</f>
        <v>1.1409096489999999E-2</v>
      </c>
      <c r="F42" s="14"/>
      <c r="G42" s="570" t="s">
        <v>2346</v>
      </c>
      <c r="H42" s="14"/>
      <c r="I42" s="14"/>
    </row>
  </sheetData>
  <phoneticPr fontId="23" type="noConversion"/>
  <pageMargins left="0.75" right="0.75" top="1" bottom="1" header="0.5" footer="0.5"/>
  <pageSetup scale="82" orientation="portrait" cellComments="asDisplayed" r:id="rId1"/>
  <headerFooter alignWithMargins="0">
    <oddHeader>&amp;CSchedule 28
FF and U
&amp;RTO2022 Annual Update 
Attachment 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zoomScaleNormal="100" workbookViewId="0">
      <selection activeCell="C14" sqref="C14"/>
    </sheetView>
  </sheetViews>
  <sheetFormatPr defaultRowHeight="12.5"/>
  <cols>
    <col min="1" max="1" width="4.54296875" customWidth="1"/>
    <col min="2" max="2" width="17.453125" customWidth="1"/>
    <col min="3" max="3" width="25.54296875" customWidth="1"/>
    <col min="4" max="6" width="13.54296875" customWidth="1"/>
    <col min="7" max="7" width="3.54296875" customWidth="1"/>
    <col min="8" max="8" width="14.54296875" customWidth="1"/>
    <col min="9" max="10" width="13.54296875" customWidth="1"/>
  </cols>
  <sheetData>
    <row r="1" spans="1:10" ht="13">
      <c r="A1" s="1" t="s">
        <v>1374</v>
      </c>
    </row>
    <row r="2" spans="1:10">
      <c r="G2" s="43" t="s">
        <v>17</v>
      </c>
      <c r="H2" s="43"/>
      <c r="I2" s="96"/>
    </row>
    <row r="3" spans="1:10" ht="13">
      <c r="A3" s="3" t="s">
        <v>329</v>
      </c>
      <c r="B3" s="3" t="s">
        <v>83</v>
      </c>
      <c r="F3" s="51" t="s">
        <v>168</v>
      </c>
      <c r="G3" s="51" t="s">
        <v>179</v>
      </c>
      <c r="J3" s="51"/>
    </row>
    <row r="4" spans="1:10" ht="13">
      <c r="A4" s="2">
        <v>1</v>
      </c>
      <c r="B4" s="47">
        <f>'1-BaseTRR'!K159</f>
        <v>1394859378.6786849</v>
      </c>
      <c r="C4" s="52" t="s">
        <v>133</v>
      </c>
      <c r="G4" s="15" t="str">
        <f>"1-BaseTRR, Line "&amp;'1-BaseTRR'!A159&amp;""</f>
        <v>1-BaseTRR, Line 89</v>
      </c>
      <c r="H4" s="14"/>
    </row>
    <row r="5" spans="1:10" ht="13">
      <c r="A5" s="2">
        <f t="shared" ref="A5:A10" si="0">A4+1</f>
        <v>2</v>
      </c>
      <c r="B5" s="1503">
        <v>-111260489</v>
      </c>
      <c r="C5" s="52" t="s">
        <v>134</v>
      </c>
      <c r="F5" s="15" t="s">
        <v>359</v>
      </c>
      <c r="G5" s="1215" t="s">
        <v>2941</v>
      </c>
      <c r="H5" s="1215"/>
      <c r="I5" s="1215" t="s">
        <v>2942</v>
      </c>
    </row>
    <row r="6" spans="1:10" ht="13">
      <c r="A6" s="2">
        <f t="shared" si="0"/>
        <v>3</v>
      </c>
      <c r="B6" s="1503">
        <v>-110802984</v>
      </c>
      <c r="C6" s="52" t="s">
        <v>135</v>
      </c>
      <c r="F6" s="14"/>
      <c r="G6" s="1215" t="s">
        <v>2941</v>
      </c>
      <c r="H6" s="1215"/>
      <c r="I6" s="1215" t="s">
        <v>2942</v>
      </c>
    </row>
    <row r="7" spans="1:10" ht="13">
      <c r="A7" s="2">
        <f t="shared" si="0"/>
        <v>4</v>
      </c>
      <c r="B7" s="1503">
        <v>-457506</v>
      </c>
      <c r="C7" s="52" t="s">
        <v>136</v>
      </c>
      <c r="F7" s="14"/>
      <c r="G7" s="1215" t="s">
        <v>2941</v>
      </c>
      <c r="H7" s="1215"/>
      <c r="I7" s="1215" t="s">
        <v>2942</v>
      </c>
    </row>
    <row r="8" spans="1:10" ht="13">
      <c r="A8" s="2">
        <f t="shared" si="0"/>
        <v>5</v>
      </c>
      <c r="B8" s="47">
        <f>-'33-RetailRates'!E61</f>
        <v>-9193505.8823122662</v>
      </c>
      <c r="C8" s="52" t="s">
        <v>137</v>
      </c>
      <c r="F8" s="14" t="s">
        <v>360</v>
      </c>
      <c r="G8" t="s">
        <v>82</v>
      </c>
    </row>
    <row r="9" spans="1:10" ht="13">
      <c r="A9" s="2">
        <f t="shared" si="0"/>
        <v>6</v>
      </c>
      <c r="B9" s="8">
        <f>'31-HVLV'!C45</f>
        <v>0.96896422024092232</v>
      </c>
      <c r="C9" s="52" t="s">
        <v>81</v>
      </c>
      <c r="G9" s="15" t="str">
        <f>"31-HVLV, Line "&amp;'31-HVLV'!A45&amp;""</f>
        <v>31-HVLV, Line 37</v>
      </c>
      <c r="H9" s="14"/>
      <c r="I9" s="14"/>
    </row>
    <row r="10" spans="1:10" ht="13">
      <c r="A10" s="2">
        <f t="shared" si="0"/>
        <v>7</v>
      </c>
      <c r="B10" s="8">
        <f>'31-HVLV'!D45</f>
        <v>3.1035779759077869E-2</v>
      </c>
      <c r="C10" s="52" t="s">
        <v>80</v>
      </c>
      <c r="G10" s="15" t="str">
        <f>"31-HVLV, Line "&amp;'31-HVLV'!A45&amp;""</f>
        <v>31-HVLV, Line 37</v>
      </c>
      <c r="H10" s="14"/>
      <c r="I10" s="14"/>
    </row>
    <row r="11" spans="1:10">
      <c r="C11" s="37"/>
      <c r="D11" s="89"/>
      <c r="E11" s="89"/>
      <c r="F11" s="89"/>
      <c r="G11" s="89"/>
      <c r="H11" s="89"/>
      <c r="J11" s="89"/>
    </row>
    <row r="12" spans="1:10" ht="13">
      <c r="B12" s="1" t="s">
        <v>1499</v>
      </c>
      <c r="C12" s="37"/>
      <c r="D12" s="89"/>
      <c r="E12" s="89"/>
      <c r="F12" s="89"/>
      <c r="G12" s="89"/>
      <c r="H12" s="89"/>
    </row>
    <row r="13" spans="1:10" ht="13">
      <c r="B13" s="1"/>
      <c r="C13" s="37"/>
      <c r="D13" s="89"/>
      <c r="E13" s="89"/>
      <c r="F13" s="89"/>
      <c r="G13" s="89"/>
      <c r="H13" s="89"/>
    </row>
    <row r="14" spans="1:10" ht="13">
      <c r="B14" s="1"/>
      <c r="C14" s="37"/>
      <c r="D14" s="84" t="s">
        <v>358</v>
      </c>
      <c r="E14" s="84" t="s">
        <v>342</v>
      </c>
      <c r="F14" s="84" t="s">
        <v>343</v>
      </c>
      <c r="G14" s="89"/>
      <c r="H14" s="89"/>
    </row>
    <row r="15" spans="1:10" ht="13">
      <c r="B15" s="1"/>
      <c r="C15" s="37"/>
      <c r="F15" s="89"/>
      <c r="G15" s="89"/>
      <c r="H15" s="89"/>
    </row>
    <row r="16" spans="1:10" ht="13">
      <c r="E16" s="2" t="s">
        <v>466</v>
      </c>
      <c r="F16" s="2" t="s">
        <v>467</v>
      </c>
    </row>
    <row r="17" spans="1:9" ht="13">
      <c r="C17" s="37"/>
      <c r="D17" s="3" t="s">
        <v>138</v>
      </c>
      <c r="E17" s="3" t="s">
        <v>465</v>
      </c>
      <c r="F17" s="3" t="s">
        <v>465</v>
      </c>
      <c r="G17" s="3"/>
      <c r="H17" s="3" t="s">
        <v>179</v>
      </c>
    </row>
    <row r="18" spans="1:9" ht="13">
      <c r="A18" s="2">
        <f>A10+1</f>
        <v>8</v>
      </c>
      <c r="B18" s="90"/>
      <c r="C18" s="68" t="s">
        <v>149</v>
      </c>
      <c r="D18" s="7">
        <f>B4</f>
        <v>1394859378.6786849</v>
      </c>
      <c r="E18" s="7">
        <f>D18*B9</f>
        <v>1351568830.2071292</v>
      </c>
      <c r="F18" s="7">
        <f>D18*B10</f>
        <v>43290548.471555866</v>
      </c>
      <c r="G18" s="7"/>
      <c r="H18" s="465" t="s">
        <v>281</v>
      </c>
    </row>
    <row r="19" spans="1:9" ht="13">
      <c r="A19" s="483">
        <f>A18+1</f>
        <v>9</v>
      </c>
      <c r="B19" s="90"/>
      <c r="C19" s="68" t="s">
        <v>1497</v>
      </c>
      <c r="D19" s="7">
        <f>'24-CWIPTRR'!E149</f>
        <v>14529502.447809758</v>
      </c>
      <c r="E19" s="7">
        <f>'24-CWIPTRR'!E149</f>
        <v>14529502.447809758</v>
      </c>
      <c r="F19" s="7">
        <v>0</v>
      </c>
      <c r="G19" s="7"/>
      <c r="H19" s="465" t="s">
        <v>951</v>
      </c>
    </row>
    <row r="20" spans="1:9" ht="13">
      <c r="A20" s="483">
        <f>A19+1</f>
        <v>10</v>
      </c>
      <c r="B20" s="90"/>
      <c r="C20" s="68" t="s">
        <v>1498</v>
      </c>
      <c r="D20" s="7">
        <f>D18-D19</f>
        <v>1380329876.2308753</v>
      </c>
      <c r="E20" s="7">
        <f t="shared" ref="E20:F20" si="1">E18-E19</f>
        <v>1337039327.7593195</v>
      </c>
      <c r="F20" s="7">
        <f t="shared" si="1"/>
        <v>43290548.471555866</v>
      </c>
      <c r="G20" s="7"/>
      <c r="H20" s="465" t="s">
        <v>952</v>
      </c>
    </row>
    <row r="21" spans="1:9" ht="13">
      <c r="B21" s="90"/>
      <c r="C21" s="90"/>
      <c r="D21" s="7"/>
      <c r="E21" s="7"/>
      <c r="F21" s="7"/>
      <c r="G21" s="7"/>
      <c r="H21" s="14"/>
    </row>
    <row r="22" spans="1:9" ht="13">
      <c r="A22" s="2">
        <f>A20+1</f>
        <v>11</v>
      </c>
      <c r="B22" s="1"/>
      <c r="C22" s="68" t="s">
        <v>139</v>
      </c>
      <c r="D22" s="7">
        <f>B5</f>
        <v>-111260489</v>
      </c>
      <c r="E22" s="7">
        <f>B6</f>
        <v>-110802984</v>
      </c>
      <c r="F22" s="7">
        <f>B7</f>
        <v>-457506</v>
      </c>
      <c r="G22" s="7"/>
      <c r="H22" s="14" t="str">
        <f>"Lines "&amp;A5&amp;" to "&amp;A7&amp;""</f>
        <v>Lines 2 to 4</v>
      </c>
    </row>
    <row r="23" spans="1:9" ht="13">
      <c r="B23" s="1"/>
      <c r="C23" s="68"/>
      <c r="D23" s="7"/>
      <c r="E23" s="7"/>
      <c r="F23" s="7"/>
      <c r="G23" s="7"/>
    </row>
    <row r="24" spans="1:9" ht="13">
      <c r="A24" s="2">
        <f>A22+1</f>
        <v>12</v>
      </c>
      <c r="B24" s="1"/>
      <c r="C24" s="68" t="s">
        <v>1621</v>
      </c>
      <c r="D24" s="91">
        <f>$B$8</f>
        <v>-9193505.8823122662</v>
      </c>
      <c r="E24" s="91">
        <f>$B$8*$B$9</f>
        <v>-8908178.2585350368</v>
      </c>
      <c r="F24" s="91">
        <f>$B$8*$B$10</f>
        <v>-285327.62377723039</v>
      </c>
      <c r="G24" s="91"/>
      <c r="H24" s="463" t="s">
        <v>522</v>
      </c>
    </row>
    <row r="25" spans="1:9" ht="13">
      <c r="A25" s="538"/>
      <c r="B25" s="1"/>
      <c r="C25" s="68"/>
      <c r="D25" s="91"/>
      <c r="E25" s="91"/>
      <c r="F25" s="91"/>
      <c r="G25" s="91"/>
      <c r="H25" s="463"/>
    </row>
    <row r="26" spans="1:9" ht="13">
      <c r="B26" s="1"/>
      <c r="C26" s="68" t="s">
        <v>1622</v>
      </c>
      <c r="D26" s="91"/>
      <c r="E26" s="91"/>
      <c r="F26" s="91"/>
      <c r="G26" s="91"/>
    </row>
    <row r="27" spans="1:9" ht="13">
      <c r="A27" s="2">
        <f>A24+1</f>
        <v>13</v>
      </c>
      <c r="B27" s="1"/>
      <c r="C27" s="68" t="s">
        <v>1623</v>
      </c>
      <c r="D27" s="7">
        <f>D18+D22+D24</f>
        <v>1274405383.7963727</v>
      </c>
      <c r="E27" s="7">
        <f>E18+E22+E24</f>
        <v>1231857667.9485941</v>
      </c>
      <c r="F27" s="7">
        <f>F18+F22+F24</f>
        <v>42547714.847778633</v>
      </c>
      <c r="G27" s="7"/>
      <c r="H27" s="47" t="str">
        <f>"Sum of Lines "&amp;A18&amp;", "&amp;A22&amp;", and "&amp;A24&amp;""</f>
        <v>Sum of Lines 8, 11, and 12</v>
      </c>
      <c r="I27" s="14"/>
    </row>
    <row r="28" spans="1:9">
      <c r="E28" s="7"/>
    </row>
    <row r="29" spans="1:9" ht="13">
      <c r="B29" s="51" t="s">
        <v>230</v>
      </c>
    </row>
    <row r="30" spans="1:9">
      <c r="B30" s="12" t="s">
        <v>1402</v>
      </c>
    </row>
    <row r="31" spans="1:9">
      <c r="B31" s="463" t="s">
        <v>1633</v>
      </c>
    </row>
    <row r="32" spans="1:9">
      <c r="B32" s="12" t="s">
        <v>1403</v>
      </c>
    </row>
    <row r="33" spans="2:6">
      <c r="B33" s="465" t="s">
        <v>1771</v>
      </c>
      <c r="C33" s="14"/>
      <c r="D33" s="96" t="s">
        <v>2823</v>
      </c>
      <c r="E33" s="96"/>
      <c r="F33" s="14"/>
    </row>
    <row r="34" spans="2:6">
      <c r="B34" s="15" t="str">
        <f>"3) Column 1 is from Line "&amp;A4&amp;"."</f>
        <v>3) Column 1 is from Line 1.</v>
      </c>
      <c r="C34" s="14"/>
    </row>
    <row r="35" spans="2:6">
      <c r="B35" s="46" t="str">
        <f>"Column 2 equals Column 1 * Line "&amp;A9&amp;"."</f>
        <v>Column 2 equals Column 1 * Line 6.</v>
      </c>
      <c r="C35" s="14"/>
    </row>
    <row r="36" spans="2:6">
      <c r="B36" s="46" t="str">
        <f>"Column 3 equals Column 1 * Line "&amp;A10&amp;"."</f>
        <v>Column 3 equals Column 1 * Line 7.</v>
      </c>
      <c r="C36" s="14"/>
    </row>
    <row r="37" spans="2:6">
      <c r="B37" s="14" t="str">
        <f>"4) From 24-CWIPTRR, Line "&amp;'24-CWIPTRR'!A149&amp;".  All High Voltage."</f>
        <v>4) From 24-CWIPTRR, Line 92.  All High Voltage.</v>
      </c>
      <c r="C37" s="14"/>
    </row>
    <row r="38" spans="2:6">
      <c r="B38" s="14" t="str">
        <f>"5) Line "&amp;A18&amp;" - Line "&amp;A19&amp;""</f>
        <v>5) Line 8 - Line 9</v>
      </c>
      <c r="C38" s="14"/>
    </row>
    <row r="39" spans="2:6">
      <c r="B39" s="15" t="str">
        <f>"6) Column 1 is from Line "&amp;A8&amp;"."</f>
        <v>6) Column 1 is from Line 5.</v>
      </c>
      <c r="C39" s="14"/>
    </row>
    <row r="40" spans="2:6">
      <c r="B40" s="46" t="str">
        <f>"Column 2 equals Column 1 * Line "&amp;A9&amp;"."</f>
        <v>Column 2 equals Column 1 * Line 6.</v>
      </c>
      <c r="C40" s="14"/>
    </row>
    <row r="41" spans="2:6">
      <c r="B41" s="13" t="str">
        <f>"Column 3 equals Column 1 * Line "&amp;A10&amp;"."</f>
        <v>Column 3 equals Column 1 * Line 7.</v>
      </c>
    </row>
  </sheetData>
  <phoneticPr fontId="23" type="noConversion"/>
  <pageMargins left="0.75" right="0.75" top="1" bottom="1" header="0.5" footer="0.5"/>
  <pageSetup scale="87" orientation="landscape" cellComments="asDisplayed" r:id="rId1"/>
  <headerFooter alignWithMargins="0">
    <oddHeader>&amp;CSchedule 29
Wholesale TRRs
&amp;RTO2022 Annual Update 
Attachment 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33"/>
  <sheetViews>
    <sheetView topLeftCell="A2" zoomScaleNormal="100" workbookViewId="0">
      <selection activeCell="G48" sqref="G48"/>
    </sheetView>
  </sheetViews>
  <sheetFormatPr defaultRowHeight="12.5"/>
  <cols>
    <col min="1" max="2" width="4.54296875" customWidth="1"/>
    <col min="4" max="4" width="24.453125" customWidth="1"/>
    <col min="5" max="5" width="17.54296875" customWidth="1"/>
    <col min="6" max="6" width="10.1796875" style="16" customWidth="1"/>
    <col min="7" max="7" width="10.453125" bestFit="1" customWidth="1"/>
  </cols>
  <sheetData>
    <row r="1" spans="1:9" ht="13">
      <c r="A1" s="1" t="s">
        <v>1400</v>
      </c>
    </row>
    <row r="2" spans="1:9" ht="13">
      <c r="B2" s="1"/>
    </row>
    <row r="3" spans="1:9">
      <c r="B3" s="12" t="s">
        <v>140</v>
      </c>
      <c r="E3" s="14"/>
      <c r="F3" s="112"/>
    </row>
    <row r="4" spans="1:9">
      <c r="B4" s="12"/>
    </row>
    <row r="5" spans="1:9">
      <c r="B5" s="13" t="s">
        <v>141</v>
      </c>
    </row>
    <row r="6" spans="1:9">
      <c r="B6" s="467" t="s">
        <v>2275</v>
      </c>
    </row>
    <row r="7" spans="1:9">
      <c r="B7" s="467" t="s">
        <v>2276</v>
      </c>
    </row>
    <row r="8" spans="1:9">
      <c r="B8" s="12"/>
    </row>
    <row r="9" spans="1:9">
      <c r="B9" s="12"/>
    </row>
    <row r="10" spans="1:9" ht="13">
      <c r="B10" s="1" t="s">
        <v>142</v>
      </c>
    </row>
    <row r="11" spans="1:9" ht="13">
      <c r="A11" s="3" t="s">
        <v>329</v>
      </c>
      <c r="G11" s="3" t="s">
        <v>179</v>
      </c>
    </row>
    <row r="12" spans="1:9" ht="13">
      <c r="A12" s="2">
        <v>1</v>
      </c>
      <c r="D12" s="93" t="s">
        <v>1376</v>
      </c>
      <c r="E12" s="7">
        <f>'29-WholesaleTRRs'!F27</f>
        <v>42547714.847778633</v>
      </c>
      <c r="G12" s="46" t="str">
        <f>"29-WholesaleTRRs, Line "&amp;'29-WholesaleTRRs'!A27&amp;", C3"</f>
        <v>29-WholesaleTRRs, Line 13, C3</v>
      </c>
      <c r="H12" s="14"/>
      <c r="I12" s="14"/>
    </row>
    <row r="13" spans="1:9" ht="13">
      <c r="A13" s="2">
        <f>A12+1</f>
        <v>2</v>
      </c>
      <c r="D13" s="93" t="s">
        <v>1375</v>
      </c>
      <c r="E13" s="111">
        <f>'32-GrossLoad'!F8</f>
        <v>84432527.936702684</v>
      </c>
      <c r="F13" s="13" t="s">
        <v>282</v>
      </c>
      <c r="G13" s="46" t="str">
        <f>"32-Gross Load, Line "&amp;'32-GrossLoad'!A8&amp;""</f>
        <v>32-Gross Load, Line 4</v>
      </c>
      <c r="H13" s="14"/>
      <c r="I13" s="14"/>
    </row>
    <row r="14" spans="1:9" ht="13">
      <c r="A14" s="2">
        <f>A13+1</f>
        <v>3</v>
      </c>
      <c r="D14" s="93" t="s">
        <v>1377</v>
      </c>
      <c r="E14" s="92">
        <f>E12/(E13*1000)</f>
        <v>5.0392563017508812E-4</v>
      </c>
      <c r="F14" s="16" t="s">
        <v>143</v>
      </c>
      <c r="G14" s="112" t="str">
        <f>"Line "&amp;A12&amp;" / (Line "&amp;A13&amp;" * 1000)"</f>
        <v>Line 1 / (Line 2 * 1000)</v>
      </c>
      <c r="H14" s="14"/>
      <c r="I14" s="14"/>
    </row>
    <row r="15" spans="1:9">
      <c r="D15" s="37"/>
      <c r="E15" s="71"/>
      <c r="G15" s="14"/>
      <c r="H15" s="14"/>
      <c r="I15" s="14"/>
    </row>
    <row r="16" spans="1:9">
      <c r="G16" s="14"/>
      <c r="H16" s="14"/>
      <c r="I16" s="14"/>
    </row>
    <row r="17" spans="1:9" ht="13">
      <c r="B17" s="1" t="s">
        <v>144</v>
      </c>
      <c r="G17" s="14"/>
      <c r="H17" s="14"/>
      <c r="I17" s="14"/>
    </row>
    <row r="18" spans="1:9">
      <c r="C18" s="52" t="s">
        <v>145</v>
      </c>
      <c r="G18" s="14"/>
      <c r="H18" s="14"/>
      <c r="I18" s="14"/>
    </row>
    <row r="19" spans="1:9" ht="13">
      <c r="G19" s="122" t="s">
        <v>179</v>
      </c>
      <c r="H19" s="14"/>
      <c r="I19" s="14"/>
    </row>
    <row r="20" spans="1:9" ht="13">
      <c r="A20" s="549">
        <f>A14+1</f>
        <v>4</v>
      </c>
      <c r="D20" s="37" t="s">
        <v>146</v>
      </c>
      <c r="E20" s="63">
        <f>'29-WholesaleTRRs'!E27</f>
        <v>1231857667.9485941</v>
      </c>
      <c r="G20" s="46" t="str">
        <f>"29-WholesaleTRRs, Line "&amp;'29-WholesaleTRRs'!A27&amp;", C2"</f>
        <v>29-WholesaleTRRs, Line 13, C2</v>
      </c>
      <c r="H20" s="14"/>
      <c r="I20" s="14"/>
    </row>
    <row r="21" spans="1:9" ht="13">
      <c r="A21" s="2">
        <f>A20+1</f>
        <v>5</v>
      </c>
      <c r="D21" s="93" t="s">
        <v>1375</v>
      </c>
      <c r="E21" s="111">
        <f>'32-GrossLoad'!F8</f>
        <v>84432527.936702684</v>
      </c>
      <c r="F21" s="13" t="s">
        <v>282</v>
      </c>
      <c r="G21" s="46" t="str">
        <f>"32-Gross Load, Line "&amp;'32-GrossLoad'!A8&amp;""</f>
        <v>32-Gross Load, Line 4</v>
      </c>
      <c r="H21" s="14"/>
      <c r="I21" s="14"/>
    </row>
    <row r="22" spans="1:9" ht="13">
      <c r="A22" s="2">
        <f>A21+1</f>
        <v>6</v>
      </c>
      <c r="D22" s="93" t="s">
        <v>1378</v>
      </c>
      <c r="E22" s="1424">
        <f>E20/(E21*1000)</f>
        <v>1.4589847041795223E-2</v>
      </c>
      <c r="F22" s="16" t="s">
        <v>143</v>
      </c>
      <c r="G22" s="112" t="str">
        <f>"Line "&amp;A20&amp;" / (Line "&amp;A21&amp;" * 1000)"</f>
        <v>Line 4 / (Line 5 * 1000)</v>
      </c>
      <c r="H22" s="14"/>
      <c r="I22" s="14"/>
    </row>
    <row r="23" spans="1:9">
      <c r="E23" s="14"/>
      <c r="G23" s="14"/>
      <c r="H23" s="14"/>
      <c r="I23" s="14"/>
    </row>
    <row r="24" spans="1:9" ht="13">
      <c r="B24" s="1" t="s">
        <v>147</v>
      </c>
      <c r="E24" s="14"/>
      <c r="G24" s="14"/>
      <c r="H24" s="14"/>
      <c r="I24" s="14"/>
    </row>
    <row r="25" spans="1:9" ht="13">
      <c r="E25" s="14"/>
      <c r="G25" s="122" t="s">
        <v>179</v>
      </c>
      <c r="H25" s="14"/>
      <c r="I25" s="14"/>
    </row>
    <row r="26" spans="1:9" ht="13">
      <c r="A26" s="2">
        <f>A22+1</f>
        <v>7</v>
      </c>
      <c r="D26" s="93" t="s">
        <v>1379</v>
      </c>
      <c r="E26" s="63">
        <f>'29-WholesaleTRRs'!E27</f>
        <v>1231857667.9485941</v>
      </c>
      <c r="G26" s="46" t="str">
        <f>"29-WholesaleTRRs, Line "&amp;'29-WholesaleTRRs'!A27&amp;", C2"</f>
        <v>29-WholesaleTRRs, Line 13, C2</v>
      </c>
      <c r="H26" s="14"/>
      <c r="I26" s="14"/>
    </row>
    <row r="27" spans="1:9" ht="13">
      <c r="A27" s="2">
        <f>A26+1</f>
        <v>8</v>
      </c>
      <c r="D27" s="93" t="s">
        <v>1380</v>
      </c>
      <c r="E27" s="111">
        <f>'32-GrossLoad'!F11</f>
        <v>171053.85921814502</v>
      </c>
      <c r="F27" s="16" t="s">
        <v>148</v>
      </c>
      <c r="G27" s="46" t="str">
        <f>"32-Gross Load, Line "&amp;'32-GrossLoad'!A11&amp;""</f>
        <v>32-Gross Load, Line 5</v>
      </c>
      <c r="H27" s="14"/>
      <c r="I27" s="14"/>
    </row>
    <row r="28" spans="1:9" ht="13">
      <c r="A28" s="2">
        <f>A27+1</f>
        <v>9</v>
      </c>
      <c r="D28" s="93" t="s">
        <v>1381</v>
      </c>
      <c r="E28" s="71">
        <f>ROUND((E26/(E27*1000)),2)</f>
        <v>7.2</v>
      </c>
      <c r="F28" s="13" t="s">
        <v>326</v>
      </c>
      <c r="G28" s="112" t="str">
        <f>"Line "&amp;A26&amp;" / (Line "&amp;A27&amp;" * 1000)"</f>
        <v>Line 7 / (Line 8 * 1000)</v>
      </c>
      <c r="H28" s="14"/>
      <c r="I28" s="14"/>
    </row>
    <row r="29" spans="1:9">
      <c r="G29" s="14"/>
      <c r="H29" s="14"/>
      <c r="I29" s="14"/>
    </row>
    <row r="31" spans="1:9" ht="13">
      <c r="B31" s="51" t="s">
        <v>230</v>
      </c>
    </row>
    <row r="32" spans="1:9">
      <c r="B32" s="12" t="s">
        <v>1401</v>
      </c>
    </row>
    <row r="33" spans="2:4">
      <c r="B33" s="463" t="s">
        <v>1772</v>
      </c>
      <c r="D33" s="14"/>
    </row>
  </sheetData>
  <phoneticPr fontId="23" type="noConversion"/>
  <pageMargins left="0.75" right="0.75" top="1" bottom="1" header="0.5" footer="0.5"/>
  <pageSetup scale="84" orientation="portrait" cellComments="asDisplayed" r:id="rId1"/>
  <headerFooter alignWithMargins="0">
    <oddHeader>&amp;CSchedule 30
Wholesale Rates
&amp;RTO2022 Annual Update 
Attachment 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51"/>
  <sheetViews>
    <sheetView zoomScaleNormal="100" zoomScalePageLayoutView="80" workbookViewId="0"/>
  </sheetViews>
  <sheetFormatPr defaultRowHeight="13"/>
  <cols>
    <col min="1" max="1" width="4.54296875" customWidth="1"/>
    <col min="2" max="2" width="38" style="138" customWidth="1"/>
    <col min="3" max="3" width="16.453125" style="138" customWidth="1"/>
    <col min="4" max="4" width="14.54296875" style="138" customWidth="1"/>
    <col min="5" max="5" width="16" style="138" customWidth="1"/>
    <col min="6" max="6" width="3.453125" style="138" bestFit="1" customWidth="1"/>
    <col min="7" max="8" width="14.54296875" style="138" customWidth="1"/>
    <col min="9" max="9" width="17.453125" style="138" customWidth="1"/>
    <col min="10" max="11" width="14.54296875" style="138" customWidth="1"/>
  </cols>
  <sheetData>
    <row r="1" spans="1:11">
      <c r="A1" s="245" t="s">
        <v>454</v>
      </c>
      <c r="B1" s="17"/>
      <c r="C1" s="17"/>
      <c r="D1" s="17"/>
      <c r="E1" s="17"/>
      <c r="F1" s="17"/>
      <c r="G1" s="17"/>
      <c r="H1" s="17"/>
      <c r="I1" s="17"/>
      <c r="J1" s="17"/>
      <c r="K1" s="17"/>
    </row>
    <row r="2" spans="1:11" ht="12.5">
      <c r="A2" s="17" t="s">
        <v>464</v>
      </c>
      <c r="B2" s="17"/>
      <c r="C2" s="17"/>
      <c r="D2" s="17"/>
      <c r="E2" s="17"/>
      <c r="F2" s="17"/>
      <c r="G2" s="17"/>
      <c r="H2" s="17"/>
      <c r="I2" s="246" t="s">
        <v>446</v>
      </c>
      <c r="J2" s="246"/>
      <c r="K2" s="17"/>
    </row>
    <row r="3" spans="1:11" ht="12.5">
      <c r="A3" s="12"/>
      <c r="B3" s="17"/>
      <c r="C3" s="17"/>
      <c r="D3" s="17"/>
      <c r="E3" s="17"/>
      <c r="F3" s="17"/>
      <c r="G3" s="17"/>
      <c r="H3" s="17"/>
      <c r="I3" s="17"/>
      <c r="J3" s="17"/>
      <c r="K3" s="17"/>
    </row>
    <row r="4" spans="1:11" ht="12.5">
      <c r="A4" s="12"/>
      <c r="B4" s="17"/>
      <c r="C4" s="17"/>
      <c r="D4" s="17"/>
      <c r="E4" s="17"/>
      <c r="F4" s="17"/>
      <c r="G4" s="474" t="s">
        <v>1729</v>
      </c>
      <c r="H4" s="474"/>
      <c r="I4" s="474"/>
      <c r="J4" s="474"/>
      <c r="K4" s="17"/>
    </row>
    <row r="5" spans="1:11">
      <c r="A5" s="12"/>
      <c r="B5" s="245" t="s">
        <v>475</v>
      </c>
      <c r="C5" s="17"/>
      <c r="D5" s="17"/>
      <c r="E5" s="17"/>
      <c r="F5" s="17"/>
      <c r="G5" s="474" t="s">
        <v>1730</v>
      </c>
      <c r="H5" s="474"/>
      <c r="I5" s="474"/>
      <c r="J5" s="474"/>
      <c r="K5" s="17"/>
    </row>
    <row r="6" spans="1:11">
      <c r="A6" s="12"/>
      <c r="B6" s="17"/>
      <c r="C6" s="26" t="s">
        <v>456</v>
      </c>
      <c r="D6" s="26"/>
      <c r="E6" s="26"/>
      <c r="F6" s="26"/>
      <c r="G6" s="26"/>
      <c r="H6" s="26"/>
      <c r="I6" s="26" t="s">
        <v>14</v>
      </c>
      <c r="J6" s="26" t="s">
        <v>15</v>
      </c>
      <c r="K6" s="26" t="s">
        <v>75</v>
      </c>
    </row>
    <row r="7" spans="1:11">
      <c r="A7" s="12"/>
      <c r="B7" s="245" t="s">
        <v>461</v>
      </c>
      <c r="C7" s="31" t="s">
        <v>457</v>
      </c>
      <c r="D7" s="31" t="s">
        <v>418</v>
      </c>
      <c r="E7" s="31" t="s">
        <v>451</v>
      </c>
      <c r="F7" s="31"/>
      <c r="G7" s="31" t="s">
        <v>458</v>
      </c>
      <c r="H7" s="31" t="s">
        <v>459</v>
      </c>
      <c r="I7" s="31" t="s">
        <v>451</v>
      </c>
      <c r="J7" s="31" t="s">
        <v>451</v>
      </c>
      <c r="K7" s="31" t="s">
        <v>460</v>
      </c>
    </row>
    <row r="8" spans="1:11">
      <c r="A8" s="3" t="s">
        <v>329</v>
      </c>
      <c r="B8" s="245"/>
      <c r="C8" s="31"/>
      <c r="D8" s="31"/>
      <c r="E8" s="31"/>
      <c r="F8" s="31"/>
      <c r="G8" s="31"/>
      <c r="H8" s="31"/>
      <c r="I8" s="31"/>
      <c r="J8" s="31"/>
      <c r="K8" s="31"/>
    </row>
    <row r="9" spans="1:11">
      <c r="A9" s="2">
        <v>1</v>
      </c>
      <c r="B9" s="247" t="s">
        <v>463</v>
      </c>
      <c r="C9" s="248"/>
      <c r="D9" s="249"/>
      <c r="E9" s="249"/>
      <c r="F9" s="250"/>
      <c r="G9" s="248"/>
      <c r="H9" s="251"/>
      <c r="I9" s="251"/>
      <c r="J9" s="251"/>
      <c r="K9" s="251"/>
    </row>
    <row r="10" spans="1:11">
      <c r="A10" s="2">
        <f>A9+1</f>
        <v>2</v>
      </c>
      <c r="B10" s="252" t="s">
        <v>1191</v>
      </c>
      <c r="C10" s="253">
        <f>SUM(D10:E10)</f>
        <v>4719997898.1469479</v>
      </c>
      <c r="D10" s="254">
        <f>G10+H10</f>
        <v>209307061.71532148</v>
      </c>
      <c r="E10" s="254">
        <f>I10+J10</f>
        <v>4510690836.4316263</v>
      </c>
      <c r="F10" s="255"/>
      <c r="G10" s="1077">
        <v>209307061.71532148</v>
      </c>
      <c r="H10" s="1077">
        <v>0</v>
      </c>
      <c r="I10" s="1077">
        <v>4510690836.4316263</v>
      </c>
      <c r="J10" s="1077">
        <v>0</v>
      </c>
      <c r="K10" s="1077">
        <v>0</v>
      </c>
    </row>
    <row r="11" spans="1:11">
      <c r="A11" s="2">
        <f t="shared" ref="A11:A47" si="0">A10+1</f>
        <v>3</v>
      </c>
      <c r="B11" s="252" t="s">
        <v>455</v>
      </c>
      <c r="C11" s="256">
        <f>SUM(D11:E11)</f>
        <v>145060313.72407332</v>
      </c>
      <c r="D11" s="257">
        <f>G11+H11</f>
        <v>5247245.7730694227</v>
      </c>
      <c r="E11" s="257">
        <f>I11+J11</f>
        <v>139813067.95100391</v>
      </c>
      <c r="F11" s="258"/>
      <c r="G11" s="1078">
        <v>0</v>
      </c>
      <c r="H11" s="1078">
        <v>5247245.7730694227</v>
      </c>
      <c r="I11" s="1078">
        <v>0</v>
      </c>
      <c r="J11" s="1078">
        <v>139813067.95100391</v>
      </c>
      <c r="K11" s="1078">
        <v>0</v>
      </c>
    </row>
    <row r="12" spans="1:11">
      <c r="A12" s="2">
        <f t="shared" si="0"/>
        <v>4</v>
      </c>
      <c r="B12" s="1162" t="s">
        <v>2460</v>
      </c>
      <c r="C12" s="259">
        <f>SUM(C10:C11)</f>
        <v>4865058211.8710213</v>
      </c>
      <c r="D12" s="259">
        <f t="shared" ref="D12:E12" si="1">SUM(D10:D11)</f>
        <v>214554307.48839089</v>
      </c>
      <c r="E12" s="259">
        <f t="shared" si="1"/>
        <v>4650503904.3826303</v>
      </c>
      <c r="F12" s="259"/>
      <c r="G12" s="259">
        <f t="shared" ref="G12:K12" si="2">SUM(G10:G11)</f>
        <v>209307061.71532148</v>
      </c>
      <c r="H12" s="259">
        <f t="shared" si="2"/>
        <v>5247245.7730694227</v>
      </c>
      <c r="I12" s="259">
        <f t="shared" si="2"/>
        <v>4510690836.4316263</v>
      </c>
      <c r="J12" s="259">
        <f t="shared" si="2"/>
        <v>139813067.95100391</v>
      </c>
      <c r="K12" s="259">
        <f t="shared" si="2"/>
        <v>0</v>
      </c>
    </row>
    <row r="13" spans="1:11">
      <c r="A13" s="2">
        <f t="shared" si="0"/>
        <v>5</v>
      </c>
      <c r="B13" s="260"/>
      <c r="C13" s="261"/>
      <c r="D13" s="261"/>
      <c r="E13" s="261"/>
      <c r="F13" s="262"/>
      <c r="G13" s="261"/>
      <c r="H13" s="263"/>
      <c r="I13" s="264"/>
      <c r="J13" s="263"/>
      <c r="K13" s="263"/>
    </row>
    <row r="14" spans="1:11">
      <c r="A14" s="2">
        <f t="shared" si="0"/>
        <v>6</v>
      </c>
      <c r="B14" s="265" t="s">
        <v>452</v>
      </c>
      <c r="C14" s="261"/>
      <c r="D14" s="261"/>
      <c r="E14" s="261"/>
      <c r="F14" s="262"/>
      <c r="G14" s="261"/>
      <c r="H14" s="263"/>
      <c r="I14" s="264"/>
      <c r="J14" s="263"/>
      <c r="K14" s="263"/>
    </row>
    <row r="15" spans="1:11">
      <c r="A15" s="2">
        <f t="shared" si="0"/>
        <v>7</v>
      </c>
      <c r="B15" s="266" t="s">
        <v>462</v>
      </c>
      <c r="C15" s="254">
        <f>SUM(D15:E15)</f>
        <v>4276744145.045948</v>
      </c>
      <c r="D15" s="254">
        <f>G15+H15</f>
        <v>41053657.85756924</v>
      </c>
      <c r="E15" s="254">
        <f>I15+J15</f>
        <v>4235690487.1883788</v>
      </c>
      <c r="F15" s="267"/>
      <c r="G15" s="954">
        <v>41053657.85756924</v>
      </c>
      <c r="H15" s="1079">
        <v>0</v>
      </c>
      <c r="I15" s="954">
        <v>4235690487.1883788</v>
      </c>
      <c r="J15" s="1079">
        <v>0</v>
      </c>
      <c r="K15" s="1079">
        <v>0</v>
      </c>
    </row>
    <row r="16" spans="1:11">
      <c r="A16" s="2">
        <f t="shared" si="0"/>
        <v>8</v>
      </c>
      <c r="B16" s="831" t="s">
        <v>2155</v>
      </c>
      <c r="C16" s="261">
        <f>SUM(D16:E16)</f>
        <v>476087564.05296177</v>
      </c>
      <c r="D16" s="254">
        <f>G16+H16</f>
        <v>191581.07108465701</v>
      </c>
      <c r="E16" s="254">
        <f>I16+J16+K16</f>
        <v>475895982.98187709</v>
      </c>
      <c r="F16" s="262"/>
      <c r="G16" s="1079">
        <v>121603.64189267532</v>
      </c>
      <c r="H16" s="1079">
        <v>69977.42919198169</v>
      </c>
      <c r="I16" s="1079">
        <v>288555572.16533905</v>
      </c>
      <c r="J16" s="1079">
        <v>126891814.2281934</v>
      </c>
      <c r="K16" s="1079">
        <v>60448596.588344648</v>
      </c>
    </row>
    <row r="17" spans="1:11" ht="14">
      <c r="A17" s="2">
        <f t="shared" si="0"/>
        <v>9</v>
      </c>
      <c r="B17" s="831" t="s">
        <v>2174</v>
      </c>
      <c r="C17" s="268">
        <f>SUM(D17:E17)</f>
        <v>44658069.916612566</v>
      </c>
      <c r="D17" s="257">
        <f>G17+H17</f>
        <v>145919.42999520848</v>
      </c>
      <c r="E17" s="269">
        <f>I17+J17</f>
        <v>44512150.486617357</v>
      </c>
      <c r="F17" s="270"/>
      <c r="G17" s="1080">
        <v>0</v>
      </c>
      <c r="H17" s="1081">
        <v>145919.42999520848</v>
      </c>
      <c r="I17" s="1080">
        <v>0</v>
      </c>
      <c r="J17" s="1081">
        <v>44512150.486617357</v>
      </c>
      <c r="K17" s="1080">
        <v>0</v>
      </c>
    </row>
    <row r="18" spans="1:11">
      <c r="A18" s="2">
        <f t="shared" si="0"/>
        <v>10</v>
      </c>
      <c r="B18" s="915" t="s">
        <v>2459</v>
      </c>
      <c r="C18" s="254">
        <f>SUM(C15:C17)</f>
        <v>4797489779.015522</v>
      </c>
      <c r="D18" s="254">
        <f>SUM(D15:D17)</f>
        <v>41391158.358649105</v>
      </c>
      <c r="E18" s="254">
        <f>SUM(E15:E17)</f>
        <v>4756098620.6568727</v>
      </c>
      <c r="F18" s="271"/>
      <c r="G18" s="254">
        <f>SUM(G15:G17)</f>
        <v>41175261.499461919</v>
      </c>
      <c r="H18" s="254">
        <f>SUM(H15:H17)</f>
        <v>215896.85918719019</v>
      </c>
      <c r="I18" s="254">
        <f>SUM(I15:I17)</f>
        <v>4524246059.3537178</v>
      </c>
      <c r="J18" s="254">
        <f>SUM(J15:J17)</f>
        <v>171403964.71481076</v>
      </c>
      <c r="K18" s="254">
        <f>SUM(K15:K17)</f>
        <v>60448596.588344648</v>
      </c>
    </row>
    <row r="19" spans="1:11">
      <c r="A19" s="2">
        <f t="shared" si="0"/>
        <v>11</v>
      </c>
      <c r="B19" s="260"/>
      <c r="C19" s="916"/>
      <c r="D19" s="916"/>
      <c r="E19" s="916"/>
      <c r="F19" s="273"/>
      <c r="G19" s="272"/>
      <c r="H19" s="272"/>
      <c r="I19" s="272"/>
      <c r="J19" s="272"/>
      <c r="K19" s="272"/>
    </row>
    <row r="20" spans="1:11">
      <c r="A20" s="2">
        <f t="shared" si="0"/>
        <v>12</v>
      </c>
      <c r="B20" s="915" t="s">
        <v>453</v>
      </c>
      <c r="C20" s="917">
        <f>C12+C18</f>
        <v>9662547990.8865433</v>
      </c>
      <c r="D20" s="917">
        <f t="shared" ref="D20" si="3">D12+D18</f>
        <v>255945465.84704</v>
      </c>
      <c r="E20" s="917">
        <f>E12+E18</f>
        <v>9406602525.0395031</v>
      </c>
      <c r="F20" s="274"/>
      <c r="G20" s="274">
        <f t="shared" ref="G20:K20" si="4">G12+G18</f>
        <v>250482323.2147834</v>
      </c>
      <c r="H20" s="274">
        <f t="shared" si="4"/>
        <v>5463142.6322566131</v>
      </c>
      <c r="I20" s="274">
        <f t="shared" si="4"/>
        <v>9034936895.7853432</v>
      </c>
      <c r="J20" s="274">
        <f t="shared" si="4"/>
        <v>311217032.66581464</v>
      </c>
      <c r="K20" s="274">
        <f t="shared" si="4"/>
        <v>60448596.588344648</v>
      </c>
    </row>
    <row r="21" spans="1:11">
      <c r="A21" s="2">
        <f t="shared" si="0"/>
        <v>13</v>
      </c>
      <c r="B21" s="17"/>
      <c r="C21" s="275"/>
      <c r="D21" s="276"/>
      <c r="E21" s="275"/>
      <c r="F21" s="17"/>
      <c r="G21" s="275"/>
      <c r="H21" s="275"/>
      <c r="I21" s="275"/>
      <c r="J21" s="275"/>
      <c r="K21" s="275"/>
    </row>
    <row r="22" spans="1:11">
      <c r="A22" s="2">
        <f t="shared" si="0"/>
        <v>14</v>
      </c>
      <c r="B22" s="17"/>
      <c r="C22" s="275"/>
      <c r="D22" s="276"/>
      <c r="E22" s="275"/>
      <c r="F22" s="17"/>
      <c r="G22" s="275"/>
      <c r="H22" s="275"/>
      <c r="I22" s="275"/>
      <c r="J22" s="275"/>
      <c r="K22" s="275"/>
    </row>
    <row r="23" spans="1:11">
      <c r="A23" s="2">
        <f t="shared" si="0"/>
        <v>15</v>
      </c>
      <c r="B23" s="476" t="s">
        <v>2156</v>
      </c>
      <c r="C23" s="275"/>
      <c r="D23" s="276"/>
      <c r="E23" s="275"/>
      <c r="F23" s="17"/>
      <c r="G23" s="275"/>
      <c r="H23" s="275"/>
      <c r="I23" s="275"/>
      <c r="J23" s="275"/>
      <c r="K23" s="275"/>
    </row>
    <row r="24" spans="1:11">
      <c r="A24" s="2">
        <f t="shared" si="0"/>
        <v>16</v>
      </c>
      <c r="B24" s="17"/>
      <c r="C24" s="277" t="s">
        <v>466</v>
      </c>
      <c r="D24" s="26" t="s">
        <v>467</v>
      </c>
      <c r="E24" s="26"/>
      <c r="F24" s="17"/>
      <c r="G24" s="17"/>
      <c r="H24" s="17"/>
      <c r="I24" s="17"/>
      <c r="J24" s="17"/>
      <c r="K24" s="17"/>
    </row>
    <row r="25" spans="1:11">
      <c r="A25" s="2">
        <f t="shared" si="0"/>
        <v>17</v>
      </c>
      <c r="B25" s="17" t="s">
        <v>328</v>
      </c>
      <c r="C25" s="31" t="s">
        <v>465</v>
      </c>
      <c r="D25" s="31" t="s">
        <v>465</v>
      </c>
      <c r="E25" s="31" t="s">
        <v>196</v>
      </c>
      <c r="F25" s="17"/>
      <c r="G25" s="278" t="s">
        <v>230</v>
      </c>
      <c r="H25" s="17"/>
      <c r="I25" s="17"/>
      <c r="J25" s="17"/>
      <c r="K25" s="17"/>
    </row>
    <row r="26" spans="1:11">
      <c r="A26" s="2">
        <f t="shared" si="0"/>
        <v>18</v>
      </c>
      <c r="B26" s="77" t="s">
        <v>418</v>
      </c>
      <c r="C26" s="274">
        <f>G20</f>
        <v>250482323.2147834</v>
      </c>
      <c r="D26" s="274">
        <f>H20</f>
        <v>5463142.6322566131</v>
      </c>
      <c r="E26" s="279">
        <f>SUM(C26:D26)</f>
        <v>255945465.84704003</v>
      </c>
      <c r="F26" s="17"/>
      <c r="G26" s="260" t="s">
        <v>471</v>
      </c>
      <c r="H26" s="260"/>
      <c r="I26" s="260"/>
      <c r="J26" s="260"/>
      <c r="K26" s="260"/>
    </row>
    <row r="27" spans="1:11">
      <c r="A27" s="2">
        <f t="shared" si="0"/>
        <v>19</v>
      </c>
      <c r="B27" s="77" t="s">
        <v>451</v>
      </c>
      <c r="C27" s="274">
        <f>I20</f>
        <v>9034936895.7853432</v>
      </c>
      <c r="D27" s="274">
        <f>J20</f>
        <v>311217032.66581464</v>
      </c>
      <c r="E27" s="279">
        <f>SUM(C27:D27)</f>
        <v>9346153928.4511585</v>
      </c>
      <c r="F27" s="17"/>
      <c r="G27" s="260" t="s">
        <v>471</v>
      </c>
      <c r="H27" s="260"/>
      <c r="I27" s="260"/>
      <c r="J27" s="260"/>
      <c r="K27" s="260"/>
    </row>
    <row r="28" spans="1:11">
      <c r="A28" s="2">
        <f t="shared" si="0"/>
        <v>20</v>
      </c>
      <c r="B28" s="32" t="s">
        <v>469</v>
      </c>
      <c r="C28" s="274">
        <f>SUM(C26:C27)</f>
        <v>9285419219.0001259</v>
      </c>
      <c r="D28" s="274">
        <f>SUM(D26:D27)</f>
        <v>316680175.29807127</v>
      </c>
      <c r="E28" s="274">
        <f>SUM(C28:D28)</f>
        <v>9602099394.2981968</v>
      </c>
      <c r="F28" s="17"/>
      <c r="G28" s="260" t="s">
        <v>472</v>
      </c>
      <c r="H28" s="260"/>
      <c r="I28" s="260"/>
      <c r="J28" s="260"/>
      <c r="K28" s="260"/>
    </row>
    <row r="29" spans="1:11">
      <c r="A29" s="109">
        <f t="shared" si="0"/>
        <v>21</v>
      </c>
      <c r="B29" s="280" t="s">
        <v>468</v>
      </c>
      <c r="C29" s="281">
        <f>C28/E28</f>
        <v>0.96701969410084232</v>
      </c>
      <c r="D29" s="281">
        <f>D28/E28</f>
        <v>3.2980305899157687E-2</v>
      </c>
      <c r="E29" s="282"/>
      <c r="F29" s="918"/>
      <c r="G29" s="1161" t="s">
        <v>473</v>
      </c>
      <c r="H29" s="260"/>
      <c r="I29" s="260"/>
      <c r="J29" s="260"/>
      <c r="K29" s="918"/>
    </row>
    <row r="30" spans="1:11">
      <c r="A30" s="109">
        <f t="shared" si="0"/>
        <v>22</v>
      </c>
      <c r="B30" s="283"/>
      <c r="C30" s="284"/>
      <c r="D30" s="284"/>
      <c r="E30" s="284"/>
      <c r="F30" s="283"/>
      <c r="G30" s="283"/>
      <c r="H30" s="283"/>
      <c r="I30" s="283"/>
      <c r="J30" s="283"/>
      <c r="K30" s="283"/>
    </row>
    <row r="31" spans="1:11">
      <c r="A31" s="109">
        <f t="shared" si="0"/>
        <v>23</v>
      </c>
      <c r="B31" s="260" t="s">
        <v>470</v>
      </c>
      <c r="C31" s="919">
        <f>K20*C29</f>
        <v>58454983.381686263</v>
      </c>
      <c r="D31" s="919">
        <f>K20*D29</f>
        <v>1993613.2066583862</v>
      </c>
      <c r="E31" s="919">
        <f>K20</f>
        <v>60448596.588344648</v>
      </c>
      <c r="F31" s="260"/>
      <c r="G31" s="474" t="str">
        <f>"Straddling Transformers split by Gross Plant Percentages on Line "&amp;A29&amp;""</f>
        <v>Straddling Transformers split by Gross Plant Percentages on Line 21</v>
      </c>
      <c r="H31" s="260"/>
      <c r="I31" s="260"/>
      <c r="J31" s="260"/>
      <c r="K31" s="260"/>
    </row>
    <row r="32" spans="1:11">
      <c r="A32" s="109">
        <f t="shared" si="0"/>
        <v>24</v>
      </c>
      <c r="B32" s="591" t="s">
        <v>2290</v>
      </c>
      <c r="C32" s="920">
        <v>0</v>
      </c>
      <c r="D32" s="920">
        <f>E32-C32</f>
        <v>0</v>
      </c>
      <c r="E32" s="920">
        <v>0</v>
      </c>
      <c r="F32" s="591"/>
      <c r="G32" s="591" t="s">
        <v>2291</v>
      </c>
      <c r="H32" s="921"/>
      <c r="I32" s="260"/>
      <c r="J32" s="260"/>
      <c r="K32" s="260"/>
    </row>
    <row r="33" spans="1:12">
      <c r="A33" s="109">
        <f t="shared" si="0"/>
        <v>25</v>
      </c>
      <c r="B33" s="260" t="s">
        <v>474</v>
      </c>
      <c r="C33" s="254">
        <f>C28+C31+C32</f>
        <v>9343874202.381813</v>
      </c>
      <c r="D33" s="254">
        <f>D28+D31+D32</f>
        <v>318673788.50472963</v>
      </c>
      <c r="E33" s="254">
        <f>E28+E31+E32</f>
        <v>9662547990.8865414</v>
      </c>
      <c r="F33" s="260"/>
      <c r="G33" s="591" t="str">
        <f>"Line "&amp;A28&amp;" + Line "&amp;A31&amp;" + Line "&amp;A32&amp;""</f>
        <v>Line 20 + Line 23 + Line 24</v>
      </c>
      <c r="H33" s="591"/>
      <c r="I33" s="260"/>
      <c r="J33" s="260"/>
      <c r="K33" s="260"/>
    </row>
    <row r="34" spans="1:12">
      <c r="A34" s="109">
        <f t="shared" si="0"/>
        <v>26</v>
      </c>
      <c r="B34" s="260"/>
      <c r="C34" s="285"/>
      <c r="D34" s="285"/>
      <c r="E34" s="922"/>
      <c r="F34" s="260"/>
      <c r="G34" s="260"/>
      <c r="H34" s="260"/>
      <c r="I34" s="260"/>
      <c r="J34" s="260"/>
      <c r="K34" s="260"/>
    </row>
    <row r="35" spans="1:12">
      <c r="A35" s="109">
        <f t="shared" si="0"/>
        <v>27</v>
      </c>
      <c r="B35" s="260"/>
      <c r="C35" s="923"/>
      <c r="D35" s="923"/>
      <c r="E35" s="260"/>
      <c r="F35" s="260"/>
      <c r="G35" s="923"/>
      <c r="H35" s="923"/>
      <c r="I35" s="923"/>
      <c r="J35" s="260"/>
      <c r="K35" s="260"/>
    </row>
    <row r="36" spans="1:12">
      <c r="A36" s="109">
        <f t="shared" si="0"/>
        <v>28</v>
      </c>
      <c r="B36" s="265" t="s">
        <v>2292</v>
      </c>
      <c r="C36" s="260"/>
      <c r="D36" s="260"/>
      <c r="E36" s="260"/>
      <c r="F36" s="260"/>
      <c r="G36" s="260"/>
      <c r="H36" s="260"/>
      <c r="I36" s="260"/>
      <c r="J36" s="260"/>
      <c r="K36" s="260"/>
    </row>
    <row r="37" spans="1:12">
      <c r="A37" s="109">
        <f t="shared" si="0"/>
        <v>29</v>
      </c>
      <c r="B37" s="265"/>
      <c r="C37" s="260"/>
      <c r="D37" s="260"/>
      <c r="E37" s="260"/>
      <c r="F37" s="260"/>
      <c r="G37" s="260"/>
      <c r="H37" s="260"/>
      <c r="I37" s="260"/>
      <c r="J37" s="260"/>
      <c r="K37" s="260"/>
    </row>
    <row r="38" spans="1:12">
      <c r="A38" s="109">
        <f t="shared" si="0"/>
        <v>30</v>
      </c>
      <c r="B38" s="265"/>
      <c r="C38" s="924" t="s">
        <v>466</v>
      </c>
      <c r="D38" s="411" t="s">
        <v>467</v>
      </c>
      <c r="E38" s="411"/>
      <c r="F38" s="260"/>
      <c r="G38" s="260"/>
      <c r="H38" s="260"/>
      <c r="I38" s="260"/>
      <c r="J38" s="260"/>
      <c r="K38" s="260"/>
    </row>
    <row r="39" spans="1:12">
      <c r="A39" s="109">
        <f t="shared" si="0"/>
        <v>31</v>
      </c>
      <c r="B39" s="265"/>
      <c r="C39" s="455" t="s">
        <v>465</v>
      </c>
      <c r="D39" s="455" t="s">
        <v>465</v>
      </c>
      <c r="E39" s="455" t="s">
        <v>196</v>
      </c>
      <c r="F39" s="260"/>
      <c r="G39" s="925" t="s">
        <v>230</v>
      </c>
      <c r="H39" s="260"/>
      <c r="I39" s="260"/>
      <c r="J39" s="260"/>
      <c r="K39" s="260"/>
    </row>
    <row r="40" spans="1:12">
      <c r="A40" s="109">
        <f t="shared" si="0"/>
        <v>32</v>
      </c>
      <c r="B40" s="260" t="s">
        <v>474</v>
      </c>
      <c r="C40" s="267">
        <f>C33</f>
        <v>9343874202.381813</v>
      </c>
      <c r="D40" s="267">
        <f>D33</f>
        <v>318673788.50472963</v>
      </c>
      <c r="E40" s="267">
        <f>E33</f>
        <v>9662547990.8865414</v>
      </c>
      <c r="F40" s="260"/>
      <c r="G40" s="260" t="str">
        <f>"Line "&amp;A33&amp;""</f>
        <v>Line 25</v>
      </c>
      <c r="H40" s="260"/>
      <c r="I40" s="260"/>
      <c r="J40" s="260"/>
      <c r="K40" s="260"/>
      <c r="L40" s="14"/>
    </row>
    <row r="41" spans="1:12">
      <c r="A41" s="109">
        <f t="shared" si="0"/>
        <v>33</v>
      </c>
      <c r="B41" s="474" t="s">
        <v>2293</v>
      </c>
      <c r="C41" s="267">
        <f>'16-PlantAdditions'!K37-'16-PlantAdditions'!P37</f>
        <v>1556856963.9304638</v>
      </c>
      <c r="D41" s="267">
        <f>'16-PlantAdditions'!P37</f>
        <v>4206884.7885745186</v>
      </c>
      <c r="E41" s="926">
        <f>SUM(C41:D41)</f>
        <v>1561063848.7190382</v>
      </c>
      <c r="F41" s="260"/>
      <c r="G41" s="260" t="str">
        <f>"13-Month Average: 16-PlantAdditions, Line "&amp;'16-PlantAdditions'!A37&amp;", Cols 7  (for Total) and 12 (for LV).  HV = C7 - C12."</f>
        <v>13-Month Average: 16-PlantAdditions, Line 25, Cols 7  (for Total) and 12 (for LV).  HV = C7 - C12.</v>
      </c>
      <c r="H41" s="260"/>
      <c r="I41" s="260"/>
      <c r="J41" s="260"/>
      <c r="K41" s="260"/>
      <c r="L41" s="14"/>
    </row>
    <row r="42" spans="1:12">
      <c r="A42" s="109">
        <f t="shared" si="0"/>
        <v>34</v>
      </c>
      <c r="B42" s="474" t="s">
        <v>2294</v>
      </c>
      <c r="C42" s="534">
        <f>'10-CWIP'!K79</f>
        <v>-820113818.9424268</v>
      </c>
      <c r="D42" s="534">
        <v>0</v>
      </c>
      <c r="E42" s="534">
        <f>SUM(C42:D42)</f>
        <v>-820113818.9424268</v>
      </c>
      <c r="F42" s="260"/>
      <c r="G42" s="260" t="str">
        <f>"13 Month Average: 10-CWIP, Line "&amp;'10-CWIP'!A79&amp;", Col. 8"</f>
        <v>13 Month Average: 10-CWIP, Line 54, Col. 8</v>
      </c>
      <c r="H42" s="260"/>
      <c r="I42" s="260"/>
      <c r="J42" s="260"/>
      <c r="K42" s="260"/>
    </row>
    <row r="43" spans="1:12">
      <c r="A43" s="109">
        <f t="shared" si="0"/>
        <v>35</v>
      </c>
      <c r="B43" s="474" t="s">
        <v>2295</v>
      </c>
      <c r="C43" s="267">
        <f>SUM(C40:C42)</f>
        <v>10080617347.36985</v>
      </c>
      <c r="D43" s="267">
        <f t="shared" ref="D43:E43" si="5">SUM(D40:D42)</f>
        <v>322880673.29330415</v>
      </c>
      <c r="E43" s="267">
        <f t="shared" si="5"/>
        <v>10403498020.663153</v>
      </c>
      <c r="F43" s="260"/>
      <c r="G43" s="260" t="str">
        <f>"Line "&amp;A40&amp;" + Line "&amp;A41&amp;" + Line "&amp;A42&amp;""</f>
        <v>Line 32 + Line 33 + Line 34</v>
      </c>
      <c r="H43" s="260"/>
      <c r="I43" s="260"/>
      <c r="J43" s="260"/>
      <c r="K43" s="260"/>
    </row>
    <row r="44" spans="1:12">
      <c r="A44" s="109">
        <f t="shared" si="0"/>
        <v>36</v>
      </c>
      <c r="B44" s="260"/>
      <c r="C44" s="260"/>
      <c r="D44" s="260"/>
      <c r="E44" s="260"/>
      <c r="F44" s="260"/>
      <c r="G44" s="260"/>
      <c r="H44" s="260"/>
      <c r="I44" s="260"/>
      <c r="J44" s="260"/>
      <c r="K44" s="260"/>
    </row>
    <row r="45" spans="1:12">
      <c r="A45" s="109">
        <f t="shared" si="0"/>
        <v>37</v>
      </c>
      <c r="B45" s="260" t="s">
        <v>1119</v>
      </c>
      <c r="C45" s="927">
        <f>C43/E43</f>
        <v>0.96896422024092232</v>
      </c>
      <c r="D45" s="927">
        <f>D43/E43</f>
        <v>3.1035779759077869E-2</v>
      </c>
      <c r="E45" s="260"/>
      <c r="F45" s="260"/>
      <c r="G45" s="928" t="str">
        <f>"Percent of Total on Line "&amp;A43&amp;""</f>
        <v>Percent of Total on Line 35</v>
      </c>
      <c r="H45" s="260"/>
      <c r="I45" s="260"/>
      <c r="J45" s="260"/>
      <c r="K45" s="260"/>
    </row>
    <row r="46" spans="1:12">
      <c r="A46" s="109">
        <f t="shared" si="0"/>
        <v>38</v>
      </c>
      <c r="B46" s="880" t="s">
        <v>1452</v>
      </c>
      <c r="C46" s="260"/>
      <c r="D46" s="260"/>
      <c r="E46" s="260"/>
      <c r="F46" s="260"/>
      <c r="G46" s="260"/>
      <c r="H46" s="260"/>
      <c r="I46" s="260"/>
      <c r="J46" s="260"/>
      <c r="K46" s="260"/>
    </row>
    <row r="47" spans="1:12">
      <c r="A47" s="109">
        <f t="shared" si="0"/>
        <v>39</v>
      </c>
      <c r="B47" s="474" t="s">
        <v>1604</v>
      </c>
      <c r="C47" s="260"/>
      <c r="D47" s="260"/>
      <c r="E47" s="260"/>
      <c r="F47" s="260"/>
      <c r="G47" s="260"/>
      <c r="H47" s="260"/>
      <c r="I47" s="260"/>
      <c r="J47" s="260"/>
      <c r="K47" s="260"/>
    </row>
    <row r="48" spans="1:12">
      <c r="A48" s="15"/>
      <c r="B48" s="44"/>
      <c r="C48" s="260"/>
      <c r="D48" s="260"/>
      <c r="E48" s="260"/>
      <c r="F48" s="260"/>
      <c r="G48" s="260"/>
      <c r="H48" s="260"/>
      <c r="I48" s="260"/>
      <c r="J48" s="260"/>
      <c r="K48" s="260"/>
    </row>
    <row r="49" spans="1:11">
      <c r="A49" s="15"/>
      <c r="B49" s="44"/>
      <c r="C49" s="591"/>
      <c r="D49" s="591"/>
      <c r="E49" s="591"/>
      <c r="F49" s="591"/>
      <c r="G49" s="591"/>
      <c r="H49" s="591"/>
      <c r="I49" s="260"/>
      <c r="J49" s="260"/>
      <c r="K49" s="260"/>
    </row>
    <row r="50" spans="1:11" ht="12.5">
      <c r="A50" s="15"/>
      <c r="B50" s="591"/>
      <c r="C50" s="591"/>
      <c r="D50" s="591"/>
      <c r="E50" s="591"/>
      <c r="F50" s="591"/>
      <c r="G50" s="591"/>
      <c r="H50" s="591"/>
      <c r="I50" s="260"/>
      <c r="J50" s="260"/>
      <c r="K50" s="260"/>
    </row>
    <row r="51" spans="1:11">
      <c r="A51" s="14"/>
      <c r="B51" s="591"/>
      <c r="C51" s="921"/>
      <c r="D51" s="921"/>
      <c r="E51" s="921"/>
      <c r="F51" s="921"/>
      <c r="G51" s="921"/>
      <c r="H51" s="921"/>
      <c r="I51" s="929"/>
      <c r="J51" s="929"/>
      <c r="K51" s="929"/>
    </row>
  </sheetData>
  <pageMargins left="0.7" right="0.7" top="0.75" bottom="0.75" header="0.3" footer="0.3"/>
  <pageSetup scale="70" orientation="landscape" cellComments="asDisplayed" r:id="rId1"/>
  <headerFooter>
    <oddHeader>&amp;CSchedule 31
High and Low Voltage Gross Plant
&amp;RTO2022 Annual Update 
Attachment 1</oddHeader>
    <oddFooter>&amp;R31-HVLV</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9"/>
  <sheetViews>
    <sheetView zoomScaleNormal="100" workbookViewId="0"/>
  </sheetViews>
  <sheetFormatPr defaultRowHeight="12.5"/>
  <cols>
    <col min="1" max="1" width="4.54296875" customWidth="1"/>
    <col min="5" max="5" width="3.453125" customWidth="1"/>
    <col min="6" max="6" width="12.54296875" customWidth="1"/>
    <col min="7" max="7" width="22.54296875" customWidth="1"/>
    <col min="8" max="8" width="25.54296875" customWidth="1"/>
  </cols>
  <sheetData>
    <row r="1" spans="1:8" ht="13">
      <c r="A1" s="1" t="s">
        <v>1615</v>
      </c>
    </row>
    <row r="2" spans="1:8" ht="13">
      <c r="B2" s="1227"/>
      <c r="D2" s="68" t="s">
        <v>2531</v>
      </c>
      <c r="E2" s="463"/>
      <c r="F2" s="961" t="s">
        <v>2939</v>
      </c>
      <c r="G2" s="96"/>
    </row>
    <row r="3" spans="1:8" ht="13">
      <c r="G3" s="2"/>
    </row>
    <row r="4" spans="1:8" ht="13">
      <c r="A4" s="3" t="s">
        <v>329</v>
      </c>
      <c r="F4" s="3" t="s">
        <v>282</v>
      </c>
      <c r="G4" s="3" t="s">
        <v>154</v>
      </c>
      <c r="H4" s="51" t="s">
        <v>179</v>
      </c>
    </row>
    <row r="5" spans="1:8" ht="13">
      <c r="A5" s="2">
        <v>1</v>
      </c>
      <c r="B5" s="463" t="s">
        <v>334</v>
      </c>
      <c r="F5" s="1111">
        <v>84406461.936702684</v>
      </c>
      <c r="G5" s="16"/>
      <c r="H5" t="s">
        <v>359</v>
      </c>
    </row>
    <row r="6" spans="1:8" ht="13">
      <c r="A6" s="2">
        <v>2</v>
      </c>
      <c r="B6" s="12" t="s">
        <v>335</v>
      </c>
      <c r="F6" s="1111">
        <v>18762</v>
      </c>
      <c r="G6" s="16"/>
      <c r="H6" t="s">
        <v>360</v>
      </c>
    </row>
    <row r="7" spans="1:8" s="955" customFormat="1" ht="13">
      <c r="A7" s="549">
        <v>3</v>
      </c>
      <c r="B7" s="463" t="s">
        <v>2449</v>
      </c>
      <c r="C7" s="463"/>
      <c r="D7" s="463"/>
      <c r="F7" s="99">
        <v>7304</v>
      </c>
      <c r="G7" s="16"/>
      <c r="H7" s="463" t="s">
        <v>1166</v>
      </c>
    </row>
    <row r="8" spans="1:8" ht="13">
      <c r="A8" s="2">
        <v>4</v>
      </c>
      <c r="B8" s="50" t="s">
        <v>324</v>
      </c>
      <c r="F8" s="98">
        <f>SUM(F5:F7)</f>
        <v>84432527.936702684</v>
      </c>
      <c r="G8" s="462" t="s">
        <v>2451</v>
      </c>
      <c r="H8" s="12" t="s">
        <v>325</v>
      </c>
    </row>
    <row r="9" spans="1:8" ht="13">
      <c r="A9" s="2"/>
      <c r="G9" s="16"/>
    </row>
    <row r="10" spans="1:8" ht="13">
      <c r="A10" s="2"/>
      <c r="G10" s="16"/>
    </row>
    <row r="11" spans="1:8" ht="13">
      <c r="A11" s="2">
        <v>5</v>
      </c>
      <c r="B11" s="465" t="s">
        <v>2147</v>
      </c>
      <c r="C11" s="14"/>
      <c r="D11" s="14"/>
      <c r="E11" s="37"/>
      <c r="F11" s="1112">
        <v>171053.85921814502</v>
      </c>
      <c r="G11" s="16"/>
      <c r="H11" s="12" t="s">
        <v>359</v>
      </c>
    </row>
    <row r="12" spans="1:8">
      <c r="B12" s="14"/>
      <c r="C12" s="14"/>
      <c r="D12" s="14"/>
    </row>
    <row r="13" spans="1:8">
      <c r="B13" s="14"/>
      <c r="C13" s="14"/>
      <c r="D13" s="14"/>
    </row>
    <row r="14" spans="1:8" ht="13">
      <c r="B14" s="833" t="s">
        <v>230</v>
      </c>
      <c r="C14" s="14"/>
      <c r="D14" s="14"/>
    </row>
    <row r="15" spans="1:8">
      <c r="B15" s="15" t="s">
        <v>1217</v>
      </c>
      <c r="C15" s="14"/>
      <c r="D15" s="14"/>
    </row>
    <row r="16" spans="1:8">
      <c r="B16" s="15" t="s">
        <v>1218</v>
      </c>
      <c r="C16" s="14"/>
      <c r="D16" s="14"/>
    </row>
    <row r="17" spans="2:8">
      <c r="B17" s="465" t="s">
        <v>1836</v>
      </c>
      <c r="C17" s="14"/>
      <c r="D17" s="14"/>
      <c r="E17" s="14"/>
      <c r="F17" s="14"/>
      <c r="G17" s="14"/>
      <c r="H17" s="14"/>
    </row>
    <row r="18" spans="2:8">
      <c r="B18" s="463" t="s">
        <v>2450</v>
      </c>
    </row>
    <row r="19" spans="2:8" ht="15.5">
      <c r="B19" s="573"/>
    </row>
  </sheetData>
  <pageMargins left="0.7" right="0.7" top="0.75" bottom="0.75" header="0.3" footer="0.3"/>
  <pageSetup orientation="landscape" cellComments="asDisplayed" r:id="rId1"/>
  <headerFooter>
    <oddHeader>&amp;CSchedule 32 
Gross Load
&amp;RTO2022 Annual Update 
Attachment 1</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zoomScaleNormal="100" zoomScalePageLayoutView="70" workbookViewId="0"/>
  </sheetViews>
  <sheetFormatPr defaultColWidth="9.453125" defaultRowHeight="12.5"/>
  <cols>
    <col min="1" max="1" width="5.453125" style="716" customWidth="1"/>
    <col min="2" max="2" width="18.54296875" style="716" customWidth="1"/>
    <col min="3" max="3" width="16.453125" style="716" customWidth="1"/>
    <col min="4" max="4" width="17.453125" style="716" customWidth="1"/>
    <col min="5" max="12" width="15.54296875" style="716" customWidth="1"/>
    <col min="13" max="13" width="15.54296875" style="715" customWidth="1"/>
    <col min="14" max="14" width="15.54296875" style="716" customWidth="1"/>
    <col min="15" max="15" width="9.453125" style="716"/>
    <col min="16" max="16" width="9.54296875" style="716" customWidth="1"/>
    <col min="17" max="16384" width="9.453125" style="716"/>
  </cols>
  <sheetData>
    <row r="1" spans="1:16" ht="15.5">
      <c r="A1" s="712" t="s">
        <v>369</v>
      </c>
      <c r="B1" s="713"/>
      <c r="C1" s="713"/>
      <c r="D1" s="713"/>
      <c r="E1" s="713"/>
      <c r="F1" s="713"/>
      <c r="G1" s="713"/>
      <c r="H1" s="713"/>
      <c r="I1" s="713"/>
      <c r="J1" s="713"/>
      <c r="K1" s="714"/>
      <c r="L1" s="714"/>
    </row>
    <row r="2" spans="1:16" ht="14.25" customHeight="1">
      <c r="A2" s="712"/>
      <c r="B2" s="713"/>
      <c r="C2" s="713"/>
      <c r="D2" s="713"/>
      <c r="E2" s="713"/>
      <c r="F2" s="713"/>
      <c r="G2" s="713"/>
      <c r="H2" s="713"/>
      <c r="I2" s="713"/>
      <c r="J2" s="713"/>
      <c r="K2" s="714"/>
      <c r="L2" s="714"/>
    </row>
    <row r="3" spans="1:16" ht="13">
      <c r="E3" s="717" t="s">
        <v>179</v>
      </c>
      <c r="K3" s="718"/>
      <c r="L3" s="718"/>
    </row>
    <row r="4" spans="1:16" ht="13">
      <c r="C4" s="719" t="s">
        <v>1149</v>
      </c>
      <c r="D4" s="1425">
        <f>'1-BaseTRR'!K154</f>
        <v>1412488884.3093257</v>
      </c>
      <c r="E4" s="1208" t="s">
        <v>2143</v>
      </c>
      <c r="F4" s="723"/>
      <c r="G4" s="721" t="s">
        <v>446</v>
      </c>
      <c r="H4" s="722"/>
      <c r="J4" s="723"/>
      <c r="K4" s="718"/>
      <c r="L4" s="718"/>
    </row>
    <row r="5" spans="1:16" ht="13">
      <c r="C5" s="719"/>
      <c r="D5" s="724"/>
      <c r="E5" s="720"/>
      <c r="K5" s="718"/>
      <c r="L5" s="718"/>
    </row>
    <row r="6" spans="1:16" ht="15.5">
      <c r="B6" s="712" t="s">
        <v>1150</v>
      </c>
      <c r="D6" s="719"/>
      <c r="E6" s="724"/>
      <c r="F6" s="720"/>
      <c r="K6" s="718"/>
      <c r="L6" s="718"/>
    </row>
    <row r="7" spans="1:16" ht="13">
      <c r="C7" s="725" t="s">
        <v>358</v>
      </c>
      <c r="D7" s="725" t="s">
        <v>342</v>
      </c>
      <c r="E7" s="725" t="s">
        <v>343</v>
      </c>
      <c r="F7" s="763" t="s">
        <v>344</v>
      </c>
      <c r="G7" s="763" t="s">
        <v>345</v>
      </c>
      <c r="H7" s="763" t="s">
        <v>346</v>
      </c>
      <c r="I7" s="763" t="s">
        <v>347</v>
      </c>
      <c r="J7" s="763" t="s">
        <v>534</v>
      </c>
      <c r="K7" s="763" t="s">
        <v>949</v>
      </c>
      <c r="L7" s="763" t="s">
        <v>961</v>
      </c>
      <c r="M7" s="763" t="s">
        <v>964</v>
      </c>
      <c r="N7" s="717" t="s">
        <v>982</v>
      </c>
      <c r="O7" s="717" t="s">
        <v>1459</v>
      </c>
      <c r="P7" s="717" t="s">
        <v>1460</v>
      </c>
    </row>
    <row r="8" spans="1:16">
      <c r="C8" s="752" t="s">
        <v>359</v>
      </c>
      <c r="D8" s="723"/>
      <c r="E8" s="752" t="s">
        <v>360</v>
      </c>
      <c r="F8" s="752" t="s">
        <v>1151</v>
      </c>
      <c r="G8" s="752" t="s">
        <v>1166</v>
      </c>
      <c r="H8" s="752" t="s">
        <v>1168</v>
      </c>
      <c r="I8" s="752" t="s">
        <v>1169</v>
      </c>
      <c r="J8" s="752" t="s">
        <v>1170</v>
      </c>
      <c r="K8" s="723"/>
      <c r="L8" s="723"/>
    </row>
    <row r="9" spans="1:16" s="729" customFormat="1" ht="13">
      <c r="A9" s="727"/>
      <c r="B9" s="727"/>
      <c r="C9" s="725"/>
      <c r="D9" s="728"/>
      <c r="E9" s="1553" t="s">
        <v>2069</v>
      </c>
      <c r="F9" s="1554"/>
      <c r="G9" s="1554"/>
      <c r="H9" s="1555"/>
      <c r="I9" s="1556"/>
      <c r="J9" s="1193"/>
      <c r="K9" s="997"/>
      <c r="L9" s="752" t="s">
        <v>2190</v>
      </c>
      <c r="M9" s="752" t="s">
        <v>2190</v>
      </c>
      <c r="N9" s="752" t="s">
        <v>2190</v>
      </c>
    </row>
    <row r="10" spans="1:16" s="1165" customFormat="1" ht="128.25" customHeight="1">
      <c r="A10" s="1163"/>
      <c r="B10" s="1163"/>
      <c r="C10" s="730"/>
      <c r="D10" s="1206" t="s">
        <v>2070</v>
      </c>
      <c r="E10" s="998" t="s">
        <v>2191</v>
      </c>
      <c r="F10" s="998" t="s">
        <v>2192</v>
      </c>
      <c r="G10" s="999" t="s">
        <v>2184</v>
      </c>
      <c r="H10" s="998" t="s">
        <v>2071</v>
      </c>
      <c r="I10" s="998" t="s">
        <v>2072</v>
      </c>
      <c r="J10" s="1207" t="s">
        <v>2193</v>
      </c>
      <c r="K10" s="1206" t="s">
        <v>2194</v>
      </c>
      <c r="L10" s="1206" t="s">
        <v>2195</v>
      </c>
      <c r="M10" s="1331" t="s">
        <v>2073</v>
      </c>
      <c r="N10" s="1332"/>
      <c r="O10" s="1195"/>
      <c r="P10" s="1164"/>
    </row>
    <row r="11" spans="1:16" s="1166" customFormat="1" ht="55.4" customHeight="1">
      <c r="A11" s="717" t="s">
        <v>319</v>
      </c>
      <c r="B11" s="731" t="s">
        <v>1152</v>
      </c>
      <c r="C11" s="732" t="s">
        <v>1153</v>
      </c>
      <c r="D11" s="733" t="s">
        <v>1154</v>
      </c>
      <c r="E11" s="731" t="s">
        <v>2196</v>
      </c>
      <c r="F11" s="770" t="s">
        <v>2197</v>
      </c>
      <c r="G11" s="1008" t="s">
        <v>2185</v>
      </c>
      <c r="H11" s="731" t="s">
        <v>2075</v>
      </c>
      <c r="I11" s="731" t="s">
        <v>2076</v>
      </c>
      <c r="J11" s="731" t="s">
        <v>2186</v>
      </c>
      <c r="K11" s="735" t="s">
        <v>2077</v>
      </c>
      <c r="L11" s="736" t="s">
        <v>2078</v>
      </c>
      <c r="M11" s="734" t="s">
        <v>2074</v>
      </c>
      <c r="N11" s="731" t="s">
        <v>2075</v>
      </c>
      <c r="O11" s="731" t="s">
        <v>2076</v>
      </c>
      <c r="P11" s="731" t="s">
        <v>168</v>
      </c>
    </row>
    <row r="12" spans="1:16" s="755" customFormat="1" ht="13">
      <c r="A12" s="737" t="s">
        <v>576</v>
      </c>
      <c r="B12" s="468" t="s">
        <v>2903</v>
      </c>
      <c r="C12" s="1025">
        <f>M115</f>
        <v>0.43781821104713387</v>
      </c>
      <c r="D12" s="1477">
        <f>$D$4*C12</f>
        <v>618413356.45227098</v>
      </c>
      <c r="E12" s="939">
        <v>27982.602819</v>
      </c>
      <c r="F12" s="761"/>
      <c r="G12" s="1082">
        <v>1931.9463519999999</v>
      </c>
      <c r="H12" s="940">
        <v>0</v>
      </c>
      <c r="I12" s="941">
        <v>1.2E-2</v>
      </c>
      <c r="J12" s="1026">
        <f>(E12+F12)-G12</f>
        <v>26050.656467000001</v>
      </c>
      <c r="K12" s="1186">
        <f>D12/(J12*10^6)</f>
        <v>2.3738878029260183E-2</v>
      </c>
      <c r="L12" s="738"/>
      <c r="N12" s="714"/>
      <c r="O12" s="713"/>
      <c r="P12" s="752"/>
    </row>
    <row r="13" spans="1:16" s="755" customFormat="1" ht="13.5" thickBot="1">
      <c r="A13" s="737" t="s">
        <v>578</v>
      </c>
      <c r="B13" s="468" t="s">
        <v>2904</v>
      </c>
      <c r="C13" s="1025">
        <f>M116</f>
        <v>7.6770630312751553E-2</v>
      </c>
      <c r="D13" s="740">
        <f>$D$4*C13</f>
        <v>108437661.95818214</v>
      </c>
      <c r="E13" s="939">
        <v>5923.6392599999999</v>
      </c>
      <c r="F13" s="761"/>
      <c r="G13" s="1082">
        <v>31.924164000000001</v>
      </c>
      <c r="H13" s="940">
        <v>0</v>
      </c>
      <c r="I13" s="941">
        <v>0.51</v>
      </c>
      <c r="J13" s="1026">
        <f t="shared" ref="J13:J27" si="0">(E13+F13)-G13</f>
        <v>5891.7150959999999</v>
      </c>
      <c r="K13" s="1167">
        <f>D13/(J13*10^6)</f>
        <v>1.8405109580366941E-2</v>
      </c>
      <c r="L13" s="738"/>
      <c r="M13" s="946">
        <v>5830.5112259999996</v>
      </c>
      <c r="N13" s="947">
        <v>28196.110779450977</v>
      </c>
      <c r="O13" s="948">
        <v>0.51</v>
      </c>
      <c r="P13" s="752"/>
    </row>
    <row r="14" spans="1:16" s="755" customFormat="1" ht="15.5" thickBot="1">
      <c r="A14" s="737" t="s">
        <v>2079</v>
      </c>
      <c r="B14" s="468" t="s">
        <v>2905</v>
      </c>
      <c r="C14" s="1168"/>
      <c r="D14" s="1168"/>
      <c r="E14" s="942"/>
      <c r="F14" s="761"/>
      <c r="G14" s="761"/>
      <c r="H14" s="942"/>
      <c r="I14" s="942"/>
      <c r="J14" s="1026">
        <f>(E14+F14)-G14</f>
        <v>0</v>
      </c>
      <c r="K14" s="739"/>
      <c r="L14" s="1169">
        <f>N14</f>
        <v>3.8058176851566352</v>
      </c>
      <c r="M14" s="1479">
        <f>K13*M13*10^6</f>
        <v>107311198.02408959</v>
      </c>
      <c r="N14" s="1478">
        <f>M14/((N13+O13)*10^3)</f>
        <v>3.8058176851566352</v>
      </c>
      <c r="O14" s="1170"/>
      <c r="P14" s="1000" t="s">
        <v>2198</v>
      </c>
    </row>
    <row r="15" spans="1:16" s="755" customFormat="1" ht="13">
      <c r="A15" s="737" t="s">
        <v>581</v>
      </c>
      <c r="B15" s="468" t="s">
        <v>2906</v>
      </c>
      <c r="C15" s="1025">
        <f t="shared" ref="C15:C26" si="1">M117</f>
        <v>4.9604863467924993E-4</v>
      </c>
      <c r="D15" s="740">
        <f t="shared" ref="D15:D26" si="2">$D$4*C15</f>
        <v>700663.18256125797</v>
      </c>
      <c r="E15" s="1398">
        <v>55.490121000000002</v>
      </c>
      <c r="F15" s="948"/>
      <c r="G15" s="761">
        <v>0</v>
      </c>
      <c r="H15" s="940">
        <v>0</v>
      </c>
      <c r="I15" s="941">
        <v>0</v>
      </c>
      <c r="J15" s="1026">
        <f t="shared" si="0"/>
        <v>55.490121000000002</v>
      </c>
      <c r="K15" s="1167">
        <f>D15/(J15*10^6)</f>
        <v>1.2626809420027359E-2</v>
      </c>
      <c r="L15" s="738"/>
      <c r="N15" s="714"/>
      <c r="O15" s="713"/>
      <c r="P15" s="752"/>
    </row>
    <row r="16" spans="1:16" s="755" customFormat="1" ht="13">
      <c r="A16" s="737" t="s">
        <v>1155</v>
      </c>
      <c r="B16" s="468" t="s">
        <v>2907</v>
      </c>
      <c r="C16" s="1025">
        <f t="shared" si="1"/>
        <v>0.15260249321279062</v>
      </c>
      <c r="D16" s="740">
        <f t="shared" si="2"/>
        <v>215549325.38095608</v>
      </c>
      <c r="E16" s="939">
        <v>12184.653306</v>
      </c>
      <c r="F16" s="761"/>
      <c r="G16" s="1082">
        <v>143.13886600000001</v>
      </c>
      <c r="H16" s="940">
        <v>41899.036</v>
      </c>
      <c r="I16" s="941">
        <v>33.96</v>
      </c>
      <c r="J16" s="1026">
        <f t="shared" si="0"/>
        <v>12041.514440000001</v>
      </c>
      <c r="K16" s="738"/>
      <c r="L16" s="1171">
        <f t="shared" ref="L16:L25" si="3">D16/((I16+H16)*10^3)</f>
        <v>5.1403273303189705</v>
      </c>
      <c r="N16" s="714"/>
      <c r="O16" s="1172"/>
      <c r="P16" s="752"/>
    </row>
    <row r="17" spans="1:16" s="755" customFormat="1" ht="13">
      <c r="A17" s="737" t="s">
        <v>1156</v>
      </c>
      <c r="B17" s="468" t="s">
        <v>2908</v>
      </c>
      <c r="C17" s="1025">
        <f t="shared" si="1"/>
        <v>8.5990908095811336E-2</v>
      </c>
      <c r="D17" s="740">
        <f t="shared" si="2"/>
        <v>121461201.83699831</v>
      </c>
      <c r="E17" s="939">
        <v>7403.2479320000002</v>
      </c>
      <c r="F17" s="761"/>
      <c r="G17" s="1082">
        <v>118.32292099999999</v>
      </c>
      <c r="H17" s="940">
        <v>21435.288329999999</v>
      </c>
      <c r="I17" s="941">
        <v>73.194670000000002</v>
      </c>
      <c r="J17" s="1026">
        <f t="shared" si="0"/>
        <v>7284.9250110000003</v>
      </c>
      <c r="K17" s="738"/>
      <c r="L17" s="1020">
        <f t="shared" si="3"/>
        <v>5.6471301038291877</v>
      </c>
      <c r="N17" s="714"/>
      <c r="O17" s="1172"/>
      <c r="P17" s="752"/>
    </row>
    <row r="18" spans="1:16" s="755" customFormat="1" ht="13">
      <c r="A18" s="737" t="s">
        <v>1157</v>
      </c>
      <c r="B18" s="468" t="s">
        <v>2909</v>
      </c>
      <c r="C18" s="1025">
        <f t="shared" si="1"/>
        <v>8.3390267340547025E-2</v>
      </c>
      <c r="D18" s="740">
        <f t="shared" si="2"/>
        <v>117787825.67810567</v>
      </c>
      <c r="E18" s="943">
        <v>7529.5813020000005</v>
      </c>
      <c r="F18" s="761"/>
      <c r="G18" s="1082">
        <v>44.680185000000002</v>
      </c>
      <c r="H18" s="944">
        <v>19232.017</v>
      </c>
      <c r="I18" s="945">
        <v>0</v>
      </c>
      <c r="J18" s="1026">
        <f t="shared" si="0"/>
        <v>7484.9011170000003</v>
      </c>
      <c r="K18" s="738"/>
      <c r="L18" s="1020">
        <f>D18/((I18+H18)*10^3)</f>
        <v>6.1245695486908973</v>
      </c>
      <c r="N18" s="714"/>
      <c r="O18" s="1172"/>
      <c r="P18" s="752"/>
    </row>
    <row r="19" spans="1:16" s="755" customFormat="1" ht="13">
      <c r="A19" s="737" t="s">
        <v>1158</v>
      </c>
      <c r="B19" s="468" t="s">
        <v>2910</v>
      </c>
      <c r="C19" s="1025">
        <f t="shared" si="1"/>
        <v>5.9309562651824271E-2</v>
      </c>
      <c r="D19" s="740">
        <f t="shared" si="2"/>
        <v>83774097.978949323</v>
      </c>
      <c r="E19" s="943">
        <v>5599.1337279999998</v>
      </c>
      <c r="F19" s="761"/>
      <c r="G19" s="1082">
        <v>29.767416000000001</v>
      </c>
      <c r="H19" s="944">
        <v>13030.975</v>
      </c>
      <c r="I19" s="945">
        <v>0</v>
      </c>
      <c r="J19" s="1026">
        <f t="shared" si="0"/>
        <v>5569.3663120000001</v>
      </c>
      <c r="K19" s="738"/>
      <c r="L19" s="1020">
        <f t="shared" si="3"/>
        <v>6.4288434272147192</v>
      </c>
      <c r="N19" s="714"/>
      <c r="O19" s="1172"/>
      <c r="P19" s="752"/>
    </row>
    <row r="20" spans="1:16" s="755" customFormat="1" ht="13">
      <c r="A20" s="737" t="s">
        <v>1159</v>
      </c>
      <c r="B20" s="468" t="s">
        <v>2911</v>
      </c>
      <c r="C20" s="1025">
        <f t="shared" si="1"/>
        <v>6.3217553989474359E-2</v>
      </c>
      <c r="D20" s="740">
        <f t="shared" si="2"/>
        <v>89294092.303357199</v>
      </c>
      <c r="E20" s="943">
        <v>5966.9369309999993</v>
      </c>
      <c r="F20" s="761"/>
      <c r="G20" s="1082">
        <v>14.008808</v>
      </c>
      <c r="H20" s="944">
        <v>12053.998</v>
      </c>
      <c r="I20" s="945">
        <v>0</v>
      </c>
      <c r="J20" s="1026">
        <f t="shared" si="0"/>
        <v>5952.9281229999997</v>
      </c>
      <c r="K20" s="738"/>
      <c r="L20" s="1020">
        <f t="shared" si="3"/>
        <v>7.4078403118498279</v>
      </c>
      <c r="N20" s="1173"/>
      <c r="O20" s="1174"/>
      <c r="P20" s="752"/>
    </row>
    <row r="21" spans="1:16" s="755" customFormat="1" ht="13">
      <c r="A21" s="737" t="s">
        <v>1160</v>
      </c>
      <c r="B21" s="468" t="s">
        <v>2912</v>
      </c>
      <c r="C21" s="1025">
        <f t="shared" si="1"/>
        <v>8.797579710036463E-4</v>
      </c>
      <c r="D21" s="740">
        <f t="shared" si="2"/>
        <v>1242648.3549251764</v>
      </c>
      <c r="E21" s="944">
        <v>94.976902884739985</v>
      </c>
      <c r="F21" s="944">
        <v>84.598786115260026</v>
      </c>
      <c r="G21" s="1082">
        <v>0</v>
      </c>
      <c r="H21" s="944">
        <v>289.2080000040001</v>
      </c>
      <c r="I21" s="945">
        <v>232.41999999599994</v>
      </c>
      <c r="J21" s="1026">
        <f t="shared" si="0"/>
        <v>179.57568900000001</v>
      </c>
      <c r="K21" s="738"/>
      <c r="L21" s="1171">
        <f t="shared" si="3"/>
        <v>2.3822500995444575</v>
      </c>
      <c r="N21" s="1175"/>
      <c r="O21" s="1176"/>
      <c r="P21" s="752"/>
    </row>
    <row r="22" spans="1:16" s="755" customFormat="1" ht="13">
      <c r="A22" s="737" t="s">
        <v>1161</v>
      </c>
      <c r="B22" s="468" t="s">
        <v>2913</v>
      </c>
      <c r="C22" s="1025">
        <f t="shared" si="1"/>
        <v>1.927130096688291E-3</v>
      </c>
      <c r="D22" s="740">
        <f t="shared" si="2"/>
        <v>2722049.8401901671</v>
      </c>
      <c r="E22" s="944">
        <v>397.13271707003997</v>
      </c>
      <c r="F22" s="944">
        <v>210.50632192996005</v>
      </c>
      <c r="G22" s="1082">
        <v>0</v>
      </c>
      <c r="H22" s="944">
        <v>1030.94004</v>
      </c>
      <c r="I22" s="945">
        <v>1174.2039599999998</v>
      </c>
      <c r="J22" s="1026">
        <f t="shared" si="0"/>
        <v>607.63903900000003</v>
      </c>
      <c r="K22" s="738"/>
      <c r="L22" s="1171">
        <f t="shared" si="3"/>
        <v>1.2344091089698301</v>
      </c>
      <c r="N22" s="1175"/>
      <c r="O22" s="1176"/>
      <c r="P22" s="752"/>
    </row>
    <row r="23" spans="1:16" s="755" customFormat="1" ht="13">
      <c r="A23" s="737" t="s">
        <v>1162</v>
      </c>
      <c r="B23" s="468" t="s">
        <v>2914</v>
      </c>
      <c r="C23" s="1025">
        <f t="shared" si="1"/>
        <v>3.2496549219513328E-3</v>
      </c>
      <c r="D23" s="740">
        <f t="shared" si="2"/>
        <v>4590101.4550973466</v>
      </c>
      <c r="E23" s="944">
        <v>1930.4239125470001</v>
      </c>
      <c r="F23" s="944">
        <v>529.51487145299984</v>
      </c>
      <c r="G23" s="1082">
        <v>0</v>
      </c>
      <c r="H23" s="944">
        <v>3934.7750000399983</v>
      </c>
      <c r="I23" s="945">
        <v>7509.7719999600022</v>
      </c>
      <c r="J23" s="1026">
        <f t="shared" si="0"/>
        <v>2459.9387839999999</v>
      </c>
      <c r="K23" s="738"/>
      <c r="L23" s="1171">
        <f t="shared" si="3"/>
        <v>0.40107323209012524</v>
      </c>
      <c r="N23" s="1173"/>
      <c r="O23" s="1174"/>
      <c r="P23" s="752"/>
    </row>
    <row r="24" spans="1:16" s="755" customFormat="1" ht="13">
      <c r="A24" s="737" t="s">
        <v>1163</v>
      </c>
      <c r="B24" s="468" t="s">
        <v>2915</v>
      </c>
      <c r="C24" s="1025">
        <f t="shared" si="1"/>
        <v>1.6556220863240639E-2</v>
      </c>
      <c r="D24" s="740">
        <f t="shared" si="2"/>
        <v>23385477.935497552</v>
      </c>
      <c r="E24" s="939">
        <v>1831.8342130000001</v>
      </c>
      <c r="F24" s="761"/>
      <c r="G24" s="1082">
        <v>106.267073</v>
      </c>
      <c r="H24" s="939">
        <v>8778.7939999999999</v>
      </c>
      <c r="I24" s="939">
        <v>0.52400000000000002</v>
      </c>
      <c r="J24" s="1026">
        <f t="shared" si="0"/>
        <v>1725.5671400000001</v>
      </c>
      <c r="K24" s="738"/>
      <c r="L24" s="1171">
        <f t="shared" si="3"/>
        <v>2.6637009771712963</v>
      </c>
      <c r="N24" s="1177"/>
      <c r="O24" s="1177"/>
      <c r="P24" s="1178"/>
    </row>
    <row r="25" spans="1:16" s="755" customFormat="1" ht="13">
      <c r="A25" s="737" t="s">
        <v>1164</v>
      </c>
      <c r="B25" s="468" t="s">
        <v>2916</v>
      </c>
      <c r="C25" s="1025">
        <f t="shared" si="1"/>
        <v>1.3492922672121118E-2</v>
      </c>
      <c r="D25" s="740">
        <f t="shared" si="2"/>
        <v>19058603.291216362</v>
      </c>
      <c r="E25" s="939">
        <v>1549.127628</v>
      </c>
      <c r="F25" s="761"/>
      <c r="G25" s="1082">
        <v>59.944180000000003</v>
      </c>
      <c r="H25" s="939">
        <v>5345.5943299999999</v>
      </c>
      <c r="I25" s="939">
        <v>19.554670000000002</v>
      </c>
      <c r="J25" s="1026">
        <f t="shared" si="0"/>
        <v>1489.183448</v>
      </c>
      <c r="K25" s="738"/>
      <c r="L25" s="1171">
        <f t="shared" si="3"/>
        <v>3.5522971107077104</v>
      </c>
      <c r="M25" s="1172"/>
      <c r="N25" s="713"/>
      <c r="O25" s="720"/>
      <c r="P25" s="752"/>
    </row>
    <row r="26" spans="1:16" s="755" customFormat="1" ht="13">
      <c r="A26" s="737" t="s">
        <v>1165</v>
      </c>
      <c r="B26" s="468" t="s">
        <v>2917</v>
      </c>
      <c r="C26" s="1025">
        <f t="shared" si="1"/>
        <v>4.2986381899825839E-3</v>
      </c>
      <c r="D26" s="740">
        <f t="shared" si="2"/>
        <v>6071778.661017959</v>
      </c>
      <c r="E26" s="939">
        <v>474.788702</v>
      </c>
      <c r="F26" s="761"/>
      <c r="G26" s="761">
        <v>0</v>
      </c>
      <c r="H26" s="940">
        <v>0</v>
      </c>
      <c r="I26" s="941">
        <v>0</v>
      </c>
      <c r="J26" s="1026">
        <f t="shared" si="0"/>
        <v>474.788702</v>
      </c>
      <c r="K26" s="1167">
        <f>D26/(J26*10^6)</f>
        <v>1.278838067426878E-2</v>
      </c>
      <c r="L26" s="738"/>
      <c r="M26" s="713"/>
      <c r="N26" s="713"/>
      <c r="O26" s="720"/>
      <c r="P26" s="752"/>
    </row>
    <row r="27" spans="1:16" s="755" customFormat="1" ht="13">
      <c r="A27" s="737" t="s">
        <v>1167</v>
      </c>
      <c r="B27" s="741" t="s">
        <v>76</v>
      </c>
      <c r="C27" s="1025"/>
      <c r="D27" s="740"/>
      <c r="E27" s="939"/>
      <c r="F27" s="761"/>
      <c r="G27" s="761"/>
      <c r="H27" s="940"/>
      <c r="I27" s="941"/>
      <c r="J27" s="1026">
        <f t="shared" si="0"/>
        <v>0</v>
      </c>
      <c r="K27" s="1167"/>
      <c r="L27" s="738"/>
      <c r="M27" s="713"/>
      <c r="N27" s="713"/>
      <c r="O27" s="720"/>
      <c r="P27" s="752"/>
    </row>
    <row r="28" spans="1:16" s="755" customFormat="1" ht="13">
      <c r="A28" s="737">
        <v>2</v>
      </c>
      <c r="B28" s="471" t="s">
        <v>197</v>
      </c>
      <c r="C28" s="1201">
        <f t="shared" ref="C28:D28" si="4">SUM(C12:C27)</f>
        <v>0.99999999999999967</v>
      </c>
      <c r="D28" s="1203">
        <f t="shared" si="4"/>
        <v>1412488884.3093255</v>
      </c>
      <c r="E28" s="1200">
        <f>SUM(E12:E27)</f>
        <v>78923.569474501783</v>
      </c>
      <c r="F28" s="1200">
        <f t="shared" ref="F28:J28" si="5">SUM(F12:F27)</f>
        <v>824.61997949821989</v>
      </c>
      <c r="G28" s="1200">
        <f t="shared" si="5"/>
        <v>2479.9999650000004</v>
      </c>
      <c r="H28" s="1200">
        <f t="shared" si="5"/>
        <v>127030.62570004398</v>
      </c>
      <c r="I28" s="1200">
        <f t="shared" si="5"/>
        <v>9044.151299956</v>
      </c>
      <c r="J28" s="1200">
        <f t="shared" si="5"/>
        <v>77268.189489000011</v>
      </c>
      <c r="K28" s="726"/>
      <c r="L28" s="713"/>
      <c r="M28" s="713"/>
      <c r="N28" s="713"/>
      <c r="O28" s="713"/>
      <c r="P28" s="752"/>
    </row>
    <row r="29" spans="1:16" s="723" customFormat="1" ht="13">
      <c r="A29" s="737">
        <f>A28+1</f>
        <v>3</v>
      </c>
      <c r="B29" s="716"/>
      <c r="C29" s="716"/>
      <c r="D29" s="716"/>
      <c r="E29" s="716"/>
      <c r="F29" s="716"/>
      <c r="G29" s="716"/>
      <c r="H29" s="716"/>
      <c r="I29" s="716"/>
      <c r="J29" s="742"/>
      <c r="K29" s="742"/>
      <c r="M29" s="715"/>
    </row>
    <row r="30" spans="1:16" s="723" customFormat="1" ht="13">
      <c r="A30" s="737">
        <f t="shared" ref="A30:A34" si="6">A29+1</f>
        <v>4</v>
      </c>
      <c r="B30" s="716"/>
      <c r="C30" s="716"/>
      <c r="D30" s="716"/>
      <c r="E30" s="716"/>
      <c r="G30" s="1001"/>
      <c r="I30" s="763"/>
      <c r="J30" s="743"/>
      <c r="K30" s="743"/>
      <c r="L30" s="743"/>
      <c r="M30" s="715"/>
    </row>
    <row r="31" spans="1:16" s="723" customFormat="1" ht="15.5">
      <c r="A31" s="737">
        <f t="shared" si="6"/>
        <v>5</v>
      </c>
      <c r="B31" s="1009" t="s">
        <v>2199</v>
      </c>
      <c r="C31" s="716"/>
      <c r="D31" s="716"/>
      <c r="E31" s="716"/>
      <c r="F31" s="716"/>
      <c r="G31" s="716"/>
      <c r="H31" s="716"/>
      <c r="I31" s="716"/>
      <c r="J31" s="716"/>
      <c r="K31" s="716"/>
      <c r="L31" s="716"/>
      <c r="M31" s="715"/>
    </row>
    <row r="32" spans="1:16" s="755" customFormat="1" ht="13">
      <c r="A32" s="737">
        <f t="shared" si="6"/>
        <v>6</v>
      </c>
      <c r="B32" s="713"/>
      <c r="C32" s="725" t="s">
        <v>358</v>
      </c>
      <c r="D32" s="725" t="s">
        <v>342</v>
      </c>
      <c r="E32" s="725" t="s">
        <v>343</v>
      </c>
      <c r="F32" s="725" t="s">
        <v>344</v>
      </c>
      <c r="G32" s="725" t="s">
        <v>345</v>
      </c>
      <c r="H32" s="725" t="s">
        <v>346</v>
      </c>
      <c r="I32" s="725" t="s">
        <v>347</v>
      </c>
      <c r="J32" s="725" t="s">
        <v>534</v>
      </c>
      <c r="K32" s="713"/>
      <c r="M32" s="752"/>
    </row>
    <row r="33" spans="1:13" s="1165" customFormat="1" ht="42.75" customHeight="1">
      <c r="A33" s="737">
        <f t="shared" si="6"/>
        <v>7</v>
      </c>
      <c r="B33" s="1163"/>
      <c r="C33" s="1164" t="s">
        <v>2080</v>
      </c>
      <c r="D33" s="1196" t="s">
        <v>2200</v>
      </c>
      <c r="E33" s="1196" t="s">
        <v>2201</v>
      </c>
      <c r="F33" s="1205"/>
      <c r="H33" s="999" t="s">
        <v>2080</v>
      </c>
      <c r="I33" s="999" t="s">
        <v>1171</v>
      </c>
      <c r="J33" s="1197" t="s">
        <v>2202</v>
      </c>
      <c r="K33" s="1010"/>
      <c r="L33" s="1010"/>
      <c r="M33" s="1010"/>
    </row>
    <row r="34" spans="1:13" s="755" customFormat="1" ht="13">
      <c r="A34" s="737">
        <f t="shared" si="6"/>
        <v>8</v>
      </c>
      <c r="B34" s="713"/>
      <c r="C34" s="725"/>
      <c r="D34" s="725"/>
      <c r="E34" s="725"/>
      <c r="F34" s="1011"/>
      <c r="K34" s="1011"/>
      <c r="L34" s="1011"/>
      <c r="M34" s="1012"/>
    </row>
    <row r="35" spans="1:13" s="747" customFormat="1" ht="47.9" customHeight="1">
      <c r="A35" s="737">
        <v>9</v>
      </c>
      <c r="B35" s="745" t="s">
        <v>1152</v>
      </c>
      <c r="C35" s="736" t="s">
        <v>2203</v>
      </c>
      <c r="D35" s="745" t="s">
        <v>2204</v>
      </c>
      <c r="E35" s="745" t="s">
        <v>2205</v>
      </c>
      <c r="F35" s="1013"/>
      <c r="G35" s="745" t="s">
        <v>1152</v>
      </c>
      <c r="H35" s="745" t="s">
        <v>2206</v>
      </c>
      <c r="I35" s="745" t="s">
        <v>2207</v>
      </c>
      <c r="J35" s="745" t="s">
        <v>2208</v>
      </c>
      <c r="K35" s="1013"/>
      <c r="L35" s="1014"/>
      <c r="M35" s="1014"/>
    </row>
    <row r="36" spans="1:13" s="749" customFormat="1" ht="13">
      <c r="A36" s="748" t="s">
        <v>2081</v>
      </c>
      <c r="B36" s="1213" t="s">
        <v>2912</v>
      </c>
      <c r="C36" s="1015">
        <f>D21</f>
        <v>1242648.3549251764</v>
      </c>
      <c r="D36" s="1179">
        <f>I21</f>
        <v>232.41999999599994</v>
      </c>
      <c r="E36" s="1180">
        <f>C36/D36/10^3</f>
        <v>5.3465637851586045</v>
      </c>
      <c r="F36" s="1016"/>
      <c r="G36" s="1213" t="s">
        <v>2912</v>
      </c>
      <c r="H36" s="1015">
        <f>D18</f>
        <v>117787825.67810567</v>
      </c>
      <c r="I36" s="1007">
        <f>H18+H21</f>
        <v>19521.225000004</v>
      </c>
      <c r="J36" s="1176">
        <f>H36/(I36*10^3)</f>
        <v>6.0338337208900326</v>
      </c>
      <c r="K36" s="1017"/>
      <c r="L36" s="1018"/>
      <c r="M36" s="1016"/>
    </row>
    <row r="37" spans="1:13" s="749" customFormat="1" ht="13">
      <c r="A37" s="748" t="s">
        <v>2082</v>
      </c>
      <c r="B37" s="1213" t="s">
        <v>2913</v>
      </c>
      <c r="C37" s="1015">
        <f>D22</f>
        <v>2722049.8401901671</v>
      </c>
      <c r="D37" s="1179">
        <f>I22</f>
        <v>1174.2039599999998</v>
      </c>
      <c r="E37" s="1180">
        <f t="shared" ref="E37:E38" si="7">C37/D37/10^3</f>
        <v>2.3182087038696135</v>
      </c>
      <c r="F37" s="1016"/>
      <c r="G37" s="1213" t="s">
        <v>2913</v>
      </c>
      <c r="H37" s="1015">
        <f t="shared" ref="H37:H38" si="8">D19</f>
        <v>83774097.978949323</v>
      </c>
      <c r="I37" s="1007">
        <f t="shared" ref="I37:I38" si="9">H19+H22</f>
        <v>14061.91504</v>
      </c>
      <c r="J37" s="1176">
        <f t="shared" ref="J37:J38" si="10">H37/(I37*10^3)</f>
        <v>5.957517005375772</v>
      </c>
      <c r="K37" s="1017"/>
      <c r="L37" s="1018"/>
      <c r="M37" s="1016"/>
    </row>
    <row r="38" spans="1:13" s="749" customFormat="1" ht="13">
      <c r="A38" s="748" t="s">
        <v>2083</v>
      </c>
      <c r="B38" s="1213" t="s">
        <v>2914</v>
      </c>
      <c r="C38" s="1015">
        <f>D23</f>
        <v>4590101.4550973466</v>
      </c>
      <c r="D38" s="1179">
        <f>I23</f>
        <v>7509.7719999600022</v>
      </c>
      <c r="E38" s="1180">
        <f t="shared" si="7"/>
        <v>0.61121715214813366</v>
      </c>
      <c r="F38" s="1016"/>
      <c r="G38" s="1213" t="s">
        <v>2914</v>
      </c>
      <c r="H38" s="1015">
        <f t="shared" si="8"/>
        <v>89294092.303357199</v>
      </c>
      <c r="I38" s="1007">
        <f t="shared" si="9"/>
        <v>15988.773000039997</v>
      </c>
      <c r="J38" s="1172">
        <f t="shared" si="10"/>
        <v>5.5847995529821972</v>
      </c>
      <c r="K38" s="1017"/>
      <c r="L38" s="1018"/>
      <c r="M38" s="1016"/>
    </row>
    <row r="39" spans="1:13" s="755" customFormat="1" ht="13">
      <c r="A39" s="748" t="s">
        <v>2084</v>
      </c>
      <c r="B39" s="1214" t="s">
        <v>76</v>
      </c>
      <c r="C39" s="725"/>
      <c r="D39" s="725"/>
      <c r="E39" s="725"/>
      <c r="F39" s="725"/>
      <c r="G39" s="1214" t="s">
        <v>76</v>
      </c>
      <c r="H39" s="725"/>
      <c r="I39" s="744"/>
      <c r="K39" s="713"/>
      <c r="M39" s="752"/>
    </row>
    <row r="40" spans="1:13" s="723" customFormat="1" ht="13">
      <c r="A40" s="737">
        <v>10</v>
      </c>
      <c r="B40" s="716"/>
      <c r="C40" s="725"/>
      <c r="D40" s="725"/>
      <c r="E40" s="725"/>
      <c r="F40" s="725"/>
      <c r="G40" s="725"/>
      <c r="H40" s="725"/>
      <c r="I40" s="744"/>
      <c r="K40" s="716"/>
      <c r="M40" s="715"/>
    </row>
    <row r="41" spans="1:13" s="755" customFormat="1" ht="13">
      <c r="A41" s="737">
        <v>11</v>
      </c>
      <c r="B41" s="1188" t="s">
        <v>1624</v>
      </c>
      <c r="C41" s="713"/>
      <c r="D41" s="713"/>
      <c r="E41" s="713"/>
      <c r="G41" s="713"/>
      <c r="H41" s="713"/>
      <c r="I41" s="713"/>
      <c r="J41" s="713"/>
      <c r="K41" s="713"/>
      <c r="L41" s="713"/>
      <c r="M41" s="752"/>
    </row>
    <row r="42" spans="1:13" s="755" customFormat="1" ht="13">
      <c r="A42" s="737">
        <v>12</v>
      </c>
      <c r="B42" s="713"/>
      <c r="C42" s="725" t="s">
        <v>358</v>
      </c>
      <c r="D42" s="725" t="s">
        <v>342</v>
      </c>
      <c r="E42" s="725" t="s">
        <v>343</v>
      </c>
      <c r="F42" s="725" t="s">
        <v>344</v>
      </c>
      <c r="G42" s="725" t="s">
        <v>345</v>
      </c>
      <c r="H42" s="725" t="s">
        <v>346</v>
      </c>
      <c r="I42" s="725" t="s">
        <v>347</v>
      </c>
      <c r="J42" s="725" t="s">
        <v>534</v>
      </c>
      <c r="K42" s="725" t="s">
        <v>949</v>
      </c>
      <c r="L42" s="725" t="s">
        <v>961</v>
      </c>
      <c r="M42" s="725" t="s">
        <v>964</v>
      </c>
    </row>
    <row r="43" spans="1:13" s="1165" customFormat="1" ht="56.9" customHeight="1">
      <c r="A43" s="751">
        <v>13</v>
      </c>
      <c r="B43" s="1163"/>
      <c r="C43" s="1196" t="s">
        <v>2209</v>
      </c>
      <c r="D43" s="1196" t="s">
        <v>2210</v>
      </c>
      <c r="E43" s="1196" t="s">
        <v>2211</v>
      </c>
      <c r="G43" s="1196" t="s">
        <v>2212</v>
      </c>
      <c r="H43" s="1196" t="s">
        <v>2213</v>
      </c>
      <c r="I43" s="1196" t="s">
        <v>2214</v>
      </c>
      <c r="J43" s="1196" t="s">
        <v>2085</v>
      </c>
      <c r="K43" s="1196" t="s">
        <v>2086</v>
      </c>
      <c r="L43" s="765"/>
      <c r="M43" s="1196" t="s">
        <v>2212</v>
      </c>
    </row>
    <row r="44" spans="1:13" s="755" customFormat="1" ht="13">
      <c r="A44" s="737">
        <v>14</v>
      </c>
      <c r="B44" s="713"/>
      <c r="C44" s="752"/>
      <c r="D44" s="1204" t="s">
        <v>2187</v>
      </c>
      <c r="E44" s="1002"/>
      <c r="G44" s="752"/>
      <c r="H44" s="752" t="s">
        <v>2188</v>
      </c>
      <c r="I44" s="752" t="s">
        <v>2215</v>
      </c>
      <c r="J44" s="752"/>
      <c r="K44" s="752"/>
      <c r="L44" s="752"/>
      <c r="M44" s="997"/>
    </row>
    <row r="45" spans="1:13" s="1166" customFormat="1" ht="64.400000000000006" customHeight="1">
      <c r="A45" s="737">
        <v>15</v>
      </c>
      <c r="B45" s="734" t="str">
        <f>B11</f>
        <v>CPUC Rate Group</v>
      </c>
      <c r="C45" s="736" t="s">
        <v>2216</v>
      </c>
      <c r="D45" s="736" t="s">
        <v>2087</v>
      </c>
      <c r="E45" s="736" t="s">
        <v>2088</v>
      </c>
      <c r="G45" s="736" t="s">
        <v>1172</v>
      </c>
      <c r="H45" s="736" t="s">
        <v>2089</v>
      </c>
      <c r="I45" s="746" t="s">
        <v>2090</v>
      </c>
      <c r="J45" s="736" t="s">
        <v>2091</v>
      </c>
      <c r="K45" s="746" t="s">
        <v>2092</v>
      </c>
      <c r="L45" s="753" t="s">
        <v>168</v>
      </c>
      <c r="M45" s="1122" t="s">
        <v>2443</v>
      </c>
    </row>
    <row r="46" spans="1:13" s="755" customFormat="1" ht="13.5" thickBot="1">
      <c r="A46" s="737" t="s">
        <v>2093</v>
      </c>
      <c r="B46" s="468" t="s">
        <v>2903</v>
      </c>
      <c r="C46" s="1015">
        <f>D46+E46</f>
        <v>618413356.45227098</v>
      </c>
      <c r="D46" s="1015">
        <f>D12-E46</f>
        <v>618413356.45227098</v>
      </c>
      <c r="E46" s="1181"/>
      <c r="G46" s="1181">
        <f>D46/(J12*10^6)</f>
        <v>2.3738878029260183E-2</v>
      </c>
      <c r="H46" s="1181"/>
      <c r="I46" s="1182"/>
      <c r="J46" s="1426"/>
      <c r="K46" s="1181"/>
      <c r="L46" s="1181"/>
      <c r="M46" s="997"/>
    </row>
    <row r="47" spans="1:13" s="755" customFormat="1" ht="13.5" thickBot="1">
      <c r="A47" s="737" t="s">
        <v>2094</v>
      </c>
      <c r="B47" s="468" t="s">
        <v>2904</v>
      </c>
      <c r="C47" s="1015">
        <f t="shared" ref="C47:C59" si="11">D47+E47</f>
        <v>108437661.95818214</v>
      </c>
      <c r="D47" s="1015">
        <f t="shared" ref="D47" si="12">D13-E47</f>
        <v>108435720.99116272</v>
      </c>
      <c r="E47" s="1015">
        <f>I47*I13*10^3</f>
        <v>1940.967019429884</v>
      </c>
      <c r="G47" s="1181">
        <f>D47/(J13*10^6)</f>
        <v>1.8404780140299358E-2</v>
      </c>
      <c r="H47" s="1184">
        <f>(M14-E47)/N13/10^3</f>
        <v>3.8058176851566348</v>
      </c>
      <c r="I47" s="1185">
        <f>MIN($I$54,L14)</f>
        <v>3.8058176851566352</v>
      </c>
      <c r="J47" s="1185"/>
      <c r="K47" s="1185"/>
      <c r="L47" s="1000" t="s">
        <v>2217</v>
      </c>
      <c r="M47" s="1186">
        <f>$D47/(J13*10^6)</f>
        <v>1.8404780140299358E-2</v>
      </c>
    </row>
    <row r="48" spans="1:13" s="755" customFormat="1" ht="13.5" thickBot="1">
      <c r="A48" s="737" t="s">
        <v>2095</v>
      </c>
      <c r="B48" s="468" t="s">
        <v>2906</v>
      </c>
      <c r="C48" s="1015">
        <f t="shared" si="11"/>
        <v>700663.18256125797</v>
      </c>
      <c r="D48" s="1015">
        <f>D15-E48</f>
        <v>700663.18256125797</v>
      </c>
      <c r="E48" s="1181"/>
      <c r="G48" s="1181">
        <f>D48/(J15*10^6)</f>
        <v>1.2626809420027359E-2</v>
      </c>
      <c r="H48" s="1181"/>
      <c r="I48" s="1182"/>
      <c r="J48" s="1426"/>
      <c r="K48" s="1181"/>
      <c r="L48" s="1181"/>
      <c r="M48" s="1427"/>
    </row>
    <row r="49" spans="1:13" s="755" customFormat="1" ht="13">
      <c r="A49" s="737" t="s">
        <v>2096</v>
      </c>
      <c r="B49" s="468" t="s">
        <v>2907</v>
      </c>
      <c r="C49" s="1015">
        <f t="shared" si="11"/>
        <v>215549325.38095608</v>
      </c>
      <c r="D49" s="1015">
        <f t="shared" ref="D49:D50" si="13">D16-E49</f>
        <v>215374759.86481845</v>
      </c>
      <c r="E49" s="1015">
        <f>I49*I16*10^3</f>
        <v>174565.51613763225</v>
      </c>
      <c r="G49" s="1015"/>
      <c r="H49" s="1019">
        <f t="shared" ref="H49:H58" si="14">D49/H16/10^3</f>
        <v>5.1403273303189705</v>
      </c>
      <c r="I49" s="1020">
        <f>MIN($I$54,L16)</f>
        <v>5.1403273303189705</v>
      </c>
      <c r="J49" s="1426"/>
      <c r="K49" s="1181"/>
      <c r="L49" s="1558" t="s">
        <v>2218</v>
      </c>
      <c r="M49" s="1428">
        <f>($D49+D50)/((J16+J17)*10^6)</f>
        <v>1.7408515551089757E-2</v>
      </c>
    </row>
    <row r="50" spans="1:13" s="755" customFormat="1" ht="13.5" thickBot="1">
      <c r="A50" s="737" t="s">
        <v>2097</v>
      </c>
      <c r="B50" s="468" t="s">
        <v>2908</v>
      </c>
      <c r="C50" s="1015">
        <f t="shared" si="11"/>
        <v>121461201.83699831</v>
      </c>
      <c r="D50" s="1015">
        <f t="shared" si="13"/>
        <v>121069861.86510968</v>
      </c>
      <c r="E50" s="1015">
        <f>I50*I17*10^3</f>
        <v>391339.97188863496</v>
      </c>
      <c r="G50" s="1015"/>
      <c r="H50" s="1019">
        <f t="shared" si="14"/>
        <v>5.6481564419016932</v>
      </c>
      <c r="I50" s="1020">
        <f>MIN($I$54,L17)</f>
        <v>5.3465637851586045</v>
      </c>
      <c r="J50" s="1426"/>
      <c r="K50" s="1181"/>
      <c r="L50" s="1559"/>
      <c r="M50" s="1429">
        <f>M49</f>
        <v>1.7408515551089757E-2</v>
      </c>
    </row>
    <row r="51" spans="1:13" s="755" customFormat="1" ht="13">
      <c r="A51" s="737" t="s">
        <v>2098</v>
      </c>
      <c r="B51" s="468" t="s">
        <v>2909</v>
      </c>
      <c r="C51" s="1015">
        <f t="shared" si="11"/>
        <v>116042792.69533035</v>
      </c>
      <c r="D51" s="1015">
        <f>J36*H18*1000</f>
        <v>116042792.69533035</v>
      </c>
      <c r="E51" s="1181"/>
      <c r="G51" s="1015"/>
      <c r="H51" s="1019">
        <f t="shared" si="14"/>
        <v>6.0338337208900317</v>
      </c>
      <c r="I51" s="1182"/>
      <c r="J51" s="1426"/>
      <c r="K51" s="1181"/>
      <c r="L51" s="1181"/>
      <c r="M51" s="1186">
        <f>$D51/(J18*10^6)</f>
        <v>1.5503583932694772E-2</v>
      </c>
    </row>
    <row r="52" spans="1:13" s="755" customFormat="1" ht="13">
      <c r="A52" s="737" t="s">
        <v>2099</v>
      </c>
      <c r="B52" s="468" t="s">
        <v>2910</v>
      </c>
      <c r="C52" s="1015">
        <f t="shared" si="11"/>
        <v>77632255.15912655</v>
      </c>
      <c r="D52" s="1015">
        <f t="shared" ref="D52:D53" si="15">J37*H19*1000</f>
        <v>77632255.15912655</v>
      </c>
      <c r="E52" s="1181"/>
      <c r="G52" s="1015"/>
      <c r="H52" s="1019">
        <f t="shared" si="14"/>
        <v>5.957517005375772</v>
      </c>
      <c r="I52" s="1182"/>
      <c r="J52" s="1426"/>
      <c r="K52" s="1181"/>
      <c r="L52" s="1181"/>
      <c r="M52" s="1186">
        <f>$D52/(J19*10^6)</f>
        <v>1.3939154081471837E-2</v>
      </c>
    </row>
    <row r="53" spans="1:13" s="755" customFormat="1" ht="13">
      <c r="A53" s="737" t="s">
        <v>2100</v>
      </c>
      <c r="B53" s="468" t="s">
        <v>2911</v>
      </c>
      <c r="C53" s="1015">
        <f t="shared" si="11"/>
        <v>67319162.642048299</v>
      </c>
      <c r="D53" s="1015">
        <f t="shared" si="15"/>
        <v>67319162.642048299</v>
      </c>
      <c r="E53" s="1181"/>
      <c r="G53" s="1015"/>
      <c r="H53" s="1019">
        <f t="shared" si="14"/>
        <v>5.5847995529821972</v>
      </c>
      <c r="I53" s="1182"/>
      <c r="J53" s="1430"/>
      <c r="K53" s="1186"/>
      <c r="L53" s="1186"/>
      <c r="M53" s="1186">
        <f>$D53/(J20*10^6)</f>
        <v>1.1308579786466925E-2</v>
      </c>
    </row>
    <row r="54" spans="1:13" s="755" customFormat="1" ht="13">
      <c r="A54" s="737" t="s">
        <v>2101</v>
      </c>
      <c r="B54" s="468" t="s">
        <v>2912</v>
      </c>
      <c r="C54" s="1015">
        <f t="shared" si="11"/>
        <v>2987681.3377004769</v>
      </c>
      <c r="D54" s="1015">
        <f>J36*H21*1000</f>
        <v>1745032.9827753005</v>
      </c>
      <c r="E54" s="1015">
        <f>I54*I21*10^3</f>
        <v>1242648.3549251764</v>
      </c>
      <c r="G54" s="1015"/>
      <c r="H54" s="1019">
        <f>J36</f>
        <v>6.0338337208900326</v>
      </c>
      <c r="I54" s="1020">
        <f>E36</f>
        <v>5.3465637851586045</v>
      </c>
      <c r="J54" s="1430"/>
      <c r="K54" s="1186"/>
      <c r="L54" s="1186"/>
      <c r="M54" s="752"/>
    </row>
    <row r="55" spans="1:13" s="755" customFormat="1" ht="13">
      <c r="A55" s="737" t="s">
        <v>2102</v>
      </c>
      <c r="B55" s="468" t="s">
        <v>2913</v>
      </c>
      <c r="C55" s="1015">
        <f t="shared" si="11"/>
        <v>8863892.6600129455</v>
      </c>
      <c r="D55" s="1015">
        <f t="shared" ref="D55:D56" si="16">J37*H22*1000</f>
        <v>6141842.819822778</v>
      </c>
      <c r="E55" s="1015">
        <f>I55*I22*10^3</f>
        <v>2722049.8401901671</v>
      </c>
      <c r="G55" s="1015"/>
      <c r="H55" s="1019">
        <f>J37</f>
        <v>5.957517005375772</v>
      </c>
      <c r="I55" s="1020">
        <f>E37</f>
        <v>2.3182087038696135</v>
      </c>
      <c r="J55" s="1430"/>
      <c r="K55" s="1186"/>
      <c r="L55" s="1186"/>
      <c r="M55" s="752"/>
    </row>
    <row r="56" spans="1:13" s="755" customFormat="1" ht="13.5" thickBot="1">
      <c r="A56" s="737" t="s">
        <v>2103</v>
      </c>
      <c r="B56" s="468" t="s">
        <v>2914</v>
      </c>
      <c r="C56" s="1015">
        <f t="shared" si="11"/>
        <v>26565031.116406254</v>
      </c>
      <c r="D56" s="1015">
        <f t="shared" si="16"/>
        <v>21974929.661308907</v>
      </c>
      <c r="E56" s="1015">
        <f>I56*I23*10^3</f>
        <v>4590101.4550973466</v>
      </c>
      <c r="G56" s="1015"/>
      <c r="H56" s="1019">
        <f>J38</f>
        <v>5.5847995529821972</v>
      </c>
      <c r="I56" s="1020">
        <f>E38</f>
        <v>0.61121715214813366</v>
      </c>
      <c r="J56" s="1430"/>
      <c r="K56" s="1186"/>
      <c r="L56" s="1186"/>
      <c r="M56" s="752"/>
    </row>
    <row r="57" spans="1:13" s="755" customFormat="1" ht="13.5" thickBot="1">
      <c r="A57" s="737" t="s">
        <v>2104</v>
      </c>
      <c r="B57" s="468" t="s">
        <v>2915</v>
      </c>
      <c r="C57" s="1015">
        <f t="shared" si="11"/>
        <v>23385477.935497552</v>
      </c>
      <c r="D57" s="1015">
        <f t="shared" ref="D57:D59" si="17">D24-E57</f>
        <v>23384082.156185515</v>
      </c>
      <c r="E57" s="1015">
        <f>I57*I24*10^3</f>
        <v>1395.7793120377594</v>
      </c>
      <c r="G57" s="1015"/>
      <c r="H57" s="1019">
        <f t="shared" si="14"/>
        <v>2.6637009771712963</v>
      </c>
      <c r="I57" s="1020">
        <f>MIN($I$54,L24)</f>
        <v>2.6637009771712963</v>
      </c>
      <c r="J57" s="1431">
        <f>H57*0.746</f>
        <v>1.9871209289697871</v>
      </c>
      <c r="K57" s="1185">
        <f>I57*0.746</f>
        <v>1.9871209289697871</v>
      </c>
      <c r="L57" s="1000" t="s">
        <v>2236</v>
      </c>
      <c r="M57" s="752"/>
    </row>
    <row r="58" spans="1:13" s="755" customFormat="1" ht="13">
      <c r="A58" s="737" t="s">
        <v>2105</v>
      </c>
      <c r="B58" s="468" t="s">
        <v>2916</v>
      </c>
      <c r="C58" s="1015">
        <f t="shared" si="11"/>
        <v>19058603.291216362</v>
      </c>
      <c r="D58" s="1015">
        <f t="shared" si="17"/>
        <v>18989139.293474518</v>
      </c>
      <c r="E58" s="1015">
        <f>I58*I25*10^3</f>
        <v>69463.997741842744</v>
      </c>
      <c r="G58" s="1015"/>
      <c r="H58" s="1019">
        <f t="shared" si="14"/>
        <v>3.5522971107077099</v>
      </c>
      <c r="I58" s="1020">
        <f>MIN($I$54,L25)</f>
        <v>3.5522971107077104</v>
      </c>
      <c r="J58" s="1426"/>
      <c r="K58" s="1181"/>
      <c r="L58" s="1181"/>
      <c r="M58" s="752"/>
    </row>
    <row r="59" spans="1:13" s="755" customFormat="1" ht="13">
      <c r="A59" s="737" t="s">
        <v>2106</v>
      </c>
      <c r="B59" s="468" t="s">
        <v>2917</v>
      </c>
      <c r="C59" s="1015">
        <f t="shared" si="11"/>
        <v>6071778.661017959</v>
      </c>
      <c r="D59" s="1015">
        <f t="shared" si="17"/>
        <v>6071778.661017959</v>
      </c>
      <c r="E59" s="1181"/>
      <c r="G59" s="1181">
        <f>D59/(J26*10^6)</f>
        <v>1.278838067426878E-2</v>
      </c>
      <c r="H59" s="1181"/>
      <c r="I59" s="1182"/>
      <c r="J59" s="1426"/>
      <c r="K59" s="1181"/>
      <c r="L59" s="1181"/>
      <c r="M59" s="752"/>
    </row>
    <row r="60" spans="1:13" s="755" customFormat="1" ht="13">
      <c r="A60" s="737" t="s">
        <v>2107</v>
      </c>
      <c r="B60" s="741" t="s">
        <v>76</v>
      </c>
      <c r="C60" s="1015"/>
      <c r="D60" s="1015"/>
      <c r="E60" s="1181"/>
      <c r="G60" s="1181"/>
      <c r="H60" s="1181"/>
      <c r="I60" s="1182"/>
      <c r="J60" s="1183"/>
      <c r="K60" s="1181"/>
      <c r="L60" s="1181"/>
      <c r="M60" s="726"/>
    </row>
    <row r="61" spans="1:13" s="755" customFormat="1" ht="13">
      <c r="A61" s="737">
        <v>17</v>
      </c>
      <c r="B61" s="469" t="s">
        <v>197</v>
      </c>
      <c r="C61" s="1203">
        <f>SUM(C46:C60)</f>
        <v>1412488884.3093252</v>
      </c>
      <c r="D61" s="1203">
        <f>SUM(D46:D60)</f>
        <v>1403295378.4270134</v>
      </c>
      <c r="E61" s="1203">
        <f>SUM(E46:E59)</f>
        <v>9193505.8823122662</v>
      </c>
      <c r="G61" s="1187"/>
      <c r="H61" s="1187"/>
      <c r="I61" s="1187"/>
      <c r="J61" s="1187"/>
      <c r="K61" s="713"/>
      <c r="L61" s="713"/>
      <c r="M61" s="726"/>
    </row>
    <row r="62" spans="1:13" s="755" customFormat="1" ht="13">
      <c r="A62" s="737">
        <v>18</v>
      </c>
      <c r="B62" s="713"/>
      <c r="C62" s="713"/>
      <c r="D62" s="713"/>
      <c r="E62" s="713"/>
      <c r="F62" s="713"/>
      <c r="G62" s="713"/>
      <c r="H62" s="713"/>
      <c r="I62" s="713"/>
      <c r="J62" s="713"/>
      <c r="K62" s="713"/>
      <c r="L62" s="713"/>
      <c r="M62" s="752"/>
    </row>
    <row r="63" spans="1:13" s="755" customFormat="1" ht="13">
      <c r="A63" s="737">
        <v>19</v>
      </c>
      <c r="B63" s="754" t="s">
        <v>230</v>
      </c>
      <c r="C63" s="713"/>
      <c r="D63" s="713"/>
      <c r="E63" s="713"/>
      <c r="F63" s="713"/>
      <c r="G63" s="713"/>
      <c r="H63" s="713"/>
      <c r="I63" s="713"/>
      <c r="J63" s="713"/>
      <c r="K63" s="713"/>
      <c r="L63" s="713"/>
      <c r="M63" s="752"/>
    </row>
    <row r="64" spans="1:13" s="755" customFormat="1">
      <c r="A64" s="713"/>
      <c r="B64" s="755" t="s">
        <v>2108</v>
      </c>
      <c r="M64" s="752"/>
    </row>
    <row r="65" spans="1:13" s="755" customFormat="1">
      <c r="A65" s="713"/>
      <c r="B65" s="755" t="s">
        <v>2189</v>
      </c>
      <c r="M65" s="752"/>
    </row>
    <row r="66" spans="1:13" s="755" customFormat="1">
      <c r="A66" s="713"/>
      <c r="B66" s="755" t="s">
        <v>2219</v>
      </c>
      <c r="M66" s="752"/>
    </row>
    <row r="67" spans="1:13" s="755" customFormat="1">
      <c r="A67" s="713"/>
      <c r="B67" s="1003" t="s">
        <v>2220</v>
      </c>
      <c r="M67" s="752"/>
    </row>
    <row r="68" spans="1:13" s="755" customFormat="1">
      <c r="A68" s="713"/>
      <c r="B68" s="1003" t="s">
        <v>2221</v>
      </c>
      <c r="M68" s="752"/>
    </row>
    <row r="69" spans="1:13" s="755" customFormat="1">
      <c r="A69" s="713"/>
      <c r="B69" s="1021" t="s">
        <v>2222</v>
      </c>
      <c r="M69" s="752"/>
    </row>
    <row r="70" spans="1:13" s="755" customFormat="1">
      <c r="A70" s="713"/>
      <c r="B70" s="755" t="s">
        <v>2223</v>
      </c>
      <c r="M70" s="752"/>
    </row>
    <row r="71" spans="1:13" s="755" customFormat="1">
      <c r="A71" s="713"/>
      <c r="B71" s="755" t="s">
        <v>2224</v>
      </c>
      <c r="M71" s="752"/>
    </row>
    <row r="72" spans="1:13" s="755" customFormat="1">
      <c r="A72" s="713"/>
      <c r="B72" s="755" t="s">
        <v>2225</v>
      </c>
      <c r="M72" s="752"/>
    </row>
    <row r="73" spans="1:13" s="755" customFormat="1">
      <c r="A73" s="713"/>
      <c r="B73" s="755" t="s">
        <v>2226</v>
      </c>
      <c r="M73" s="752"/>
    </row>
    <row r="74" spans="1:13" s="755" customFormat="1">
      <c r="A74" s="713"/>
      <c r="B74" s="755" t="s">
        <v>2227</v>
      </c>
      <c r="M74" s="752"/>
    </row>
    <row r="75" spans="1:13" s="755" customFormat="1">
      <c r="A75" s="713"/>
      <c r="B75" s="1003" t="s">
        <v>2228</v>
      </c>
      <c r="M75" s="752"/>
    </row>
    <row r="76" spans="1:13" s="755" customFormat="1">
      <c r="A76" s="713"/>
      <c r="B76" s="1003" t="s">
        <v>2229</v>
      </c>
      <c r="M76" s="752"/>
    </row>
    <row r="77" spans="1:13" s="755" customFormat="1">
      <c r="A77" s="713"/>
      <c r="B77" s="1003" t="s">
        <v>2230</v>
      </c>
      <c r="M77" s="752"/>
    </row>
    <row r="78" spans="1:13" s="755" customFormat="1" ht="15.5">
      <c r="A78" s="713"/>
      <c r="B78" s="755" t="s">
        <v>2461</v>
      </c>
      <c r="M78" s="752"/>
    </row>
    <row r="79" spans="1:13" s="755" customFormat="1">
      <c r="A79" s="713"/>
      <c r="B79" s="755" t="s">
        <v>2463</v>
      </c>
      <c r="M79" s="752"/>
    </row>
    <row r="80" spans="1:13" s="755" customFormat="1">
      <c r="A80" s="713"/>
      <c r="B80" s="755" t="s">
        <v>2231</v>
      </c>
      <c r="M80" s="752"/>
    </row>
    <row r="81" spans="1:13" s="755" customFormat="1">
      <c r="A81" s="713"/>
      <c r="B81" s="713" t="s">
        <v>2444</v>
      </c>
      <c r="M81" s="752"/>
    </row>
    <row r="82" spans="1:13" s="755" customFormat="1">
      <c r="A82" s="713"/>
      <c r="B82" s="713" t="s">
        <v>2445</v>
      </c>
      <c r="M82" s="752"/>
    </row>
    <row r="83" spans="1:13" s="755" customFormat="1">
      <c r="A83" s="713"/>
      <c r="B83" s="755" t="s">
        <v>2446</v>
      </c>
      <c r="M83" s="752"/>
    </row>
    <row r="84" spans="1:13" s="755" customFormat="1">
      <c r="A84" s="713"/>
      <c r="B84" s="755" t="s">
        <v>2447</v>
      </c>
      <c r="M84" s="752"/>
    </row>
    <row r="85" spans="1:13" ht="13">
      <c r="A85" s="737">
        <v>20</v>
      </c>
    </row>
    <row r="86" spans="1:13" s="723" customFormat="1" ht="13">
      <c r="A86" s="737">
        <v>21</v>
      </c>
      <c r="B86" s="756"/>
      <c r="C86" s="716"/>
      <c r="D86" s="716"/>
      <c r="M86" s="715"/>
    </row>
    <row r="87" spans="1:13" s="755" customFormat="1" ht="15.5">
      <c r="A87" s="737">
        <v>22</v>
      </c>
      <c r="B87" s="712" t="s">
        <v>1173</v>
      </c>
      <c r="C87" s="713"/>
      <c r="D87" s="713"/>
      <c r="E87" s="713"/>
      <c r="F87" s="713"/>
      <c r="G87" s="713"/>
      <c r="H87" s="713"/>
      <c r="I87" s="713"/>
      <c r="J87" s="713"/>
      <c r="K87" s="713"/>
      <c r="L87" s="713"/>
      <c r="M87" s="752"/>
    </row>
    <row r="88" spans="1:13" s="713" customFormat="1" ht="13">
      <c r="A88" s="737">
        <v>23</v>
      </c>
      <c r="M88" s="752"/>
    </row>
    <row r="89" spans="1:13" s="713" customFormat="1" ht="13">
      <c r="A89" s="737">
        <v>24</v>
      </c>
      <c r="M89" s="752"/>
    </row>
    <row r="90" spans="1:13" s="755" customFormat="1" ht="25.5" customHeight="1">
      <c r="A90" s="737">
        <v>25</v>
      </c>
      <c r="B90" s="734" t="str">
        <f>B11</f>
        <v>CPUC Rate Group</v>
      </c>
      <c r="C90" s="757" t="s">
        <v>1174</v>
      </c>
      <c r="D90" s="758"/>
      <c r="E90" s="1211" t="s">
        <v>1174</v>
      </c>
      <c r="F90" s="758"/>
      <c r="G90" s="758"/>
      <c r="H90" s="758"/>
      <c r="I90" s="758"/>
      <c r="J90" s="758"/>
      <c r="K90" s="1212"/>
      <c r="L90" s="714"/>
      <c r="M90" s="1178"/>
    </row>
    <row r="91" spans="1:13" s="755" customFormat="1" ht="13">
      <c r="A91" s="737" t="s">
        <v>2109</v>
      </c>
      <c r="B91" s="759" t="s">
        <v>2903</v>
      </c>
      <c r="C91" s="760" t="s">
        <v>2918</v>
      </c>
      <c r="D91" s="761"/>
      <c r="E91" s="761"/>
      <c r="F91" s="761"/>
      <c r="G91" s="761"/>
      <c r="H91" s="761"/>
      <c r="I91" s="761"/>
      <c r="J91" s="761"/>
      <c r="K91" s="761"/>
      <c r="M91" s="752"/>
    </row>
    <row r="92" spans="1:13" s="755" customFormat="1" ht="13">
      <c r="A92" s="737"/>
      <c r="B92" s="1004" t="s">
        <v>2919</v>
      </c>
      <c r="C92" s="1126" t="s">
        <v>2920</v>
      </c>
      <c r="D92" s="761"/>
      <c r="E92" s="1006"/>
      <c r="F92" s="1006"/>
      <c r="G92" s="1006"/>
      <c r="H92" s="1006"/>
      <c r="I92" s="761"/>
      <c r="J92" s="761"/>
      <c r="K92" s="761"/>
      <c r="M92" s="752"/>
    </row>
    <row r="93" spans="1:13" s="755" customFormat="1" ht="13">
      <c r="A93" s="737" t="s">
        <v>2110</v>
      </c>
      <c r="B93" s="759" t="s">
        <v>2904</v>
      </c>
      <c r="C93" s="760" t="s">
        <v>2921</v>
      </c>
      <c r="D93" s="761"/>
      <c r="E93" s="761"/>
      <c r="F93" s="761"/>
      <c r="G93" s="761"/>
      <c r="H93" s="761"/>
      <c r="I93" s="761"/>
      <c r="J93" s="759"/>
      <c r="K93" s="761"/>
      <c r="M93" s="752"/>
    </row>
    <row r="94" spans="1:13" s="755" customFormat="1" ht="13">
      <c r="A94" s="737" t="s">
        <v>2111</v>
      </c>
      <c r="B94" s="759" t="s">
        <v>2906</v>
      </c>
      <c r="C94" s="760" t="s">
        <v>2922</v>
      </c>
      <c r="D94" s="761"/>
      <c r="E94" s="761"/>
      <c r="F94" s="761"/>
      <c r="G94" s="761"/>
      <c r="H94" s="761"/>
      <c r="I94" s="761"/>
      <c r="J94" s="759"/>
      <c r="K94" s="761"/>
      <c r="M94" s="752"/>
    </row>
    <row r="95" spans="1:13" s="755" customFormat="1" ht="13">
      <c r="A95" s="737" t="s">
        <v>2112</v>
      </c>
      <c r="B95" s="759" t="s">
        <v>2907</v>
      </c>
      <c r="C95" s="760" t="s">
        <v>2923</v>
      </c>
      <c r="D95" s="761"/>
      <c r="E95" s="761"/>
      <c r="F95" s="761"/>
      <c r="G95" s="761"/>
      <c r="H95" s="761"/>
      <c r="I95" s="761"/>
      <c r="J95" s="759"/>
      <c r="K95" s="761"/>
      <c r="M95" s="752"/>
    </row>
    <row r="96" spans="1:13" s="755" customFormat="1" ht="13">
      <c r="A96" s="737" t="s">
        <v>2113</v>
      </c>
      <c r="B96" s="759" t="s">
        <v>2908</v>
      </c>
      <c r="C96" s="760" t="s">
        <v>2924</v>
      </c>
      <c r="D96" s="761"/>
      <c r="E96" s="761"/>
      <c r="F96" s="761"/>
      <c r="G96" s="761"/>
      <c r="H96" s="761"/>
      <c r="I96" s="761"/>
      <c r="J96" s="759"/>
      <c r="K96" s="761"/>
      <c r="M96" s="752"/>
    </row>
    <row r="97" spans="1:13" s="755" customFormat="1" ht="13">
      <c r="A97" s="737" t="s">
        <v>2114</v>
      </c>
      <c r="B97" s="1004" t="s">
        <v>2909</v>
      </c>
      <c r="C97" s="1005" t="s">
        <v>2925</v>
      </c>
      <c r="D97" s="1006"/>
      <c r="E97" s="1006"/>
      <c r="F97" s="1006"/>
      <c r="G97" s="1006"/>
      <c r="H97" s="1006"/>
      <c r="I97" s="1006"/>
      <c r="J97" s="1004"/>
      <c r="K97" s="761"/>
      <c r="M97" s="752"/>
    </row>
    <row r="98" spans="1:13" s="713" customFormat="1" ht="13">
      <c r="A98" s="737" t="s">
        <v>2115</v>
      </c>
      <c r="B98" s="1004" t="s">
        <v>2910</v>
      </c>
      <c r="C98" s="1005" t="s">
        <v>2925</v>
      </c>
      <c r="D98" s="1006"/>
      <c r="E98" s="1006"/>
      <c r="F98" s="1006"/>
      <c r="G98" s="1006"/>
      <c r="H98" s="1006"/>
      <c r="I98" s="1006"/>
      <c r="J98" s="1004"/>
      <c r="K98" s="761"/>
      <c r="L98" s="755"/>
      <c r="M98" s="752"/>
    </row>
    <row r="99" spans="1:13" s="713" customFormat="1" ht="13">
      <c r="A99" s="737" t="s">
        <v>2116</v>
      </c>
      <c r="B99" s="1004" t="s">
        <v>2911</v>
      </c>
      <c r="C99" s="1005" t="s">
        <v>2925</v>
      </c>
      <c r="D99" s="1006"/>
      <c r="E99" s="1006"/>
      <c r="F99" s="1006"/>
      <c r="G99" s="1006"/>
      <c r="H99" s="1006"/>
      <c r="I99" s="1006"/>
      <c r="J99" s="1004"/>
      <c r="K99" s="761"/>
      <c r="L99" s="755"/>
      <c r="M99" s="752"/>
    </row>
    <row r="100" spans="1:13" s="713" customFormat="1" ht="13">
      <c r="A100" s="737" t="s">
        <v>2117</v>
      </c>
      <c r="B100" s="1004" t="s">
        <v>2912</v>
      </c>
      <c r="C100" s="1005" t="s">
        <v>2926</v>
      </c>
      <c r="D100" s="1006"/>
      <c r="E100" s="1006"/>
      <c r="F100" s="1006"/>
      <c r="G100" s="1006"/>
      <c r="H100" s="1006"/>
      <c r="I100" s="1006"/>
      <c r="J100" s="1004"/>
      <c r="K100" s="761"/>
      <c r="L100" s="755"/>
      <c r="M100" s="752"/>
    </row>
    <row r="101" spans="1:13" s="713" customFormat="1" ht="13">
      <c r="A101" s="737" t="s">
        <v>2118</v>
      </c>
      <c r="B101" s="1004" t="s">
        <v>2913</v>
      </c>
      <c r="C101" s="1005" t="s">
        <v>2927</v>
      </c>
      <c r="D101" s="1006"/>
      <c r="E101" s="1006"/>
      <c r="F101" s="1006"/>
      <c r="G101" s="1006"/>
      <c r="H101" s="1006"/>
      <c r="I101" s="1006"/>
      <c r="J101" s="1004"/>
      <c r="K101" s="761"/>
      <c r="L101" s="755"/>
      <c r="M101" s="752"/>
    </row>
    <row r="102" spans="1:13" s="713" customFormat="1" ht="13">
      <c r="A102" s="737" t="s">
        <v>2119</v>
      </c>
      <c r="B102" s="1004" t="s">
        <v>2914</v>
      </c>
      <c r="C102" s="1005" t="s">
        <v>2927</v>
      </c>
      <c r="D102" s="1006"/>
      <c r="E102" s="1006"/>
      <c r="F102" s="1006"/>
      <c r="G102" s="1006"/>
      <c r="H102" s="1006"/>
      <c r="I102" s="1006"/>
      <c r="J102" s="1004"/>
      <c r="K102" s="761"/>
      <c r="L102" s="755"/>
      <c r="M102" s="752"/>
    </row>
    <row r="103" spans="1:13" s="713" customFormat="1" ht="13">
      <c r="A103" s="737" t="s">
        <v>2120</v>
      </c>
      <c r="B103" s="759" t="s">
        <v>2915</v>
      </c>
      <c r="C103" s="760" t="s">
        <v>2928</v>
      </c>
      <c r="D103" s="761"/>
      <c r="E103" s="761"/>
      <c r="F103" s="761"/>
      <c r="G103" s="761"/>
      <c r="H103" s="761"/>
      <c r="I103" s="761"/>
      <c r="J103" s="759"/>
      <c r="K103" s="761"/>
      <c r="L103" s="755"/>
      <c r="M103" s="752"/>
    </row>
    <row r="104" spans="1:13" s="713" customFormat="1" ht="13">
      <c r="A104" s="737" t="s">
        <v>2121</v>
      </c>
      <c r="B104" s="759" t="s">
        <v>2916</v>
      </c>
      <c r="C104" s="760" t="s">
        <v>2929</v>
      </c>
      <c r="D104" s="761"/>
      <c r="E104" s="761"/>
      <c r="F104" s="761"/>
      <c r="G104" s="761"/>
      <c r="H104" s="761"/>
      <c r="I104" s="761"/>
      <c r="J104" s="759"/>
      <c r="K104" s="761"/>
      <c r="L104" s="755"/>
      <c r="M104" s="752"/>
    </row>
    <row r="105" spans="1:13" s="713" customFormat="1" ht="13">
      <c r="A105" s="737" t="s">
        <v>2122</v>
      </c>
      <c r="B105" s="759" t="s">
        <v>2917</v>
      </c>
      <c r="C105" s="760" t="s">
        <v>2930</v>
      </c>
      <c r="D105" s="761"/>
      <c r="E105" s="761"/>
      <c r="F105" s="761"/>
      <c r="G105" s="761"/>
      <c r="H105" s="761"/>
      <c r="I105" s="761"/>
      <c r="J105" s="759"/>
      <c r="K105" s="761"/>
      <c r="L105" s="755"/>
      <c r="M105" s="752"/>
    </row>
    <row r="106" spans="1:13" s="713" customFormat="1" ht="13">
      <c r="A106" s="737" t="s">
        <v>2123</v>
      </c>
      <c r="B106" s="762" t="s">
        <v>76</v>
      </c>
      <c r="C106" s="760"/>
      <c r="D106" s="761"/>
      <c r="E106" s="761"/>
      <c r="F106" s="761"/>
      <c r="G106" s="761"/>
      <c r="H106" s="761"/>
      <c r="I106" s="761"/>
      <c r="J106" s="759"/>
      <c r="K106" s="761"/>
      <c r="L106" s="755"/>
      <c r="M106" s="752"/>
    </row>
    <row r="107" spans="1:13" s="713" customFormat="1" ht="13">
      <c r="A107" s="737">
        <v>27</v>
      </c>
      <c r="M107" s="752"/>
    </row>
    <row r="108" spans="1:13" s="713" customFormat="1" ht="13">
      <c r="A108" s="737">
        <f t="shared" ref="A108:A114" si="18">A107+1</f>
        <v>28</v>
      </c>
      <c r="M108" s="752"/>
    </row>
    <row r="109" spans="1:13" s="713" customFormat="1" ht="15.5">
      <c r="A109" s="737">
        <f t="shared" si="18"/>
        <v>29</v>
      </c>
      <c r="B109" s="712" t="s">
        <v>1175</v>
      </c>
      <c r="M109" s="752"/>
    </row>
    <row r="110" spans="1:13" s="713" customFormat="1" ht="13">
      <c r="A110" s="737">
        <f t="shared" si="18"/>
        <v>30</v>
      </c>
      <c r="C110" s="725" t="s">
        <v>358</v>
      </c>
      <c r="D110" s="725" t="s">
        <v>342</v>
      </c>
      <c r="E110" s="725" t="s">
        <v>343</v>
      </c>
      <c r="F110" s="725" t="s">
        <v>344</v>
      </c>
      <c r="G110" s="763" t="s">
        <v>345</v>
      </c>
      <c r="H110" s="763" t="s">
        <v>346</v>
      </c>
      <c r="I110" s="763" t="s">
        <v>347</v>
      </c>
      <c r="J110" s="763" t="s">
        <v>534</v>
      </c>
      <c r="K110" s="763" t="s">
        <v>949</v>
      </c>
      <c r="L110" s="763" t="s">
        <v>961</v>
      </c>
      <c r="M110" s="763" t="s">
        <v>964</v>
      </c>
    </row>
    <row r="111" spans="1:13" s="1163" customFormat="1" ht="37.5">
      <c r="A111" s="764">
        <f t="shared" si="18"/>
        <v>31</v>
      </c>
      <c r="C111" s="730"/>
      <c r="D111" s="730"/>
      <c r="E111" s="730"/>
      <c r="F111" s="1196" t="s">
        <v>2124</v>
      </c>
      <c r="G111" s="765"/>
      <c r="H111" s="1196"/>
      <c r="I111" s="1197" t="s">
        <v>2125</v>
      </c>
      <c r="J111" s="1197" t="s">
        <v>2232</v>
      </c>
      <c r="K111" s="1197" t="s">
        <v>2233</v>
      </c>
      <c r="L111" s="1197" t="s">
        <v>2234</v>
      </c>
      <c r="M111" s="1197" t="s">
        <v>2235</v>
      </c>
    </row>
    <row r="112" spans="1:13" s="1022" customFormat="1" ht="13">
      <c r="A112" s="737">
        <f t="shared" si="18"/>
        <v>32</v>
      </c>
      <c r="C112" s="766"/>
      <c r="D112" s="766"/>
      <c r="E112" s="766"/>
      <c r="F112" s="1198"/>
      <c r="G112" s="767"/>
      <c r="H112" s="1198"/>
      <c r="I112" s="999" t="s">
        <v>2448</v>
      </c>
      <c r="J112" s="1199"/>
      <c r="K112" s="1198"/>
      <c r="L112" s="1198"/>
      <c r="M112" s="1198"/>
    </row>
    <row r="113" spans="1:13" s="713" customFormat="1" ht="21.75" customHeight="1">
      <c r="A113" s="737">
        <f t="shared" si="18"/>
        <v>33</v>
      </c>
      <c r="B113" s="1189"/>
      <c r="C113" s="1553" t="s">
        <v>1445</v>
      </c>
      <c r="D113" s="1554"/>
      <c r="E113" s="1554"/>
      <c r="F113" s="1557"/>
      <c r="G113" s="1189"/>
      <c r="H113" s="768"/>
      <c r="I113" s="1190"/>
      <c r="J113" s="1190"/>
      <c r="K113" s="1189"/>
      <c r="L113" s="1191" t="s">
        <v>148</v>
      </c>
      <c r="M113" s="769"/>
    </row>
    <row r="114" spans="1:13" s="726" customFormat="1" ht="51.75" customHeight="1">
      <c r="A114" s="737">
        <f t="shared" si="18"/>
        <v>34</v>
      </c>
      <c r="B114" s="770" t="str">
        <f>B11</f>
        <v>CPUC Rate Group</v>
      </c>
      <c r="C114" s="771">
        <v>2017</v>
      </c>
      <c r="D114" s="772">
        <v>2018</v>
      </c>
      <c r="E114" s="772">
        <v>2019</v>
      </c>
      <c r="F114" s="770" t="s">
        <v>2126</v>
      </c>
      <c r="G114" s="770" t="s">
        <v>1176</v>
      </c>
      <c r="H114" s="773" t="s">
        <v>2703</v>
      </c>
      <c r="I114" s="1023" t="s">
        <v>2237</v>
      </c>
      <c r="J114" s="770" t="s">
        <v>2197</v>
      </c>
      <c r="K114" s="770" t="s">
        <v>2238</v>
      </c>
      <c r="L114" s="770" t="s">
        <v>1446</v>
      </c>
      <c r="M114" s="770" t="s">
        <v>2127</v>
      </c>
    </row>
    <row r="115" spans="1:13" s="713" customFormat="1" ht="13">
      <c r="A115" s="737" t="s">
        <v>2128</v>
      </c>
      <c r="B115" s="468" t="s">
        <v>2903</v>
      </c>
      <c r="C115" s="1024">
        <v>78359.38</v>
      </c>
      <c r="D115" s="1024">
        <v>66767.509999999995</v>
      </c>
      <c r="E115" s="1024">
        <v>68198.86</v>
      </c>
      <c r="F115" s="1007">
        <f>(C115+D115+E115)/3</f>
        <v>71108.583333333328</v>
      </c>
      <c r="G115" s="1192">
        <v>1.0905</v>
      </c>
      <c r="H115" s="937">
        <v>29389.20838</v>
      </c>
      <c r="I115" s="1007">
        <f>E12</f>
        <v>27982.602819</v>
      </c>
      <c r="J115" s="1007">
        <f>F12</f>
        <v>0</v>
      </c>
      <c r="K115" s="1026">
        <f>I115+J115</f>
        <v>27982.602819</v>
      </c>
      <c r="L115" s="1007">
        <f>(F115*G115)*(K115/H115)</f>
        <v>73832.558196319398</v>
      </c>
      <c r="M115" s="1025">
        <f t="shared" ref="M115:M128" si="19">L115/$L$130</f>
        <v>0.43781821104713387</v>
      </c>
    </row>
    <row r="116" spans="1:13" s="713" customFormat="1" ht="13">
      <c r="A116" s="737" t="s">
        <v>2129</v>
      </c>
      <c r="B116" s="468" t="s">
        <v>2904</v>
      </c>
      <c r="C116" s="1024">
        <v>12202.27</v>
      </c>
      <c r="D116" s="1024">
        <v>11735.3</v>
      </c>
      <c r="E116" s="1024">
        <v>11548.74</v>
      </c>
      <c r="F116" s="1007">
        <f t="shared" ref="F116:F128" si="20">(C116+D116+E116)/3</f>
        <v>11828.769999999999</v>
      </c>
      <c r="G116" s="1192">
        <v>1.0909</v>
      </c>
      <c r="H116" s="937">
        <v>5904.2390299999997</v>
      </c>
      <c r="I116" s="1007">
        <f t="shared" ref="I116" si="21">E13</f>
        <v>5923.6392599999999</v>
      </c>
      <c r="J116" s="1007">
        <f>F13</f>
        <v>0</v>
      </c>
      <c r="K116" s="1026">
        <f t="shared" ref="K116:K128" si="22">I116+J116</f>
        <v>5923.6392599999999</v>
      </c>
      <c r="L116" s="1007">
        <f t="shared" ref="L116:L128" si="23">(F116*G116)*(K116/H116)</f>
        <v>12946.405351156434</v>
      </c>
      <c r="M116" s="1025">
        <f t="shared" si="19"/>
        <v>7.6770630312751553E-2</v>
      </c>
    </row>
    <row r="117" spans="1:13" s="713" customFormat="1" ht="13">
      <c r="A117" s="737" t="s">
        <v>2130</v>
      </c>
      <c r="B117" s="468" t="s">
        <v>2906</v>
      </c>
      <c r="C117" s="1024">
        <v>82.93</v>
      </c>
      <c r="D117" s="1024">
        <v>76.02</v>
      </c>
      <c r="E117" s="1024">
        <v>83.93</v>
      </c>
      <c r="F117" s="1007">
        <f t="shared" si="20"/>
        <v>80.959999999999994</v>
      </c>
      <c r="G117" s="1192">
        <v>1.0916999999999999</v>
      </c>
      <c r="H117" s="937">
        <v>58.628816666666665</v>
      </c>
      <c r="I117" s="1007">
        <f t="shared" ref="I117:J119" si="24">E15</f>
        <v>55.490121000000002</v>
      </c>
      <c r="J117" s="1007">
        <f t="shared" si="24"/>
        <v>0</v>
      </c>
      <c r="K117" s="1026">
        <f t="shared" si="22"/>
        <v>55.490121000000002</v>
      </c>
      <c r="L117" s="1007">
        <f t="shared" si="23"/>
        <v>83.652389882470288</v>
      </c>
      <c r="M117" s="1025">
        <f t="shared" si="19"/>
        <v>4.9604863467924993E-4</v>
      </c>
    </row>
    <row r="118" spans="1:13" s="713" customFormat="1" ht="13">
      <c r="A118" s="737" t="s">
        <v>2131</v>
      </c>
      <c r="B118" s="468" t="s">
        <v>2907</v>
      </c>
      <c r="C118" s="1024">
        <v>28687.18</v>
      </c>
      <c r="D118" s="1024">
        <v>27970.65</v>
      </c>
      <c r="E118" s="1024">
        <v>26717.13</v>
      </c>
      <c r="F118" s="1007">
        <f t="shared" si="20"/>
        <v>27791.653333333335</v>
      </c>
      <c r="G118" s="1192">
        <v>1.0905</v>
      </c>
      <c r="H118" s="937">
        <v>14349.524393333335</v>
      </c>
      <c r="I118" s="1007">
        <f t="shared" si="24"/>
        <v>12184.653306</v>
      </c>
      <c r="J118" s="1007">
        <f t="shared" si="24"/>
        <v>0</v>
      </c>
      <c r="K118" s="1026">
        <f t="shared" si="22"/>
        <v>12184.653306</v>
      </c>
      <c r="L118" s="1007">
        <f t="shared" si="23"/>
        <v>25734.499334985027</v>
      </c>
      <c r="M118" s="1025">
        <f t="shared" si="19"/>
        <v>0.15260249321279062</v>
      </c>
    </row>
    <row r="119" spans="1:13" s="713" customFormat="1" ht="13">
      <c r="A119" s="737" t="s">
        <v>2132</v>
      </c>
      <c r="B119" s="468" t="s">
        <v>2908</v>
      </c>
      <c r="C119" s="1024">
        <v>15513.31</v>
      </c>
      <c r="D119" s="1024">
        <v>14472.22</v>
      </c>
      <c r="E119" s="1024">
        <v>13923.97</v>
      </c>
      <c r="F119" s="1007">
        <f t="shared" si="20"/>
        <v>14636.5</v>
      </c>
      <c r="G119" s="1192">
        <v>1.0900000000000001</v>
      </c>
      <c r="H119" s="937">
        <v>8144.7807766666665</v>
      </c>
      <c r="I119" s="1007">
        <f t="shared" si="24"/>
        <v>7403.2479320000002</v>
      </c>
      <c r="J119" s="1007">
        <f t="shared" si="24"/>
        <v>0</v>
      </c>
      <c r="K119" s="1026">
        <f t="shared" si="22"/>
        <v>7403.2479320000002</v>
      </c>
      <c r="L119" s="1007">
        <f t="shared" si="23"/>
        <v>14501.289727427171</v>
      </c>
      <c r="M119" s="1025">
        <f t="shared" si="19"/>
        <v>8.5990908095811336E-2</v>
      </c>
    </row>
    <row r="120" spans="1:13" s="713" customFormat="1" ht="13">
      <c r="A120" s="737" t="s">
        <v>2133</v>
      </c>
      <c r="B120" s="468" t="s">
        <v>2909</v>
      </c>
      <c r="C120" s="1024">
        <v>14237.300000000001</v>
      </c>
      <c r="D120" s="1024">
        <v>14200.609999999999</v>
      </c>
      <c r="E120" s="1024">
        <v>13319.56</v>
      </c>
      <c r="F120" s="1007">
        <f t="shared" si="20"/>
        <v>13919.156666666668</v>
      </c>
      <c r="G120" s="1192">
        <v>1.0909</v>
      </c>
      <c r="H120" s="938">
        <v>8232.7151366666676</v>
      </c>
      <c r="I120" s="1007">
        <f>E18+E21</f>
        <v>7624.5582048847409</v>
      </c>
      <c r="J120" s="1007">
        <f t="shared" ref="J120:J128" si="25">F18</f>
        <v>0</v>
      </c>
      <c r="K120" s="1026">
        <f>I120+J120</f>
        <v>7624.5582048847409</v>
      </c>
      <c r="L120" s="1007">
        <f t="shared" si="23"/>
        <v>14062.724233654</v>
      </c>
      <c r="M120" s="1025">
        <f t="shared" si="19"/>
        <v>8.3390267340547025E-2</v>
      </c>
    </row>
    <row r="121" spans="1:13" s="713" customFormat="1" ht="13">
      <c r="A121" s="737" t="s">
        <v>2134</v>
      </c>
      <c r="B121" s="468" t="s">
        <v>2910</v>
      </c>
      <c r="C121" s="1024">
        <v>9644.42</v>
      </c>
      <c r="D121" s="1024">
        <v>9263.0499999999993</v>
      </c>
      <c r="E121" s="1024">
        <v>9174.48</v>
      </c>
      <c r="F121" s="1007">
        <f t="shared" si="20"/>
        <v>9360.65</v>
      </c>
      <c r="G121" s="1192">
        <v>1.0644</v>
      </c>
      <c r="H121" s="938">
        <v>5973.2814666666673</v>
      </c>
      <c r="I121" s="1007">
        <f>E19+E22</f>
        <v>5996.2664450700395</v>
      </c>
      <c r="J121" s="1007">
        <f t="shared" si="25"/>
        <v>0</v>
      </c>
      <c r="K121" s="1026">
        <f t="shared" si="22"/>
        <v>5996.2664450700395</v>
      </c>
      <c r="L121" s="1007">
        <f t="shared" si="23"/>
        <v>10001.814967028959</v>
      </c>
      <c r="M121" s="1025">
        <f t="shared" si="19"/>
        <v>5.9309562651824271E-2</v>
      </c>
    </row>
    <row r="122" spans="1:13" s="713" customFormat="1" ht="13">
      <c r="A122" s="737" t="s">
        <v>2135</v>
      </c>
      <c r="B122" s="468" t="s">
        <v>2911</v>
      </c>
      <c r="C122" s="1024">
        <v>11029.240000000002</v>
      </c>
      <c r="D122" s="1024">
        <v>11532.400000000001</v>
      </c>
      <c r="E122" s="1024">
        <v>11495.74</v>
      </c>
      <c r="F122" s="1007">
        <f t="shared" si="20"/>
        <v>11352.460000000001</v>
      </c>
      <c r="G122" s="1192">
        <v>1.0315000000000001</v>
      </c>
      <c r="H122" s="938">
        <v>8674.5990899999997</v>
      </c>
      <c r="I122" s="1007">
        <f>E20+E23</f>
        <v>7897.3608435469996</v>
      </c>
      <c r="J122" s="1007">
        <f t="shared" si="25"/>
        <v>0</v>
      </c>
      <c r="K122" s="1026">
        <f t="shared" si="22"/>
        <v>7897.3608435469996</v>
      </c>
      <c r="L122" s="1007">
        <f t="shared" si="23"/>
        <v>10660.848763676351</v>
      </c>
      <c r="M122" s="1025">
        <f t="shared" si="19"/>
        <v>6.3217553989474359E-2</v>
      </c>
    </row>
    <row r="123" spans="1:13" s="713" customFormat="1" ht="13">
      <c r="A123" s="737" t="s">
        <v>2136</v>
      </c>
      <c r="B123" s="468" t="s">
        <v>2912</v>
      </c>
      <c r="C123" s="1024">
        <v>142.24</v>
      </c>
      <c r="D123" s="1024">
        <v>137.02000000000001</v>
      </c>
      <c r="E123" s="1024">
        <v>127.16</v>
      </c>
      <c r="F123" s="1007">
        <f t="shared" si="20"/>
        <v>135.47333333333333</v>
      </c>
      <c r="G123" s="1192">
        <v>1.0911</v>
      </c>
      <c r="H123" s="938">
        <v>84.287893333333329</v>
      </c>
      <c r="I123" s="1026">
        <f>E21*0</f>
        <v>0</v>
      </c>
      <c r="J123" s="1007">
        <f t="shared" si="25"/>
        <v>84.598786115260026</v>
      </c>
      <c r="K123" s="1026">
        <f t="shared" si="22"/>
        <v>84.598786115260026</v>
      </c>
      <c r="L123" s="1007">
        <f t="shared" si="23"/>
        <v>148.36016399923074</v>
      </c>
      <c r="M123" s="1025">
        <f t="shared" si="19"/>
        <v>8.797579710036463E-4</v>
      </c>
    </row>
    <row r="124" spans="1:13" s="713" customFormat="1" ht="13">
      <c r="A124" s="737" t="s">
        <v>2137</v>
      </c>
      <c r="B124" s="468" t="s">
        <v>2913</v>
      </c>
      <c r="C124" s="1024">
        <v>301.33999999999997</v>
      </c>
      <c r="D124" s="1024">
        <v>296.75</v>
      </c>
      <c r="E124" s="1024">
        <v>330.41</v>
      </c>
      <c r="F124" s="1007">
        <f t="shared" si="20"/>
        <v>309.5</v>
      </c>
      <c r="G124" s="1192">
        <v>1.0645</v>
      </c>
      <c r="H124" s="938">
        <v>213.40585666666666</v>
      </c>
      <c r="I124" s="1026">
        <f>E22*0</f>
        <v>0</v>
      </c>
      <c r="J124" s="1007">
        <f t="shared" si="25"/>
        <v>210.50632192996005</v>
      </c>
      <c r="K124" s="1026">
        <f t="shared" si="22"/>
        <v>210.50632192996005</v>
      </c>
      <c r="L124" s="1007">
        <f t="shared" si="23"/>
        <v>324.98635603876016</v>
      </c>
      <c r="M124" s="1025">
        <f t="shared" si="19"/>
        <v>1.927130096688291E-3</v>
      </c>
    </row>
    <row r="125" spans="1:13" s="713" customFormat="1" ht="13">
      <c r="A125" s="737" t="s">
        <v>2138</v>
      </c>
      <c r="B125" s="468" t="s">
        <v>2914</v>
      </c>
      <c r="C125" s="942">
        <v>601.61</v>
      </c>
      <c r="D125" s="942">
        <v>789.23</v>
      </c>
      <c r="E125" s="942">
        <v>861.75</v>
      </c>
      <c r="F125" s="1007">
        <f t="shared" si="20"/>
        <v>750.86333333333334</v>
      </c>
      <c r="G125" s="1192">
        <v>1.0316000000000001</v>
      </c>
      <c r="H125" s="938">
        <v>748.4435533333334</v>
      </c>
      <c r="I125" s="1026">
        <f>E23*0</f>
        <v>0</v>
      </c>
      <c r="J125" s="1007">
        <f t="shared" si="25"/>
        <v>529.51487145299984</v>
      </c>
      <c r="K125" s="1026">
        <f t="shared" si="22"/>
        <v>529.51487145299984</v>
      </c>
      <c r="L125" s="1007">
        <f t="shared" si="23"/>
        <v>548.01360493681602</v>
      </c>
      <c r="M125" s="1025">
        <f t="shared" si="19"/>
        <v>3.2496549219513328E-3</v>
      </c>
    </row>
    <row r="126" spans="1:13" s="713" customFormat="1" ht="13">
      <c r="A126" s="737" t="s">
        <v>2139</v>
      </c>
      <c r="B126" s="468" t="s">
        <v>2915</v>
      </c>
      <c r="C126" s="1024">
        <v>2325.3000000000002</v>
      </c>
      <c r="D126" s="1024">
        <v>2677.66</v>
      </c>
      <c r="E126" s="1024">
        <v>2346.63</v>
      </c>
      <c r="F126" s="1007">
        <f t="shared" si="20"/>
        <v>2449.8633333333332</v>
      </c>
      <c r="G126" s="1192">
        <v>1.091</v>
      </c>
      <c r="H126" s="937">
        <v>1753.62799</v>
      </c>
      <c r="I126" s="1007">
        <f>E24</f>
        <v>1831.8342130000001</v>
      </c>
      <c r="J126" s="1007">
        <f t="shared" si="25"/>
        <v>0</v>
      </c>
      <c r="K126" s="1026">
        <f t="shared" si="22"/>
        <v>1831.8342130000001</v>
      </c>
      <c r="L126" s="1007">
        <f t="shared" si="23"/>
        <v>2791.9993037126865</v>
      </c>
      <c r="M126" s="1025">
        <f t="shared" si="19"/>
        <v>1.6556220863240639E-2</v>
      </c>
    </row>
    <row r="127" spans="1:13" s="713" customFormat="1" ht="13">
      <c r="A127" s="737" t="s">
        <v>2140</v>
      </c>
      <c r="B127" s="468" t="s">
        <v>2916</v>
      </c>
      <c r="C127" s="1024">
        <v>1857.81</v>
      </c>
      <c r="D127" s="1024">
        <v>1924.38</v>
      </c>
      <c r="E127" s="1024">
        <v>1937.47</v>
      </c>
      <c r="F127" s="1007">
        <f t="shared" si="20"/>
        <v>1906.5533333333333</v>
      </c>
      <c r="G127" s="1192">
        <v>1.0895999999999999</v>
      </c>
      <c r="H127" s="937">
        <v>1414.3051633333332</v>
      </c>
      <c r="I127" s="1007">
        <f>E25</f>
        <v>1549.127628</v>
      </c>
      <c r="J127" s="1007">
        <f t="shared" si="25"/>
        <v>0</v>
      </c>
      <c r="K127" s="1026">
        <f t="shared" si="22"/>
        <v>1549.127628</v>
      </c>
      <c r="L127" s="1007">
        <f t="shared" si="23"/>
        <v>2275.4124275579093</v>
      </c>
      <c r="M127" s="1025">
        <f t="shared" si="19"/>
        <v>1.3492922672121118E-2</v>
      </c>
    </row>
    <row r="128" spans="1:13" s="713" customFormat="1" ht="13">
      <c r="A128" s="737" t="s">
        <v>2141</v>
      </c>
      <c r="B128" s="468" t="s">
        <v>2917</v>
      </c>
      <c r="C128" s="1024">
        <v>959.84</v>
      </c>
      <c r="D128" s="1024">
        <v>708.84</v>
      </c>
      <c r="E128" s="1024">
        <v>1071.79</v>
      </c>
      <c r="F128" s="1007">
        <f t="shared" si="20"/>
        <v>913.49000000000012</v>
      </c>
      <c r="G128" s="1192">
        <v>1.0938000000000001</v>
      </c>
      <c r="H128" s="937">
        <v>654.42081666666661</v>
      </c>
      <c r="I128" s="1007">
        <f>E26</f>
        <v>474.788702</v>
      </c>
      <c r="J128" s="1007">
        <f t="shared" si="25"/>
        <v>0</v>
      </c>
      <c r="K128" s="1026">
        <f t="shared" si="22"/>
        <v>474.788702</v>
      </c>
      <c r="L128" s="1007">
        <f t="shared" si="23"/>
        <v>724.91149595566344</v>
      </c>
      <c r="M128" s="1025">
        <f t="shared" si="19"/>
        <v>4.2986381899825839E-3</v>
      </c>
    </row>
    <row r="129" spans="1:13" s="713" customFormat="1" ht="13">
      <c r="A129" s="737" t="s">
        <v>2142</v>
      </c>
      <c r="B129" s="741" t="s">
        <v>76</v>
      </c>
      <c r="C129" s="1024"/>
      <c r="D129" s="1024"/>
      <c r="E129" s="1024"/>
      <c r="F129" s="1007"/>
      <c r="G129" s="1192"/>
      <c r="H129" s="937"/>
      <c r="K129" s="1026"/>
      <c r="L129" s="1007"/>
      <c r="M129" s="1025"/>
    </row>
    <row r="130" spans="1:13" s="713" customFormat="1" ht="13">
      <c r="A130" s="737">
        <v>36</v>
      </c>
      <c r="B130" s="471" t="s">
        <v>197</v>
      </c>
      <c r="C130" s="1200">
        <f>SUM(C115:C129)</f>
        <v>175944.16999999995</v>
      </c>
      <c r="D130" s="1200">
        <f>SUM(D115:D129)</f>
        <v>162551.63999999998</v>
      </c>
      <c r="E130" s="1200">
        <f>SUM(E115:E129)</f>
        <v>161137.62000000002</v>
      </c>
      <c r="F130" s="1200">
        <f>SUM(F115:F129)</f>
        <v>166544.47666666668</v>
      </c>
      <c r="G130" s="1201"/>
      <c r="H130" s="1200">
        <f>SUM(H115:H129)</f>
        <v>85595.468363333319</v>
      </c>
      <c r="I130" s="1200">
        <f t="shared" ref="I130:M130" si="26">SUM(I115:I129)</f>
        <v>78923.569474501783</v>
      </c>
      <c r="J130" s="1200">
        <f t="shared" si="26"/>
        <v>824.61997949821989</v>
      </c>
      <c r="K130" s="1200">
        <f t="shared" si="26"/>
        <v>79748.189453999992</v>
      </c>
      <c r="L130" s="1200">
        <f t="shared" si="26"/>
        <v>168637.4763163309</v>
      </c>
      <c r="M130" s="1202">
        <f t="shared" si="26"/>
        <v>0.99999999999999967</v>
      </c>
    </row>
    <row r="131" spans="1:13">
      <c r="J131" s="774"/>
      <c r="L131" s="749"/>
      <c r="M131" s="750"/>
    </row>
    <row r="132" spans="1:13">
      <c r="J132" s="774"/>
      <c r="L132" s="749"/>
      <c r="M132" s="750"/>
    </row>
    <row r="133" spans="1:13">
      <c r="J133" s="774"/>
      <c r="L133" s="749"/>
      <c r="M133" s="750"/>
    </row>
    <row r="134" spans="1:13">
      <c r="J134" s="774"/>
      <c r="L134" s="749"/>
      <c r="M134" s="750"/>
    </row>
    <row r="135" spans="1:13">
      <c r="J135" s="774"/>
      <c r="L135" s="749"/>
      <c r="M135" s="750"/>
    </row>
    <row r="136" spans="1:13">
      <c r="J136" s="774"/>
      <c r="L136" s="749"/>
      <c r="M136" s="750"/>
    </row>
    <row r="137" spans="1:13">
      <c r="J137" s="774"/>
      <c r="L137" s="749"/>
      <c r="M137" s="750"/>
    </row>
    <row r="138" spans="1:13">
      <c r="J138" s="774"/>
      <c r="L138" s="749"/>
      <c r="M138" s="750"/>
    </row>
    <row r="139" spans="1:13">
      <c r="J139" s="774"/>
      <c r="L139" s="749"/>
      <c r="M139" s="750"/>
    </row>
    <row r="140" spans="1:13">
      <c r="L140" s="749"/>
    </row>
    <row r="144" spans="1:13">
      <c r="M144" s="716"/>
    </row>
    <row r="145" spans="13:13">
      <c r="M145" s="716"/>
    </row>
    <row r="146" spans="13:13">
      <c r="M146" s="716"/>
    </row>
    <row r="147" spans="13:13">
      <c r="M147" s="716"/>
    </row>
    <row r="148" spans="13:13">
      <c r="M148" s="716"/>
    </row>
    <row r="149" spans="13:13">
      <c r="M149" s="716"/>
    </row>
    <row r="150" spans="13:13">
      <c r="M150" s="716"/>
    </row>
    <row r="151" spans="13:13">
      <c r="M151" s="716"/>
    </row>
    <row r="152" spans="13:13">
      <c r="M152" s="716"/>
    </row>
    <row r="153" spans="13:13">
      <c r="M153" s="716"/>
    </row>
    <row r="154" spans="13:13">
      <c r="M154" s="716"/>
    </row>
    <row r="155" spans="13:13">
      <c r="M155" s="716"/>
    </row>
    <row r="156" spans="13:13">
      <c r="M156" s="716"/>
    </row>
    <row r="157" spans="13:13">
      <c r="M157" s="716"/>
    </row>
    <row r="158" spans="13:13">
      <c r="M158" s="716"/>
    </row>
    <row r="159" spans="13:13">
      <c r="M159" s="716"/>
    </row>
    <row r="160" spans="13:13">
      <c r="M160" s="716"/>
    </row>
    <row r="161" spans="13:13">
      <c r="M161" s="716"/>
    </row>
    <row r="162" spans="13:13">
      <c r="M162" s="716"/>
    </row>
    <row r="163" spans="13:13">
      <c r="M163" s="716"/>
    </row>
    <row r="164" spans="13:13">
      <c r="M164" s="716"/>
    </row>
    <row r="165" spans="13:13">
      <c r="M165" s="716"/>
    </row>
    <row r="166" spans="13:13">
      <c r="M166" s="716"/>
    </row>
    <row r="167" spans="13:13">
      <c r="M167" s="716"/>
    </row>
    <row r="168" spans="13:13">
      <c r="M168" s="716"/>
    </row>
    <row r="169" spans="13:13">
      <c r="M169" s="716"/>
    </row>
    <row r="170" spans="13:13">
      <c r="M170" s="716"/>
    </row>
    <row r="171" spans="13:13">
      <c r="M171" s="716"/>
    </row>
    <row r="172" spans="13:13">
      <c r="M172" s="716"/>
    </row>
    <row r="173" spans="13:13">
      <c r="M173" s="716"/>
    </row>
    <row r="174" spans="13:13">
      <c r="M174" s="716"/>
    </row>
    <row r="175" spans="13:13">
      <c r="M175" s="716"/>
    </row>
    <row r="176" spans="13:13">
      <c r="M176" s="716"/>
    </row>
    <row r="177" spans="13:13">
      <c r="M177" s="716"/>
    </row>
    <row r="178" spans="13:13">
      <c r="M178" s="716"/>
    </row>
    <row r="179" spans="13:13">
      <c r="M179" s="716"/>
    </row>
    <row r="180" spans="13:13">
      <c r="M180" s="716"/>
    </row>
    <row r="181" spans="13:13">
      <c r="M181" s="716"/>
    </row>
    <row r="182" spans="13:13">
      <c r="M182" s="716"/>
    </row>
    <row r="183" spans="13:13">
      <c r="M183" s="716"/>
    </row>
    <row r="184" spans="13:13">
      <c r="M184" s="716"/>
    </row>
    <row r="185" spans="13:13">
      <c r="M185" s="716"/>
    </row>
    <row r="186" spans="13:13">
      <c r="M186" s="716"/>
    </row>
    <row r="187" spans="13:13">
      <c r="M187" s="716"/>
    </row>
    <row r="188" spans="13:13">
      <c r="M188" s="716"/>
    </row>
    <row r="189" spans="13:13">
      <c r="M189" s="716"/>
    </row>
    <row r="190" spans="13:13">
      <c r="M190" s="716"/>
    </row>
    <row r="191" spans="13:13">
      <c r="M191" s="716"/>
    </row>
    <row r="192" spans="13:13">
      <c r="M192" s="716"/>
    </row>
    <row r="193" spans="13:13">
      <c r="M193" s="716"/>
    </row>
    <row r="194" spans="13:13">
      <c r="M194" s="716"/>
    </row>
    <row r="195" spans="13:13">
      <c r="M195" s="716"/>
    </row>
    <row r="196" spans="13:13">
      <c r="M196" s="716"/>
    </row>
    <row r="197" spans="13:13">
      <c r="M197" s="716"/>
    </row>
    <row r="198" spans="13:13">
      <c r="M198" s="716"/>
    </row>
    <row r="199" spans="13:13">
      <c r="M199" s="716"/>
    </row>
    <row r="200" spans="13:13">
      <c r="M200" s="716"/>
    </row>
    <row r="201" spans="13:13">
      <c r="M201" s="716"/>
    </row>
    <row r="202" spans="13:13">
      <c r="M202" s="716"/>
    </row>
    <row r="203" spans="13:13">
      <c r="M203" s="716"/>
    </row>
    <row r="204" spans="13:13">
      <c r="M204" s="716"/>
    </row>
    <row r="205" spans="13:13">
      <c r="M205" s="716"/>
    </row>
    <row r="206" spans="13:13">
      <c r="M206" s="716"/>
    </row>
    <row r="207" spans="13:13">
      <c r="M207" s="716"/>
    </row>
    <row r="208" spans="13:13">
      <c r="M208" s="716"/>
    </row>
    <row r="209" spans="13:13">
      <c r="M209" s="716"/>
    </row>
    <row r="210" spans="13:13">
      <c r="M210" s="716"/>
    </row>
    <row r="211" spans="13:13">
      <c r="M211" s="716"/>
    </row>
    <row r="212" spans="13:13">
      <c r="M212" s="716"/>
    </row>
    <row r="213" spans="13:13">
      <c r="M213" s="716"/>
    </row>
    <row r="214" spans="13:13">
      <c r="M214" s="716"/>
    </row>
    <row r="215" spans="13:13">
      <c r="M215" s="716"/>
    </row>
    <row r="216" spans="13:13">
      <c r="M216" s="716"/>
    </row>
    <row r="217" spans="13:13">
      <c r="M217" s="716"/>
    </row>
    <row r="218" spans="13:13">
      <c r="M218" s="716"/>
    </row>
    <row r="219" spans="13:13">
      <c r="M219" s="716"/>
    </row>
    <row r="220" spans="13:13">
      <c r="M220" s="716"/>
    </row>
    <row r="221" spans="13:13">
      <c r="M221" s="716"/>
    </row>
    <row r="222" spans="13:13">
      <c r="M222" s="716"/>
    </row>
    <row r="223" spans="13:13">
      <c r="M223" s="716"/>
    </row>
    <row r="224" spans="13:13">
      <c r="M224" s="716"/>
    </row>
    <row r="225" spans="13:13">
      <c r="M225" s="716"/>
    </row>
    <row r="226" spans="13:13">
      <c r="M226" s="716"/>
    </row>
    <row r="227" spans="13:13">
      <c r="M227" s="716"/>
    </row>
    <row r="228" spans="13:13">
      <c r="M228" s="716"/>
    </row>
    <row r="229" spans="13:13">
      <c r="M229" s="716"/>
    </row>
    <row r="230" spans="13:13">
      <c r="M230" s="716"/>
    </row>
    <row r="231" spans="13:13">
      <c r="M231" s="716"/>
    </row>
    <row r="232" spans="13:13">
      <c r="M232" s="716"/>
    </row>
    <row r="233" spans="13:13">
      <c r="M233" s="716"/>
    </row>
    <row r="234" spans="13:13">
      <c r="M234" s="716"/>
    </row>
    <row r="235" spans="13:13">
      <c r="M235" s="716"/>
    </row>
    <row r="236" spans="13:13">
      <c r="M236" s="716"/>
    </row>
    <row r="237" spans="13:13">
      <c r="M237" s="716"/>
    </row>
    <row r="238" spans="13:13">
      <c r="M238" s="716"/>
    </row>
    <row r="239" spans="13:13">
      <c r="M239" s="716"/>
    </row>
    <row r="240" spans="13:13">
      <c r="M240" s="716"/>
    </row>
    <row r="241" spans="13:13">
      <c r="M241" s="716"/>
    </row>
    <row r="242" spans="13:13">
      <c r="M242" s="716"/>
    </row>
    <row r="243" spans="13:13">
      <c r="M243" s="716"/>
    </row>
    <row r="244" spans="13:13">
      <c r="M244" s="716"/>
    </row>
    <row r="245" spans="13:13">
      <c r="M245" s="716"/>
    </row>
    <row r="246" spans="13:13">
      <c r="M246" s="716"/>
    </row>
    <row r="247" spans="13:13">
      <c r="M247" s="716"/>
    </row>
    <row r="248" spans="13:13">
      <c r="M248" s="716"/>
    </row>
    <row r="249" spans="13:13">
      <c r="M249" s="716"/>
    </row>
    <row r="250" spans="13:13">
      <c r="M250" s="716"/>
    </row>
    <row r="251" spans="13:13">
      <c r="M251" s="716"/>
    </row>
    <row r="252" spans="13:13">
      <c r="M252" s="716"/>
    </row>
  </sheetData>
  <mergeCells count="3">
    <mergeCell ref="E9:I9"/>
    <mergeCell ref="C113:F113"/>
    <mergeCell ref="L49:L50"/>
  </mergeCells>
  <pageMargins left="0.7" right="0.7" top="0.75" bottom="0.75" header="0.3" footer="0.3"/>
  <pageSetup scale="53" orientation="landscape" cellComments="asDisplayed" r:id="rId1"/>
  <headerFooter>
    <oddHeader>&amp;CSchedule 33
Retail Transmission Rates
&amp;RTO2022 Annual Update 
Attachment 1</oddHeader>
    <oddFooter>&amp;R33-RetailRates</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73"/>
  <sheetViews>
    <sheetView tabSelected="1" zoomScaleNormal="100" zoomScalePageLayoutView="80" workbookViewId="0"/>
  </sheetViews>
  <sheetFormatPr defaultRowHeight="12.5"/>
  <cols>
    <col min="1" max="1" width="4.54296875" customWidth="1"/>
    <col min="7" max="7" width="13.54296875" customWidth="1"/>
    <col min="8" max="8" width="24.54296875" customWidth="1"/>
    <col min="9" max="9" width="29.453125" customWidth="1"/>
    <col min="10" max="10" width="2.54296875" customWidth="1"/>
    <col min="11" max="11" width="21.54296875" bestFit="1" customWidth="1"/>
    <col min="12" max="12" width="3.08984375" customWidth="1"/>
    <col min="13" max="13" width="14.54296875" bestFit="1" customWidth="1"/>
    <col min="14" max="14" width="16.1796875" customWidth="1"/>
  </cols>
  <sheetData>
    <row r="1" spans="1:11" ht="13">
      <c r="A1" s="1" t="s">
        <v>166</v>
      </c>
    </row>
    <row r="2" spans="1:11">
      <c r="I2" s="96" t="s">
        <v>301</v>
      </c>
      <c r="J2" s="96"/>
      <c r="K2" s="14"/>
    </row>
    <row r="3" spans="1:11" ht="13">
      <c r="A3" s="1" t="s">
        <v>167</v>
      </c>
    </row>
    <row r="4" spans="1:11" ht="13">
      <c r="H4" s="2"/>
      <c r="I4" s="2" t="s">
        <v>169</v>
      </c>
      <c r="K4" s="244">
        <v>2020</v>
      </c>
    </row>
    <row r="5" spans="1:11" ht="13">
      <c r="A5" s="53" t="s">
        <v>319</v>
      </c>
      <c r="H5" s="3" t="s">
        <v>168</v>
      </c>
      <c r="I5" s="3" t="s">
        <v>170</v>
      </c>
      <c r="K5" s="3" t="s">
        <v>171</v>
      </c>
    </row>
    <row r="7" spans="1:11" ht="13">
      <c r="A7" s="10" t="s">
        <v>176</v>
      </c>
      <c r="B7" s="11"/>
      <c r="C7" s="11"/>
      <c r="D7" s="11"/>
      <c r="E7" s="11"/>
      <c r="F7" s="11"/>
      <c r="G7" s="11"/>
      <c r="H7" s="9"/>
      <c r="I7" s="9"/>
      <c r="J7" s="9"/>
      <c r="K7" s="9"/>
    </row>
    <row r="9" spans="1:11" ht="13">
      <c r="A9" s="2">
        <v>1</v>
      </c>
      <c r="B9" s="50" t="s">
        <v>1043</v>
      </c>
      <c r="I9" s="15" t="str">
        <f>"6-PlantInService, Line "&amp;'6-PlantInService'!A44&amp;""</f>
        <v>6-PlantInService, Line 19</v>
      </c>
      <c r="K9" s="7">
        <f>'6-PlantInService'!D44</f>
        <v>9662547990.8865414</v>
      </c>
    </row>
    <row r="10" spans="1:11" ht="13">
      <c r="A10" s="2">
        <f>A9+1</f>
        <v>2</v>
      </c>
      <c r="B10" s="50" t="s">
        <v>317</v>
      </c>
      <c r="I10" s="15" t="str">
        <f>"6-PlantInService, Line "&amp;'6-PlantInService'!A64&amp;""</f>
        <v>6-PlantInService, Line 27</v>
      </c>
      <c r="K10" s="7">
        <f>'6-PlantInService'!F64</f>
        <v>352301515.92331004</v>
      </c>
    </row>
    <row r="11" spans="1:11" ht="13">
      <c r="A11" s="2">
        <f>A10+1</f>
        <v>3</v>
      </c>
      <c r="B11" s="50" t="s">
        <v>157</v>
      </c>
      <c r="I11" s="15" t="str">
        <f>"11-PHFU, Line "&amp;'11-PHFU'!A39&amp;""</f>
        <v>11-PHFU, Line 8</v>
      </c>
      <c r="K11" s="7">
        <f>'11-PHFU'!E39</f>
        <v>9942155</v>
      </c>
    </row>
    <row r="12" spans="1:11" ht="13">
      <c r="A12" s="2">
        <f>A11+1</f>
        <v>4</v>
      </c>
      <c r="B12" s="108" t="s">
        <v>312</v>
      </c>
      <c r="C12" s="14"/>
      <c r="D12" s="14"/>
      <c r="E12" s="14"/>
      <c r="F12" s="14"/>
      <c r="G12" s="14"/>
      <c r="H12" s="14"/>
      <c r="I12" s="15" t="str">
        <f>"12-AbandonedPlant, Line "&amp;'12-AbandonedPlant'!A20&amp;""</f>
        <v>12-AbandonedPlant, Line 3</v>
      </c>
      <c r="K12" s="63">
        <f>'12-AbandonedPlant'!G20</f>
        <v>0</v>
      </c>
    </row>
    <row r="13" spans="1:11" ht="13">
      <c r="A13" s="2"/>
      <c r="B13" s="108"/>
      <c r="C13" s="14"/>
      <c r="D13" s="14"/>
      <c r="E13" s="14"/>
      <c r="F13" s="14"/>
      <c r="G13" s="14"/>
      <c r="H13" s="14"/>
      <c r="I13" s="14"/>
      <c r="K13" s="63"/>
    </row>
    <row r="14" spans="1:11" ht="13">
      <c r="A14" s="2"/>
      <c r="B14" s="45" t="s">
        <v>243</v>
      </c>
      <c r="C14" s="14"/>
      <c r="D14" s="14"/>
      <c r="E14" s="14"/>
      <c r="F14" s="14"/>
      <c r="G14" s="14"/>
      <c r="H14" s="14"/>
      <c r="I14" s="14"/>
      <c r="K14" s="63"/>
    </row>
    <row r="15" spans="1:11" ht="13">
      <c r="A15" s="2">
        <f>A12+1</f>
        <v>5</v>
      </c>
      <c r="B15" s="13" t="s">
        <v>91</v>
      </c>
      <c r="I15" s="15" t="str">
        <f>"13-WorkCap, Line "&amp;'13-WorkCap'!A26&amp;""</f>
        <v>13-WorkCap, Line 16</v>
      </c>
      <c r="K15" s="63">
        <f>'13-WorkCap'!F26</f>
        <v>28133976.177722294</v>
      </c>
    </row>
    <row r="16" spans="1:11" ht="13">
      <c r="A16" s="2">
        <f>A15+1</f>
        <v>6</v>
      </c>
      <c r="B16" s="16" t="s">
        <v>92</v>
      </c>
      <c r="I16" s="15" t="str">
        <f>"13-WorkCap, Line "&amp;'13-WorkCap'!A55&amp;""</f>
        <v>13-WorkCap, Line 36</v>
      </c>
      <c r="K16" s="63">
        <f>'13-WorkCap'!F55</f>
        <v>19555854.372174758</v>
      </c>
    </row>
    <row r="17" spans="1:11" ht="13">
      <c r="A17" s="2">
        <f>A16+1</f>
        <v>7</v>
      </c>
      <c r="B17" s="13" t="s">
        <v>172</v>
      </c>
      <c r="I17" s="15" t="str">
        <f>"(Line "&amp;A126&amp;" + Line "&amp;A127&amp;") / 8"</f>
        <v>(Line 66 + Line 67) / 8</v>
      </c>
      <c r="K17" s="101">
        <f>(K126+K127)/8</f>
        <v>37569368.855620578</v>
      </c>
    </row>
    <row r="18" spans="1:11" ht="13">
      <c r="A18" s="2">
        <f>A17+1</f>
        <v>8</v>
      </c>
      <c r="B18" s="13" t="s">
        <v>90</v>
      </c>
      <c r="I18" s="15" t="str">
        <f>"Line "&amp;A15&amp;" + Line "&amp;A16&amp;" + Line "&amp;A17&amp;""</f>
        <v>Line 5 + Line 6 + Line 7</v>
      </c>
      <c r="K18" s="63">
        <f>SUM(K15:K17)</f>
        <v>85259199.405517638</v>
      </c>
    </row>
    <row r="19" spans="1:11" ht="13">
      <c r="A19" s="2"/>
      <c r="B19" s="13"/>
      <c r="I19" s="14"/>
      <c r="K19" s="63"/>
    </row>
    <row r="20" spans="1:11" ht="13">
      <c r="A20" s="2"/>
      <c r="B20" s="76" t="s">
        <v>165</v>
      </c>
      <c r="I20" s="14"/>
      <c r="K20" s="63"/>
    </row>
    <row r="21" spans="1:11" ht="13">
      <c r="A21" s="2">
        <f>A18+1</f>
        <v>9</v>
      </c>
      <c r="B21" s="13" t="s">
        <v>1046</v>
      </c>
      <c r="H21" t="s">
        <v>151</v>
      </c>
      <c r="I21" s="15" t="str">
        <f>"8-AccDep, Line "&amp;'8-AccDep'!A24&amp;", Col. 12"</f>
        <v>8-AccDep, Line 13, Col. 12</v>
      </c>
      <c r="K21" s="63">
        <f>-'8-AccDep'!N24</f>
        <v>-2029134780.6758177</v>
      </c>
    </row>
    <row r="22" spans="1:11" ht="13">
      <c r="A22" s="2">
        <f>A21+1</f>
        <v>10</v>
      </c>
      <c r="B22" s="13" t="s">
        <v>1047</v>
      </c>
      <c r="H22" t="s">
        <v>151</v>
      </c>
      <c r="I22" s="15" t="str">
        <f>"8-AccDep, Line "&amp;'8-AccDep'!A34&amp;", Col. 5"</f>
        <v>8-AccDep, Line 16, Col. 5</v>
      </c>
      <c r="K22" s="63">
        <f>-'8-AccDep'!G34</f>
        <v>0</v>
      </c>
    </row>
    <row r="23" spans="1:11" ht="13">
      <c r="A23" s="2">
        <f>A22+1</f>
        <v>11</v>
      </c>
      <c r="B23" s="13" t="s">
        <v>308</v>
      </c>
      <c r="C23" s="22"/>
      <c r="H23" t="s">
        <v>151</v>
      </c>
      <c r="I23" s="15" t="str">
        <f>"8-AccDep, Line "&amp;'8-AccDep'!A60&amp;""</f>
        <v>8-AccDep, Line 26</v>
      </c>
      <c r="K23" s="101">
        <f>-'8-AccDep'!F60</f>
        <v>-134533987.18913484</v>
      </c>
    </row>
    <row r="24" spans="1:11" ht="13">
      <c r="A24" s="2">
        <f>A23+1</f>
        <v>12</v>
      </c>
      <c r="B24" s="77" t="s">
        <v>163</v>
      </c>
      <c r="C24" s="22"/>
      <c r="I24" s="15" t="str">
        <f>"Line "&amp;A21&amp;" + Line "&amp;A22&amp;" + Line "&amp;A23&amp;""</f>
        <v>Line 9 + Line 10 + Line 11</v>
      </c>
      <c r="K24" s="63">
        <f>SUM(K21:K23)</f>
        <v>-2163668767.8649526</v>
      </c>
    </row>
    <row r="25" spans="1:11">
      <c r="B25" s="12"/>
      <c r="I25" s="14"/>
      <c r="K25" s="63"/>
    </row>
    <row r="26" spans="1:11" ht="13">
      <c r="A26" s="2">
        <f>A24+1</f>
        <v>13</v>
      </c>
      <c r="B26" s="533" t="s">
        <v>2656</v>
      </c>
      <c r="I26" s="15" t="str">
        <f>"9-ADIT-1, Line "&amp;'9-ADIT-1'!A14&amp;", Col. 2"</f>
        <v>9-ADIT-1, Line 5, Col. 2</v>
      </c>
      <c r="K26" s="63">
        <f>'9-ADIT-1'!D14</f>
        <v>-1530599359.8928757</v>
      </c>
    </row>
    <row r="27" spans="1:11" ht="13">
      <c r="A27" s="2"/>
      <c r="B27" s="65"/>
      <c r="I27" s="14"/>
      <c r="K27" s="14"/>
    </row>
    <row r="28" spans="1:11" ht="13">
      <c r="A28" s="2">
        <f>A26+1</f>
        <v>14</v>
      </c>
      <c r="B28" s="50" t="s">
        <v>240</v>
      </c>
      <c r="I28" s="15" t="str">
        <f>"14-IncentivePlant, L "&amp;'14-IncentivePlant'!A38&amp;", Col 1"</f>
        <v>14-IncentivePlant, L 13, Col 1</v>
      </c>
      <c r="K28" s="63">
        <f>'14-IncentivePlant'!E38</f>
        <v>974174702.12</v>
      </c>
    </row>
    <row r="29" spans="1:11" ht="13">
      <c r="A29" s="2"/>
      <c r="B29" s="50"/>
      <c r="I29" s="14"/>
      <c r="K29" s="63"/>
    </row>
    <row r="30" spans="1:11" ht="13">
      <c r="A30" s="2">
        <f>A28+1</f>
        <v>15</v>
      </c>
      <c r="B30" s="50" t="s">
        <v>362</v>
      </c>
      <c r="I30" s="15" t="str">
        <f>"23-RegAssets, Line "&amp;'23-RegAssets'!A17&amp;""</f>
        <v>23-RegAssets, Line 14</v>
      </c>
      <c r="K30" s="63">
        <f>'23-RegAssets'!E17</f>
        <v>0</v>
      </c>
    </row>
    <row r="31" spans="1:11" ht="13">
      <c r="A31" s="549">
        <f t="shared" ref="A31:A32" si="0">A30+1</f>
        <v>16</v>
      </c>
      <c r="B31" s="839" t="s">
        <v>1953</v>
      </c>
      <c r="C31" s="14"/>
      <c r="D31" s="14"/>
      <c r="E31" s="14"/>
      <c r="F31" s="14"/>
      <c r="G31" s="14"/>
      <c r="H31" s="14"/>
      <c r="I31" s="15" t="str">
        <f>"34-UnfundedReserves, Line "&amp;'34-UnfundedReserves'!A9&amp;""</f>
        <v>34-UnfundedReserves, Line 6</v>
      </c>
      <c r="J31" s="14"/>
      <c r="K31" s="63">
        <f>'34-UnfundedReserves'!K9</f>
        <v>-272148806.84967965</v>
      </c>
    </row>
    <row r="32" spans="1:11" ht="13">
      <c r="A32" s="549">
        <f t="shared" si="0"/>
        <v>17</v>
      </c>
      <c r="B32" s="839" t="s">
        <v>55</v>
      </c>
      <c r="C32" s="14"/>
      <c r="D32" s="14"/>
      <c r="E32" s="14"/>
      <c r="F32" s="14"/>
      <c r="G32" s="14"/>
      <c r="H32" s="14" t="s">
        <v>151</v>
      </c>
      <c r="I32" s="15" t="str">
        <f>"22-NUCs, Line "&amp;'22-NUCs'!A11&amp;""</f>
        <v>22-NUCs, Line 4</v>
      </c>
      <c r="J32" s="14"/>
      <c r="K32" s="63">
        <f>-'22-NUCs'!E11</f>
        <v>-19178430</v>
      </c>
    </row>
    <row r="33" spans="1:11" ht="13">
      <c r="A33" s="109"/>
      <c r="B33" s="839"/>
      <c r="C33" s="14"/>
      <c r="D33" s="14"/>
      <c r="E33" s="14"/>
      <c r="F33" s="14"/>
      <c r="G33" s="14"/>
      <c r="H33" s="14"/>
      <c r="I33" s="14"/>
      <c r="J33" s="14"/>
      <c r="K33" s="14"/>
    </row>
    <row r="34" spans="1:11" ht="13">
      <c r="A34" s="549">
        <f>A32+1</f>
        <v>18</v>
      </c>
      <c r="B34" s="14" t="s">
        <v>173</v>
      </c>
      <c r="C34" s="14"/>
      <c r="D34" s="14"/>
      <c r="E34" s="14"/>
      <c r="F34" s="14"/>
      <c r="G34" s="14"/>
      <c r="H34" s="14"/>
      <c r="I34" s="15" t="str">
        <f>"L"&amp;A9&amp;" + L"&amp;A10&amp;" + L"&amp;A11&amp;" + L"&amp;A12&amp;" + L"&amp;A18&amp;" + L"&amp;A24&amp;" +"</f>
        <v>L1 + L2 + L3 + L4 + L8 + L12 +</v>
      </c>
      <c r="J34" s="14"/>
      <c r="K34" s="63">
        <f>K9+K10+K11+K12+K18+K24+K26+K28+K30+K31+K32</f>
        <v>7098630198.7278605</v>
      </c>
    </row>
    <row r="35" spans="1:11" ht="13">
      <c r="A35" s="109"/>
      <c r="B35" s="14"/>
      <c r="C35" s="14"/>
      <c r="D35" s="14"/>
      <c r="E35" s="14"/>
      <c r="F35" s="14"/>
      <c r="G35" s="14"/>
      <c r="H35" s="14"/>
      <c r="I35" s="108" t="str">
        <f>"L"&amp;A26&amp;" + L"&amp;A28&amp;"+ L"&amp;A30&amp;"+ L"&amp;A31&amp;" + L"&amp;A32&amp;""</f>
        <v>L13 + L14+ L15+ L16 + L17</v>
      </c>
      <c r="J35" s="14"/>
      <c r="K35" s="63"/>
    </row>
    <row r="37" spans="1:11" ht="13">
      <c r="A37" s="10" t="s">
        <v>251</v>
      </c>
      <c r="B37" s="11"/>
      <c r="C37" s="11"/>
      <c r="D37" s="11"/>
      <c r="E37" s="11"/>
      <c r="F37" s="11"/>
      <c r="G37" s="11"/>
      <c r="H37" s="9"/>
      <c r="I37" s="9"/>
      <c r="J37" s="9"/>
      <c r="K37" s="9"/>
    </row>
    <row r="39" spans="1:11" ht="13">
      <c r="A39" s="2">
        <f>A34+1</f>
        <v>19</v>
      </c>
      <c r="B39" s="465" t="s">
        <v>1755</v>
      </c>
      <c r="C39" s="14"/>
      <c r="D39" s="14"/>
      <c r="H39" s="961" t="s">
        <v>2466</v>
      </c>
      <c r="I39" s="463" t="s">
        <v>2267</v>
      </c>
      <c r="K39" s="6">
        <v>364015060</v>
      </c>
    </row>
    <row r="40" spans="1:11" ht="13">
      <c r="A40" s="2">
        <f>A39+1</f>
        <v>20</v>
      </c>
      <c r="B40" s="112" t="s">
        <v>57</v>
      </c>
      <c r="C40" s="14"/>
      <c r="D40" s="14"/>
      <c r="H40" s="955"/>
      <c r="I40" s="15" t="str">
        <f>"27-Allocators, Line "&amp;'27-Allocators'!A28&amp;""</f>
        <v>27-Allocators, Line 22</v>
      </c>
      <c r="K40" s="8">
        <f>'27-Allocators'!G28</f>
        <v>0.18354940810043915</v>
      </c>
    </row>
    <row r="41" spans="1:11" ht="13">
      <c r="A41" s="2">
        <f>A40+1</f>
        <v>21</v>
      </c>
      <c r="B41" s="14" t="s">
        <v>60</v>
      </c>
      <c r="C41" s="14"/>
      <c r="D41" s="14"/>
      <c r="H41" s="955"/>
      <c r="I41" s="15" t="str">
        <f>"Line "&amp;A39&amp;" * Line "&amp;A40&amp;""</f>
        <v>Line 19 * Line 20</v>
      </c>
      <c r="K41" s="7">
        <f>K39*K40</f>
        <v>66814748.802645847</v>
      </c>
    </row>
    <row r="42" spans="1:11" ht="13">
      <c r="A42" s="2" t="s">
        <v>328</v>
      </c>
      <c r="B42" s="14"/>
      <c r="C42" s="14"/>
      <c r="D42" s="14"/>
      <c r="H42" s="463"/>
      <c r="I42" s="14"/>
      <c r="K42" s="8"/>
    </row>
    <row r="43" spans="1:11" ht="13">
      <c r="A43" s="2">
        <f>A41+1</f>
        <v>22</v>
      </c>
      <c r="B43" s="15" t="s">
        <v>252</v>
      </c>
      <c r="C43" s="14"/>
      <c r="D43" s="14"/>
      <c r="H43" s="955"/>
      <c r="I43" s="14"/>
      <c r="K43" s="8"/>
    </row>
    <row r="44" spans="1:11" ht="13">
      <c r="A44" s="2">
        <f t="shared" ref="A44:A56" si="1">A43+1</f>
        <v>23</v>
      </c>
      <c r="B44" s="112" t="s">
        <v>16</v>
      </c>
      <c r="C44" s="14"/>
      <c r="D44" s="14"/>
      <c r="E44" s="1"/>
      <c r="F44" s="1"/>
      <c r="G44" s="1"/>
      <c r="H44" s="955"/>
      <c r="I44" s="15" t="str">
        <f>"Line "&amp;A45&amp;" + Line "&amp;A46&amp;"+ Line "&amp;A47&amp;""</f>
        <v>Line 24 + Line 25+ Line 26</v>
      </c>
      <c r="K44" s="63">
        <f>SUM(K45:K47)</f>
        <v>124268886</v>
      </c>
    </row>
    <row r="45" spans="1:11" ht="13">
      <c r="A45" s="2">
        <f t="shared" si="1"/>
        <v>24</v>
      </c>
      <c r="B45" s="368" t="s">
        <v>39</v>
      </c>
      <c r="C45" s="14"/>
      <c r="D45" s="14"/>
      <c r="E45" s="1"/>
      <c r="F45" s="1"/>
      <c r="G45" s="1"/>
      <c r="H45" s="961" t="s">
        <v>2467</v>
      </c>
      <c r="I45" s="463" t="s">
        <v>2267</v>
      </c>
      <c r="K45" s="6">
        <v>125500351</v>
      </c>
    </row>
    <row r="46" spans="1:11" ht="13">
      <c r="A46" s="2">
        <f t="shared" si="1"/>
        <v>25</v>
      </c>
      <c r="B46" s="368" t="s">
        <v>40</v>
      </c>
      <c r="C46" s="14"/>
      <c r="D46" s="14"/>
      <c r="E46" s="1"/>
      <c r="F46" s="1"/>
      <c r="G46" s="1"/>
      <c r="H46" s="961" t="s">
        <v>2468</v>
      </c>
      <c r="I46" s="463" t="s">
        <v>2267</v>
      </c>
      <c r="K46" s="6">
        <v>-1579284</v>
      </c>
    </row>
    <row r="47" spans="1:11" ht="13">
      <c r="A47" s="2">
        <f t="shared" si="1"/>
        <v>26</v>
      </c>
      <c r="B47" s="368" t="s">
        <v>41</v>
      </c>
      <c r="C47" s="14"/>
      <c r="D47" s="14"/>
      <c r="E47" s="1"/>
      <c r="F47" s="1"/>
      <c r="G47" s="1"/>
      <c r="H47" s="961" t="s">
        <v>2469</v>
      </c>
      <c r="I47" s="463" t="s">
        <v>2267</v>
      </c>
      <c r="K47" s="6">
        <v>347819</v>
      </c>
    </row>
    <row r="48" spans="1:11" ht="13">
      <c r="A48" s="2">
        <f t="shared" si="1"/>
        <v>27</v>
      </c>
      <c r="B48" s="462" t="s">
        <v>1756</v>
      </c>
      <c r="C48" s="14"/>
      <c r="D48" s="14"/>
      <c r="H48" s="961" t="s">
        <v>2470</v>
      </c>
      <c r="I48" s="463" t="s">
        <v>2267</v>
      </c>
      <c r="K48" s="6">
        <v>5912271</v>
      </c>
    </row>
    <row r="49" spans="1:11" ht="13">
      <c r="A49" s="2">
        <f t="shared" si="1"/>
        <v>28</v>
      </c>
      <c r="B49" s="112" t="s">
        <v>1757</v>
      </c>
      <c r="C49" s="14"/>
      <c r="D49" s="14"/>
      <c r="H49" s="961" t="s">
        <v>2471</v>
      </c>
      <c r="I49" s="463" t="s">
        <v>2267</v>
      </c>
      <c r="K49" s="6">
        <v>592590</v>
      </c>
    </row>
    <row r="50" spans="1:11" ht="13">
      <c r="A50" s="537">
        <f t="shared" si="1"/>
        <v>29</v>
      </c>
      <c r="B50" s="112" t="s">
        <v>1616</v>
      </c>
      <c r="C50" s="14"/>
      <c r="D50" s="14"/>
      <c r="H50" s="961" t="s">
        <v>2472</v>
      </c>
      <c r="I50" s="463" t="s">
        <v>2267</v>
      </c>
      <c r="K50" s="6">
        <v>2012111</v>
      </c>
    </row>
    <row r="51" spans="1:11" ht="13">
      <c r="A51" s="537">
        <f t="shared" si="1"/>
        <v>30</v>
      </c>
      <c r="B51" s="112" t="s">
        <v>1758</v>
      </c>
      <c r="C51" s="14"/>
      <c r="D51" s="14"/>
      <c r="H51" s="961" t="s">
        <v>2473</v>
      </c>
      <c r="I51" s="463" t="s">
        <v>2267</v>
      </c>
      <c r="K51" s="6">
        <v>97096</v>
      </c>
    </row>
    <row r="52" spans="1:11" ht="13">
      <c r="A52" s="537">
        <f t="shared" si="1"/>
        <v>31</v>
      </c>
      <c r="B52" t="s">
        <v>61</v>
      </c>
      <c r="I52" s="15" t="str">
        <f>"Line "&amp;A44&amp;" + (Line "&amp;A48&amp;" to Line "&amp;A51&amp;")"</f>
        <v>Line 23 + (Line 27 to Line 30)</v>
      </c>
      <c r="K52" s="7">
        <f>K44+K48+K49+K50+K51</f>
        <v>132882954</v>
      </c>
    </row>
    <row r="53" spans="1:11" ht="13">
      <c r="A53" s="537">
        <f t="shared" si="1"/>
        <v>32</v>
      </c>
      <c r="B53" s="465" t="s">
        <v>1617</v>
      </c>
      <c r="C53" s="14"/>
      <c r="D53" s="14"/>
      <c r="E53" s="14"/>
      <c r="F53" s="14"/>
      <c r="G53" s="14"/>
      <c r="H53" s="465"/>
      <c r="I53" s="465" t="str">
        <f>"26-TaxRates, Line "&amp;'26-TaxRates'!A22&amp;""</f>
        <v>26-TaxRates, Line 16</v>
      </c>
      <c r="K53" s="231">
        <f>'26-TaxRates'!F22</f>
        <v>60461744.07</v>
      </c>
    </row>
    <row r="54" spans="1:11" ht="13">
      <c r="A54" s="537">
        <f t="shared" si="1"/>
        <v>33</v>
      </c>
      <c r="B54" s="14" t="s">
        <v>1307</v>
      </c>
      <c r="C54" s="14"/>
      <c r="D54" s="14"/>
      <c r="E54" s="14"/>
      <c r="F54" s="14"/>
      <c r="G54" s="14"/>
      <c r="I54" s="15" t="str">
        <f>"Line "&amp;A52&amp;" - Line "&amp;A53&amp;""</f>
        <v>Line 31 - Line 32</v>
      </c>
      <c r="K54" s="7">
        <f>K52-K53</f>
        <v>72421209.930000007</v>
      </c>
    </row>
    <row r="55" spans="1:11" ht="13">
      <c r="A55" s="537">
        <f t="shared" si="1"/>
        <v>34</v>
      </c>
      <c r="B55" s="13" t="s">
        <v>93</v>
      </c>
      <c r="I55" s="15" t="str">
        <f>"27-Allocators, Line "&amp;'27-Allocators'!A15&amp;""</f>
        <v>27-Allocators, Line 9</v>
      </c>
      <c r="K55" s="8">
        <f>'27-Allocators'!G15</f>
        <v>6.982260642173875E-2</v>
      </c>
    </row>
    <row r="56" spans="1:11" ht="13">
      <c r="A56" s="537">
        <f t="shared" si="1"/>
        <v>35</v>
      </c>
      <c r="B56" s="50" t="s">
        <v>252</v>
      </c>
      <c r="I56" s="15" t="str">
        <f>"Line "&amp;A54&amp;" * Line "&amp;A55&amp;""</f>
        <v>Line 33 * Line 34</v>
      </c>
      <c r="K56" s="7">
        <f>K54*K55</f>
        <v>5056637.6375285089</v>
      </c>
    </row>
    <row r="57" spans="1:11" ht="13">
      <c r="A57" s="2"/>
      <c r="K57" s="7"/>
    </row>
    <row r="58" spans="1:11" ht="13">
      <c r="A58" s="2">
        <f>A56+1</f>
        <v>36</v>
      </c>
      <c r="B58" s="12" t="s">
        <v>79</v>
      </c>
      <c r="H58" s="463" t="s">
        <v>359</v>
      </c>
      <c r="I58" s="12" t="str">
        <f>"Line "&amp;A41&amp;" + Line "&amp;A56&amp;""</f>
        <v>Line 21 + Line 35</v>
      </c>
      <c r="K58" s="7">
        <f>K41+K56</f>
        <v>71871386.440174356</v>
      </c>
    </row>
    <row r="60" spans="1:11" ht="13">
      <c r="A60" s="10" t="s">
        <v>177</v>
      </c>
      <c r="B60" s="11"/>
      <c r="C60" s="11"/>
      <c r="D60" s="11"/>
      <c r="E60" s="11"/>
      <c r="F60" s="11"/>
      <c r="G60" s="11"/>
      <c r="H60" s="9"/>
      <c r="I60" s="9"/>
      <c r="J60" s="9"/>
      <c r="K60" s="9"/>
    </row>
    <row r="61" spans="1:11" ht="13">
      <c r="A61" s="44"/>
      <c r="B61" s="15"/>
      <c r="C61" s="15"/>
      <c r="D61" s="15"/>
      <c r="E61" s="15"/>
      <c r="F61" s="15"/>
      <c r="G61" s="15"/>
      <c r="H61" s="15"/>
      <c r="I61" s="15"/>
      <c r="J61" s="15"/>
      <c r="K61" s="15"/>
    </row>
    <row r="62" spans="1:11">
      <c r="A62" s="105"/>
      <c r="B62" s="45" t="s">
        <v>26</v>
      </c>
      <c r="C62" s="15"/>
      <c r="D62" s="15"/>
      <c r="E62" s="15"/>
      <c r="F62" s="15"/>
      <c r="G62" s="15"/>
      <c r="H62" s="15"/>
      <c r="I62" s="15"/>
      <c r="J62" s="15"/>
      <c r="K62" s="15"/>
    </row>
    <row r="63" spans="1:11" ht="13">
      <c r="A63" s="109">
        <f>A58+1</f>
        <v>37</v>
      </c>
      <c r="B63" s="15" t="s">
        <v>209</v>
      </c>
      <c r="C63" s="15"/>
      <c r="D63" s="15"/>
      <c r="E63" s="15"/>
      <c r="F63" s="15"/>
      <c r="G63" s="15"/>
      <c r="H63" s="15"/>
      <c r="I63" s="15" t="str">
        <f>"5-ROR-1, Line "&amp;'5-ROR-1'!A12&amp;""</f>
        <v>5-ROR-1, Line 4</v>
      </c>
      <c r="J63" s="15"/>
      <c r="K63" s="47">
        <f>'5-ROR-1'!L12</f>
        <v>16844429073.086924</v>
      </c>
    </row>
    <row r="64" spans="1:11" ht="13">
      <c r="A64" s="2">
        <f>A63+1</f>
        <v>38</v>
      </c>
      <c r="B64" s="15" t="s">
        <v>253</v>
      </c>
      <c r="C64" s="15"/>
      <c r="D64" s="15"/>
      <c r="E64" s="15"/>
      <c r="F64" s="15"/>
      <c r="G64" s="15"/>
      <c r="H64" s="15"/>
      <c r="I64" s="15" t="str">
        <f>"5-ROR-1, Line "&amp;'5-ROR-1'!A21&amp;""</f>
        <v>5-ROR-1, Line 11</v>
      </c>
      <c r="J64" s="465"/>
      <c r="K64" s="47">
        <f>'5-ROR-1'!L21</f>
        <v>748333605</v>
      </c>
    </row>
    <row r="65" spans="1:11" ht="13">
      <c r="A65" s="2">
        <f>A64+1</f>
        <v>39</v>
      </c>
      <c r="B65" s="15" t="s">
        <v>254</v>
      </c>
      <c r="C65" s="15"/>
      <c r="D65" s="15"/>
      <c r="E65" s="15"/>
      <c r="F65" s="15"/>
      <c r="G65" s="15"/>
      <c r="I65" s="15" t="str">
        <f>"5-ROR-1, Line "&amp;'5-ROR-1'!A23&amp;""</f>
        <v>5-ROR-1, Line 12</v>
      </c>
      <c r="J65" s="15"/>
      <c r="K65" s="48">
        <f>'5-ROR-1'!L23</f>
        <v>4.4426178041002594E-2</v>
      </c>
    </row>
    <row r="66" spans="1:11" ht="13">
      <c r="A66" s="109"/>
      <c r="B66" s="15"/>
      <c r="C66" s="15"/>
      <c r="D66" s="15"/>
      <c r="E66" s="15"/>
      <c r="F66" s="15"/>
      <c r="G66" s="15"/>
      <c r="I66" s="15"/>
      <c r="J66" s="15"/>
      <c r="K66" s="48"/>
    </row>
    <row r="67" spans="1:11" ht="13">
      <c r="A67" s="109"/>
      <c r="B67" s="45" t="s">
        <v>27</v>
      </c>
      <c r="C67" s="15"/>
      <c r="D67" s="15"/>
      <c r="E67" s="15"/>
      <c r="F67" s="15"/>
      <c r="G67" s="15"/>
      <c r="H67" s="15"/>
      <c r="I67" s="15"/>
      <c r="J67" s="15"/>
      <c r="K67" s="15"/>
    </row>
    <row r="68" spans="1:11" ht="13">
      <c r="A68" s="109">
        <f>A65+1</f>
        <v>40</v>
      </c>
      <c r="B68" s="465" t="s">
        <v>47</v>
      </c>
      <c r="C68" s="15"/>
      <c r="D68" s="15"/>
      <c r="E68" s="15"/>
      <c r="F68" s="15"/>
      <c r="G68" s="15"/>
      <c r="H68" s="15"/>
      <c r="I68" s="15" t="str">
        <f>"5-ROR-1, Line "&amp;'5-ROR-1'!A29&amp;""</f>
        <v>5-ROR-1, Line 16</v>
      </c>
      <c r="J68" s="465"/>
      <c r="K68" s="47">
        <f>'5-ROR-1'!L29</f>
        <v>2091962125.6683834</v>
      </c>
    </row>
    <row r="69" spans="1:11" ht="13">
      <c r="A69" s="2">
        <f>A68+1</f>
        <v>41</v>
      </c>
      <c r="B69" s="465" t="s">
        <v>25</v>
      </c>
      <c r="C69" s="15"/>
      <c r="D69" s="15"/>
      <c r="E69" s="15"/>
      <c r="F69" s="15"/>
      <c r="G69" s="15"/>
      <c r="H69" s="15"/>
      <c r="I69" s="15" t="str">
        <f>"5-ROR-1, Line "&amp;'5-ROR-1'!A35&amp;""</f>
        <v>5-ROR-1, Line 20</v>
      </c>
      <c r="J69" s="465"/>
      <c r="K69" s="47">
        <f>'5-ROR-1'!L35</f>
        <v>122238334.53840116</v>
      </c>
    </row>
    <row r="70" spans="1:11" ht="13">
      <c r="A70" s="2">
        <f>A69+1</f>
        <v>42</v>
      </c>
      <c r="B70" s="465" t="s">
        <v>43</v>
      </c>
      <c r="C70" s="15"/>
      <c r="D70" s="15"/>
      <c r="E70" s="15"/>
      <c r="F70" s="15"/>
      <c r="G70" s="15"/>
      <c r="I70" s="15" t="str">
        <f>"5-ROR-1, Line "&amp;'5-ROR-1'!A37&amp;""</f>
        <v>5-ROR-1, Line 21</v>
      </c>
      <c r="J70" s="465"/>
      <c r="K70" s="48">
        <f>'5-ROR-1'!L37</f>
        <v>5.8432384142397376E-2</v>
      </c>
    </row>
    <row r="71" spans="1:11" ht="13">
      <c r="A71" s="109"/>
      <c r="B71" s="15"/>
      <c r="C71" s="15"/>
      <c r="D71" s="15"/>
      <c r="E71" s="15"/>
      <c r="F71" s="15"/>
      <c r="G71" s="15"/>
      <c r="I71" s="15"/>
      <c r="J71" s="15"/>
      <c r="K71" s="48"/>
    </row>
    <row r="72" spans="1:11" ht="13">
      <c r="A72" s="109"/>
      <c r="B72" s="45" t="s">
        <v>28</v>
      </c>
      <c r="C72" s="15"/>
      <c r="D72" s="15"/>
      <c r="E72" s="15"/>
      <c r="F72" s="15"/>
      <c r="G72" s="15"/>
      <c r="H72" s="15"/>
      <c r="I72" s="15"/>
      <c r="J72" s="15"/>
      <c r="K72" s="15"/>
    </row>
    <row r="73" spans="1:11" ht="13">
      <c r="A73" s="109">
        <f>A70+1</f>
        <v>43</v>
      </c>
      <c r="B73" s="15" t="s">
        <v>44</v>
      </c>
      <c r="C73" s="15"/>
      <c r="D73" s="15"/>
      <c r="E73" s="15"/>
      <c r="F73" s="15"/>
      <c r="G73" s="15"/>
      <c r="H73" s="15"/>
      <c r="I73" s="15" t="str">
        <f>"5-ROR-1, Line "&amp;'5-ROR-1'!A45&amp;""</f>
        <v>5-ROR-1, Line 27</v>
      </c>
      <c r="J73" s="465"/>
      <c r="K73" s="47">
        <f>'5-ROR-1'!L45</f>
        <v>16329591138.725721</v>
      </c>
    </row>
    <row r="74" spans="1:11" ht="13">
      <c r="A74" s="109"/>
      <c r="B74" s="15"/>
      <c r="C74" s="15"/>
      <c r="D74" s="15"/>
      <c r="E74" s="15"/>
      <c r="F74" s="15"/>
      <c r="G74" s="15"/>
      <c r="H74" s="15"/>
      <c r="I74" s="64"/>
      <c r="J74" s="15"/>
      <c r="K74" s="15"/>
    </row>
    <row r="75" spans="1:11" ht="13">
      <c r="A75" s="2">
        <f>A73+1</f>
        <v>44</v>
      </c>
      <c r="B75" s="15" t="s">
        <v>46</v>
      </c>
      <c r="C75" s="15"/>
      <c r="D75" s="15"/>
      <c r="E75" s="15"/>
      <c r="F75" s="15"/>
      <c r="G75" s="15"/>
      <c r="H75" s="15"/>
      <c r="I75" s="12" t="str">
        <f>"Line "&amp;A63&amp;" + Line "&amp;A68&amp;" + Line "&amp;A73&amp;""</f>
        <v>Line 37 + Line 40 + Line 43</v>
      </c>
      <c r="J75" s="15"/>
      <c r="K75" s="47">
        <f>K63+K68+K73</f>
        <v>35265982337.481026</v>
      </c>
    </row>
    <row r="76" spans="1:11" s="955" customFormat="1" ht="13">
      <c r="A76" s="549"/>
      <c r="B76" s="15"/>
      <c r="C76" s="15"/>
      <c r="D76" s="15"/>
      <c r="E76" s="15"/>
      <c r="F76" s="15"/>
      <c r="G76" s="15"/>
      <c r="H76" s="15"/>
      <c r="I76" s="12"/>
      <c r="J76" s="15"/>
      <c r="K76" s="47"/>
    </row>
    <row r="77" spans="1:11" s="14" customFormat="1" ht="13">
      <c r="A77" s="109" t="s">
        <v>2530</v>
      </c>
      <c r="B77" s="465" t="s">
        <v>2476</v>
      </c>
      <c r="C77" s="15"/>
      <c r="D77" s="15"/>
      <c r="E77" s="15"/>
      <c r="F77" s="15"/>
      <c r="G77" s="15"/>
      <c r="H77" s="15"/>
      <c r="I77" s="15"/>
      <c r="J77" s="15"/>
      <c r="K77" s="1237">
        <v>0.47499999999999998</v>
      </c>
    </row>
    <row r="78" spans="1:11" ht="13">
      <c r="A78" s="109"/>
      <c r="B78" s="46"/>
      <c r="C78" s="15"/>
      <c r="D78" s="15"/>
      <c r="E78" s="15"/>
      <c r="F78" s="15"/>
      <c r="G78" s="15"/>
      <c r="I78" s="15"/>
      <c r="J78" s="15"/>
      <c r="K78" s="47"/>
    </row>
    <row r="79" spans="1:11" ht="13">
      <c r="A79" s="109"/>
      <c r="B79" s="45" t="s">
        <v>48</v>
      </c>
      <c r="C79" s="15"/>
      <c r="D79" s="15"/>
      <c r="E79" s="15"/>
      <c r="F79" s="15"/>
      <c r="G79" s="15"/>
      <c r="H79" s="15"/>
      <c r="I79" s="15"/>
      <c r="J79" s="15"/>
      <c r="K79" s="15"/>
    </row>
    <row r="80" spans="1:11" ht="13">
      <c r="A80" s="109">
        <f>A75+1</f>
        <v>45</v>
      </c>
      <c r="B80" s="15" t="s">
        <v>255</v>
      </c>
      <c r="C80" s="15"/>
      <c r="D80" s="15"/>
      <c r="E80" s="15"/>
      <c r="F80" s="15"/>
      <c r="G80" s="15"/>
      <c r="H80" s="15"/>
      <c r="I80" s="15" t="str">
        <f>"100% - (Line "&amp;A81&amp;" + Line "&amp;A82&amp;")"</f>
        <v>100% - (Line 46 + Line 47)</v>
      </c>
      <c r="J80" s="15"/>
      <c r="K80" s="48">
        <f>1-(K81+K82)</f>
        <v>0.46568045218054155</v>
      </c>
    </row>
    <row r="81" spans="1:11" ht="13">
      <c r="A81" s="109">
        <f>A80+1</f>
        <v>46</v>
      </c>
      <c r="B81" s="465" t="s">
        <v>256</v>
      </c>
      <c r="C81" s="15"/>
      <c r="D81" s="15"/>
      <c r="E81" s="15"/>
      <c r="F81" s="15"/>
      <c r="G81" s="15"/>
      <c r="H81" s="15"/>
      <c r="I81" s="15" t="str">
        <f>"Line "&amp;A68&amp;" / Line "&amp;A75&amp;""</f>
        <v>Line 40 / Line 44</v>
      </c>
      <c r="J81" s="15"/>
      <c r="K81" s="48">
        <f>K68/K75</f>
        <v>5.9319547819458467E-2</v>
      </c>
    </row>
    <row r="82" spans="1:11" ht="13">
      <c r="A82" s="109">
        <f>A81+1</f>
        <v>47</v>
      </c>
      <c r="B82" s="15" t="s">
        <v>49</v>
      </c>
      <c r="C82" s="15"/>
      <c r="D82" s="15"/>
      <c r="E82" s="15"/>
      <c r="F82" s="15"/>
      <c r="G82" s="15"/>
      <c r="H82" s="15"/>
      <c r="I82" s="15" t="str">
        <f>"Max Line "&amp;A77&amp;" or (Line "&amp;A73&amp;" / Line "&amp;A75&amp;")"</f>
        <v>Max Line 44a or (Line 43 / Line 44)</v>
      </c>
      <c r="J82" s="15"/>
      <c r="K82" s="49">
        <f>MAX((K73/K75),K77)</f>
        <v>0.47499999999999998</v>
      </c>
    </row>
    <row r="83" spans="1:11" ht="13">
      <c r="A83" s="109"/>
      <c r="B83" s="15"/>
      <c r="C83" s="15"/>
      <c r="D83" s="15"/>
      <c r="E83" s="15"/>
      <c r="F83" s="15"/>
      <c r="G83" s="15"/>
      <c r="H83" s="15"/>
      <c r="I83" s="15" t="str">
        <f>"Line "&amp;A80&amp;" + Line "&amp;A81&amp;"+ Line "&amp;A82&amp;""</f>
        <v>Line 45 + Line 46+ Line 47</v>
      </c>
      <c r="J83" s="15"/>
      <c r="K83" s="48">
        <f>SUM(K80:K82)</f>
        <v>1</v>
      </c>
    </row>
    <row r="84" spans="1:11" ht="13">
      <c r="A84" s="109"/>
      <c r="B84" s="45" t="s">
        <v>220</v>
      </c>
      <c r="C84" s="15"/>
      <c r="D84" s="15"/>
      <c r="E84" s="15"/>
      <c r="F84" s="15"/>
      <c r="G84" s="15"/>
      <c r="H84" s="15"/>
      <c r="I84" s="15"/>
      <c r="J84" s="15"/>
      <c r="K84" s="48"/>
    </row>
    <row r="85" spans="1:11" ht="13">
      <c r="A85" s="109">
        <f>A82+1</f>
        <v>48</v>
      </c>
      <c r="B85" s="15" t="s">
        <v>254</v>
      </c>
      <c r="C85" s="15"/>
      <c r="D85" s="15"/>
      <c r="E85" s="15"/>
      <c r="F85" s="15"/>
      <c r="G85" s="15"/>
      <c r="I85" s="12" t="str">
        <f>"Line "&amp;A65&amp;""</f>
        <v>Line 39</v>
      </c>
      <c r="J85" s="15"/>
      <c r="K85" s="48">
        <f>K65</f>
        <v>4.4426178041002594E-2</v>
      </c>
    </row>
    <row r="86" spans="1:11" ht="13">
      <c r="A86" s="109">
        <f>A85+1</f>
        <v>49</v>
      </c>
      <c r="B86" s="465" t="s">
        <v>43</v>
      </c>
      <c r="C86" s="15"/>
      <c r="D86" s="15"/>
      <c r="E86" s="15"/>
      <c r="F86" s="15"/>
      <c r="G86" s="15"/>
      <c r="I86" s="12" t="str">
        <f>"Line "&amp;A70&amp;""</f>
        <v>Line 42</v>
      </c>
      <c r="J86" s="15"/>
      <c r="K86" s="48">
        <f>K70</f>
        <v>5.8432384142397376E-2</v>
      </c>
    </row>
    <row r="87" spans="1:11" ht="13">
      <c r="A87" s="109">
        <f>A86+1</f>
        <v>50</v>
      </c>
      <c r="B87" s="465" t="s">
        <v>1709</v>
      </c>
      <c r="C87" s="15"/>
      <c r="D87" s="15"/>
      <c r="E87" s="15"/>
      <c r="F87" s="15"/>
      <c r="G87" s="15"/>
      <c r="H87" s="463" t="s">
        <v>360</v>
      </c>
      <c r="I87" s="15" t="s">
        <v>213</v>
      </c>
      <c r="J87" s="15"/>
      <c r="K87" s="1238">
        <v>0.10299999999999999</v>
      </c>
    </row>
    <row r="88" spans="1:11" ht="13">
      <c r="A88" s="109"/>
      <c r="B88" s="15"/>
      <c r="C88" s="15"/>
      <c r="D88" s="15"/>
      <c r="E88" s="15"/>
      <c r="F88" s="15"/>
      <c r="G88" s="15"/>
      <c r="I88" s="69"/>
      <c r="J88" s="15"/>
      <c r="K88" s="48"/>
    </row>
    <row r="89" spans="1:11" ht="13">
      <c r="A89" s="109"/>
      <c r="B89" s="45" t="s">
        <v>259</v>
      </c>
      <c r="C89" s="15"/>
      <c r="D89" s="15"/>
      <c r="E89" s="15"/>
      <c r="F89" s="15"/>
      <c r="G89" s="15"/>
      <c r="H89" s="15"/>
      <c r="I89" s="15"/>
      <c r="J89" s="15"/>
      <c r="K89" s="15"/>
    </row>
    <row r="90" spans="1:11" ht="13">
      <c r="A90" s="109">
        <f>A87+1</f>
        <v>51</v>
      </c>
      <c r="B90" s="15" t="s">
        <v>50</v>
      </c>
      <c r="C90" s="15"/>
      <c r="D90" s="15"/>
      <c r="E90" s="15"/>
      <c r="F90" s="15"/>
      <c r="G90" s="15"/>
      <c r="I90" s="15" t="str">
        <f>"Line "&amp;A65&amp;" * Line "&amp;A80&amp;""</f>
        <v>Line 39 * Line 45</v>
      </c>
      <c r="J90" s="15"/>
      <c r="K90" s="48">
        <f>K65*K80</f>
        <v>2.0688402678787333E-2</v>
      </c>
    </row>
    <row r="91" spans="1:11" ht="13">
      <c r="A91" s="109">
        <f>A90+1</f>
        <v>52</v>
      </c>
      <c r="B91" s="465" t="s">
        <v>51</v>
      </c>
      <c r="C91" s="15"/>
      <c r="D91" s="15"/>
      <c r="E91" s="15"/>
      <c r="F91" s="15"/>
      <c r="G91" s="15"/>
      <c r="I91" s="15" t="str">
        <f>"Line "&amp;A70&amp;" * Line "&amp;A81&amp;""</f>
        <v>Line 42 * Line 46</v>
      </c>
      <c r="J91" s="15"/>
      <c r="K91" s="48">
        <f>K70*K81</f>
        <v>3.4661826053399079E-3</v>
      </c>
    </row>
    <row r="92" spans="1:11" ht="13">
      <c r="A92" s="109">
        <f>A91+1</f>
        <v>53</v>
      </c>
      <c r="B92" s="15" t="s">
        <v>52</v>
      </c>
      <c r="C92" s="15"/>
      <c r="D92" s="15"/>
      <c r="E92" s="15"/>
      <c r="F92" s="15"/>
      <c r="G92" s="15"/>
      <c r="I92" s="15" t="str">
        <f>"Line "&amp;A82&amp;" * Line "&amp;A87&amp;""</f>
        <v>Line 47 * Line 50</v>
      </c>
      <c r="J92" s="15"/>
      <c r="K92" s="49">
        <f>K82*K87</f>
        <v>4.8924999999999996E-2</v>
      </c>
    </row>
    <row r="93" spans="1:11" ht="13">
      <c r="A93" s="109">
        <f>A92+1</f>
        <v>54</v>
      </c>
      <c r="B93" s="46" t="s">
        <v>53</v>
      </c>
      <c r="C93" s="15"/>
      <c r="D93" s="15"/>
      <c r="E93" s="15"/>
      <c r="F93" s="15"/>
      <c r="G93" s="15"/>
      <c r="H93" s="14"/>
      <c r="I93" s="15" t="str">
        <f>"Line "&amp;A90&amp;" + Line "&amp;A91&amp;" + Line "&amp;A92&amp;""</f>
        <v>Line 51 + Line 52 + Line 53</v>
      </c>
      <c r="J93" s="15"/>
      <c r="K93" s="389">
        <f>SUM(K90:K92)</f>
        <v>7.3079585284127238E-2</v>
      </c>
    </row>
    <row r="94" spans="1:11" ht="13">
      <c r="A94" s="109"/>
      <c r="B94" s="46"/>
      <c r="C94" s="15"/>
      <c r="D94" s="15"/>
      <c r="E94" s="15"/>
      <c r="F94" s="15"/>
      <c r="G94" s="15"/>
      <c r="I94" s="15"/>
      <c r="J94" s="15"/>
      <c r="K94" s="1084"/>
    </row>
    <row r="95" spans="1:11" ht="13">
      <c r="A95" s="109">
        <f>A93+1</f>
        <v>55</v>
      </c>
      <c r="B95" s="841" t="s">
        <v>1710</v>
      </c>
      <c r="C95" s="15"/>
      <c r="D95" s="15"/>
      <c r="E95" s="15"/>
      <c r="F95" s="15"/>
      <c r="G95" s="15"/>
      <c r="H95" s="15" t="s">
        <v>215</v>
      </c>
      <c r="I95" s="15" t="str">
        <f>"Line "&amp;A91&amp;" + Line "&amp;A92&amp;""</f>
        <v>Line 52 + Line 53</v>
      </c>
      <c r="J95" s="15"/>
      <c r="K95" s="389">
        <f>K91+K92</f>
        <v>5.2391182605339905E-2</v>
      </c>
    </row>
    <row r="96" spans="1:11" ht="13">
      <c r="A96" s="109"/>
      <c r="B96" s="15"/>
      <c r="C96" s="15"/>
      <c r="D96" s="15"/>
      <c r="E96" s="15"/>
      <c r="F96" s="15"/>
      <c r="G96" s="15"/>
      <c r="I96" s="15"/>
      <c r="J96" s="15"/>
      <c r="K96" s="1084"/>
    </row>
    <row r="97" spans="1:11" ht="13">
      <c r="A97" s="109">
        <f>A95+1</f>
        <v>56</v>
      </c>
      <c r="B97" s="15" t="s">
        <v>54</v>
      </c>
      <c r="C97" s="15"/>
      <c r="D97" s="15"/>
      <c r="E97" s="15"/>
      <c r="F97" s="15"/>
      <c r="G97" s="15"/>
      <c r="I97" s="15" t="str">
        <f>"Line "&amp;A34&amp;" * Line "&amp;A93&amp;""</f>
        <v>Line 18 * Line 54</v>
      </c>
      <c r="J97" s="15"/>
      <c r="K97" s="47">
        <f>K34*K93</f>
        <v>518764951.00841379</v>
      </c>
    </row>
    <row r="98" spans="1:11">
      <c r="A98" s="105"/>
      <c r="B98" s="12"/>
      <c r="C98" s="12"/>
      <c r="D98" s="12"/>
      <c r="E98" s="12"/>
      <c r="F98" s="12"/>
      <c r="G98" s="12"/>
      <c r="H98" s="12"/>
      <c r="I98" s="12"/>
      <c r="J98" s="12"/>
      <c r="K98" s="12"/>
    </row>
    <row r="99" spans="1:11">
      <c r="A99" s="15"/>
      <c r="B99" s="12"/>
      <c r="C99" s="12"/>
      <c r="D99" s="12"/>
      <c r="E99" s="12"/>
      <c r="F99" s="12"/>
      <c r="G99" s="12"/>
      <c r="H99" s="12"/>
      <c r="I99" s="12"/>
      <c r="J99" s="12"/>
      <c r="K99" s="12"/>
    </row>
    <row r="100" spans="1:11" ht="13">
      <c r="A100" s="1230" t="s">
        <v>178</v>
      </c>
      <c r="B100" s="11"/>
      <c r="C100" s="11"/>
      <c r="D100" s="11"/>
      <c r="E100" s="11"/>
      <c r="F100" s="11"/>
      <c r="G100" s="11"/>
      <c r="H100" s="9"/>
      <c r="I100" s="9"/>
      <c r="J100" s="9"/>
      <c r="K100" s="9"/>
    </row>
    <row r="101" spans="1:11">
      <c r="A101" s="14"/>
    </row>
    <row r="102" spans="1:11" ht="13">
      <c r="A102" s="109">
        <f>A97+1</f>
        <v>57</v>
      </c>
      <c r="B102" t="s">
        <v>214</v>
      </c>
      <c r="I102" s="14" t="str">
        <f>"26-Tax Rates, Line "&amp;'26-TaxRates'!A7&amp;""</f>
        <v>26-Tax Rates, Line 1</v>
      </c>
      <c r="K102" s="67">
        <f>'26-TaxRates'!D7</f>
        <v>0.21</v>
      </c>
    </row>
    <row r="103" spans="1:11" ht="13">
      <c r="A103" s="109">
        <f>A102+1</f>
        <v>58</v>
      </c>
      <c r="B103" s="12" t="s">
        <v>258</v>
      </c>
      <c r="I103" s="14" t="str">
        <f>"26-Tax Rates, Line "&amp;'26-TaxRates'!A14&amp;""</f>
        <v>26-Tax Rates, Line 8</v>
      </c>
      <c r="K103" s="67">
        <f>'26-TaxRates'!D14</f>
        <v>8.8400000000000006E-2</v>
      </c>
    </row>
    <row r="104" spans="1:11" ht="13">
      <c r="A104" s="109">
        <f>A103+1</f>
        <v>59</v>
      </c>
      <c r="B104" s="12" t="s">
        <v>257</v>
      </c>
      <c r="H104" s="52" t="s">
        <v>1630</v>
      </c>
      <c r="I104" s="12" t="str">
        <f>"(L"&amp;A102&amp;" + L"&amp;A103&amp;") - (L"&amp;A102&amp;" * L"&amp;A103&amp;")"</f>
        <v>(L57 + L58) - (L57 * L58)</v>
      </c>
      <c r="K104" s="8">
        <f>(K102+K103)-(K102*K103)</f>
        <v>0.27983599999999997</v>
      </c>
    </row>
    <row r="105" spans="1:11" ht="13">
      <c r="A105" s="109"/>
      <c r="K105" s="8"/>
    </row>
    <row r="106" spans="1:11" ht="13">
      <c r="A106" s="109"/>
      <c r="B106" s="75" t="s">
        <v>260</v>
      </c>
      <c r="K106" s="8"/>
    </row>
    <row r="107" spans="1:11" ht="13">
      <c r="A107" s="109">
        <f>A104+1</f>
        <v>60</v>
      </c>
      <c r="B107" s="533" t="s">
        <v>2655</v>
      </c>
      <c r="C107" s="14"/>
      <c r="D107" s="14"/>
      <c r="E107" s="14"/>
      <c r="F107" s="14"/>
      <c r="G107" s="14"/>
      <c r="H107" s="463"/>
      <c r="I107" s="461" t="s">
        <v>2704</v>
      </c>
      <c r="K107" s="63">
        <f>-'9-ADIT-2'!I49</f>
        <v>-19087293</v>
      </c>
    </row>
    <row r="108" spans="1:11" ht="13">
      <c r="A108" s="109">
        <f>A107+1</f>
        <v>61</v>
      </c>
      <c r="B108" s="533" t="s">
        <v>1806</v>
      </c>
      <c r="C108" s="14"/>
      <c r="D108" s="14"/>
      <c r="E108" s="14"/>
      <c r="F108" s="14"/>
      <c r="G108" s="14"/>
      <c r="H108" s="463" t="s">
        <v>1151</v>
      </c>
      <c r="I108" s="14"/>
      <c r="K108" s="977">
        <v>0</v>
      </c>
    </row>
    <row r="109" spans="1:11" ht="13">
      <c r="A109" s="109">
        <f t="shared" ref="A109:A110" si="2">A108+1</f>
        <v>62</v>
      </c>
      <c r="B109" s="533" t="s">
        <v>1807</v>
      </c>
      <c r="C109" s="14"/>
      <c r="D109" s="14"/>
      <c r="E109" s="14"/>
      <c r="F109" s="14"/>
      <c r="G109" s="14"/>
      <c r="H109" s="463" t="s">
        <v>1151</v>
      </c>
      <c r="I109" s="14"/>
      <c r="K109" s="110">
        <v>2606000</v>
      </c>
    </row>
    <row r="110" spans="1:11" ht="13">
      <c r="A110" s="109">
        <f t="shared" si="2"/>
        <v>63</v>
      </c>
      <c r="B110" s="13" t="s">
        <v>261</v>
      </c>
      <c r="I110" s="463" t="str">
        <f>"Line "&amp;A107&amp;" + Line "&amp;A108&amp;"+ Line "&amp;A109&amp;""</f>
        <v>Line 60 + Line 61+ Line 62</v>
      </c>
      <c r="K110" s="63">
        <f>SUM(K107:K109)</f>
        <v>-16481293</v>
      </c>
    </row>
    <row r="111" spans="1:11" ht="13">
      <c r="A111" s="1113"/>
    </row>
    <row r="112" spans="1:11" ht="13">
      <c r="A112" s="109">
        <f>A110+1</f>
        <v>64</v>
      </c>
      <c r="B112" s="12" t="s">
        <v>262</v>
      </c>
      <c r="I112" t="str">
        <f>"Formula on Line "&amp;A114&amp;""</f>
        <v>Formula on Line 65</v>
      </c>
      <c r="K112" s="63">
        <f>(((K34*K95) + K121)*(K104/(1-K104)))+(K110/(1-K104))</f>
        <v>123331954.42784502</v>
      </c>
    </row>
    <row r="113" spans="1:11" ht="13">
      <c r="A113" s="109"/>
    </row>
    <row r="114" spans="1:11" ht="13">
      <c r="A114" s="109">
        <f>A112+1</f>
        <v>65</v>
      </c>
      <c r="B114" s="465" t="s">
        <v>2144</v>
      </c>
      <c r="C114" s="465"/>
      <c r="D114" s="465"/>
      <c r="E114" s="465"/>
      <c r="F114" s="465"/>
      <c r="G114" s="465"/>
    </row>
    <row r="115" spans="1:11">
      <c r="A115" s="838"/>
      <c r="I115" s="12"/>
    </row>
    <row r="116" spans="1:11">
      <c r="A116" s="838"/>
      <c r="C116" t="s">
        <v>216</v>
      </c>
    </row>
    <row r="117" spans="1:11">
      <c r="A117" s="838"/>
      <c r="C117" s="112" t="s">
        <v>217</v>
      </c>
      <c r="D117" s="14"/>
      <c r="E117" s="14"/>
      <c r="F117" s="14"/>
      <c r="G117" s="14"/>
      <c r="H117" s="14"/>
      <c r="I117" s="15" t="str">
        <f>"Line "&amp;A34&amp;""</f>
        <v>Line 18</v>
      </c>
    </row>
    <row r="118" spans="1:11">
      <c r="A118" s="838"/>
      <c r="C118" s="462" t="s">
        <v>1711</v>
      </c>
      <c r="D118" s="14"/>
      <c r="E118" s="14"/>
      <c r="F118" s="14"/>
      <c r="G118" s="14"/>
      <c r="H118" s="14"/>
      <c r="I118" s="15" t="str">
        <f>"Line "&amp;A95&amp;""</f>
        <v>Line 55</v>
      </c>
    </row>
    <row r="119" spans="1:11">
      <c r="A119" s="838"/>
      <c r="C119" s="112" t="s">
        <v>218</v>
      </c>
      <c r="D119" s="14"/>
      <c r="E119" s="14"/>
      <c r="F119" s="14"/>
      <c r="G119" s="14"/>
      <c r="H119" s="14"/>
      <c r="I119" s="15" t="str">
        <f>"Line "&amp;A104&amp;""</f>
        <v>Line 59</v>
      </c>
    </row>
    <row r="120" spans="1:11">
      <c r="A120" s="838"/>
      <c r="C120" s="112" t="s">
        <v>219</v>
      </c>
      <c r="D120" s="14"/>
      <c r="E120" s="14"/>
      <c r="F120" s="14"/>
      <c r="G120" s="14"/>
      <c r="H120" s="14"/>
      <c r="I120" s="15" t="str">
        <f>"Line "&amp;A110&amp;""</f>
        <v>Line 63</v>
      </c>
    </row>
    <row r="121" spans="1:11">
      <c r="A121" s="838"/>
      <c r="C121" s="462" t="s">
        <v>1708</v>
      </c>
      <c r="D121" s="14"/>
      <c r="E121" s="14"/>
      <c r="F121" s="14"/>
      <c r="G121" s="14"/>
      <c r="H121" s="842" t="s">
        <v>2531</v>
      </c>
      <c r="I121" s="961" t="s">
        <v>2938</v>
      </c>
      <c r="K121" s="493">
        <v>4388079</v>
      </c>
    </row>
    <row r="122" spans="1:11">
      <c r="A122" s="14"/>
      <c r="H122" s="37"/>
    </row>
    <row r="123" spans="1:11" ht="13">
      <c r="A123" s="1230" t="s">
        <v>62</v>
      </c>
      <c r="B123" s="11"/>
      <c r="C123" s="11"/>
      <c r="D123" s="11"/>
      <c r="E123" s="11"/>
      <c r="F123" s="11"/>
      <c r="G123" s="11"/>
      <c r="H123" s="9"/>
      <c r="I123" s="9"/>
      <c r="J123" s="9"/>
      <c r="K123" s="9"/>
    </row>
    <row r="124" spans="1:11">
      <c r="A124" s="14"/>
    </row>
    <row r="125" spans="1:11">
      <c r="A125" s="14"/>
      <c r="B125" s="75" t="s">
        <v>263</v>
      </c>
      <c r="K125" s="14"/>
    </row>
    <row r="126" spans="1:11" ht="13">
      <c r="A126" s="109">
        <f>A114+1</f>
        <v>66</v>
      </c>
      <c r="B126" t="s">
        <v>101</v>
      </c>
      <c r="H126" s="16"/>
      <c r="I126" s="14" t="str">
        <f>"19-OandM, Line "&amp;'19-OandM'!A124&amp;", Col. 6"</f>
        <v>19-OandM, Line 91, Col. 6</v>
      </c>
      <c r="K126" s="63">
        <f>'19-OandM'!G124</f>
        <v>126658024.02530475</v>
      </c>
    </row>
    <row r="127" spans="1:11" ht="13">
      <c r="A127" s="109">
        <f t="shared" ref="A127:A142" si="3">A126+1</f>
        <v>67</v>
      </c>
      <c r="B127" s="12" t="s">
        <v>264</v>
      </c>
      <c r="H127" s="16"/>
      <c r="I127" s="14" t="str">
        <f>"20-AandG, Line "&amp;'20-AandG'!A30&amp;""</f>
        <v>20-AandG, Line 23</v>
      </c>
      <c r="K127" s="63">
        <f>'20-AandG'!F30</f>
        <v>173896926.81965989</v>
      </c>
    </row>
    <row r="128" spans="1:11" ht="13">
      <c r="A128" s="109">
        <f t="shared" si="3"/>
        <v>68</v>
      </c>
      <c r="B128" t="s">
        <v>56</v>
      </c>
      <c r="H128" s="16"/>
      <c r="I128" s="15" t="str">
        <f>"22-NUCs, Line "&amp;'22-NUCs'!A17&amp;""</f>
        <v>22-NUCs, Line 8</v>
      </c>
      <c r="K128" s="63">
        <f>'22-NUCs'!E17</f>
        <v>2371003</v>
      </c>
    </row>
    <row r="129" spans="1:11" ht="13">
      <c r="A129" s="109">
        <f t="shared" si="3"/>
        <v>69</v>
      </c>
      <c r="B129" s="12" t="s">
        <v>250</v>
      </c>
      <c r="H129" s="16"/>
      <c r="I129" s="14" t="str">
        <f>"17-Depreciation, Line "&amp;'17-Depreciation'!A94&amp;""</f>
        <v>17-Depreciation, Line 70</v>
      </c>
      <c r="K129" s="63">
        <f>'17-Depreciation'!F94</f>
        <v>274400278.25405085</v>
      </c>
    </row>
    <row r="130" spans="1:11" ht="13">
      <c r="A130" s="109">
        <f t="shared" si="3"/>
        <v>70</v>
      </c>
      <c r="B130" s="12" t="s">
        <v>291</v>
      </c>
      <c r="H130" s="16"/>
      <c r="I130" s="14" t="str">
        <f>"12-AbandonedPlant, Line "&amp;'12-AbandonedPlant'!A18&amp;""</f>
        <v>12-AbandonedPlant, Line 1</v>
      </c>
      <c r="K130" s="63">
        <f>'12-AbandonedPlant'!G18</f>
        <v>0</v>
      </c>
    </row>
    <row r="131" spans="1:11" ht="13">
      <c r="A131" s="109">
        <f t="shared" si="3"/>
        <v>71</v>
      </c>
      <c r="B131" s="12" t="s">
        <v>79</v>
      </c>
      <c r="H131" s="16"/>
      <c r="I131" s="14" t="str">
        <f>"Line "&amp;A58&amp;""</f>
        <v>Line 36</v>
      </c>
      <c r="K131" s="63">
        <f>K58</f>
        <v>71871386.440174356</v>
      </c>
    </row>
    <row r="132" spans="1:11" ht="13">
      <c r="A132" s="109">
        <f t="shared" si="3"/>
        <v>72</v>
      </c>
      <c r="B132" t="s">
        <v>11</v>
      </c>
      <c r="H132" s="46" t="s">
        <v>151</v>
      </c>
      <c r="I132" s="14" t="str">
        <f>"21-Revenue Credits, Line "&amp;'21-RevenueCredits'!A249&amp;""</f>
        <v>21-Revenue Credits, Line 44</v>
      </c>
      <c r="K132" s="63">
        <f>-'21-RevenueCredits'!E249</f>
        <v>-48067624.029856279</v>
      </c>
    </row>
    <row r="133" spans="1:11" ht="13">
      <c r="A133" s="109">
        <f t="shared" si="3"/>
        <v>73</v>
      </c>
      <c r="B133" t="s">
        <v>87</v>
      </c>
      <c r="H133" s="16"/>
      <c r="I133" s="14" t="str">
        <f>"Line "&amp;A97&amp;""</f>
        <v>Line 56</v>
      </c>
      <c r="K133" s="63">
        <f>K97</f>
        <v>518764951.00841379</v>
      </c>
    </row>
    <row r="134" spans="1:11" ht="13">
      <c r="A134" s="109">
        <f t="shared" si="3"/>
        <v>74</v>
      </c>
      <c r="B134" t="s">
        <v>5</v>
      </c>
      <c r="H134" s="16"/>
      <c r="I134" s="14" t="str">
        <f>"Line "&amp;A112&amp;""</f>
        <v>Line 64</v>
      </c>
      <c r="K134" s="47">
        <f>K112</f>
        <v>123331954.42784502</v>
      </c>
    </row>
    <row r="135" spans="1:11" ht="13">
      <c r="A135" s="109">
        <f t="shared" si="3"/>
        <v>75</v>
      </c>
      <c r="B135" t="s">
        <v>946</v>
      </c>
      <c r="H135" s="13" t="s">
        <v>1146</v>
      </c>
      <c r="I135" s="15" t="str">
        <f>"11-PHFU, Line "&amp;'11-PHFU'!A47&amp;""</f>
        <v>11-PHFU, Line 10</v>
      </c>
      <c r="K135" s="47">
        <f>-'11-PHFU'!E47</f>
        <v>0</v>
      </c>
    </row>
    <row r="136" spans="1:11" ht="13">
      <c r="A136" s="109">
        <f t="shared" si="3"/>
        <v>76</v>
      </c>
      <c r="B136" s="565" t="s">
        <v>1697</v>
      </c>
      <c r="C136" s="669"/>
      <c r="D136" s="14"/>
      <c r="E136" s="14"/>
      <c r="H136" s="16"/>
      <c r="I136" s="15" t="str">
        <f>"23-RegAssets, Line "&amp;'23-RegAssets'!A19&amp;""</f>
        <v>23-RegAssets, Line 16</v>
      </c>
      <c r="K136" s="47">
        <f>'23-RegAssets'!E19</f>
        <v>0</v>
      </c>
    </row>
    <row r="137" spans="1:11" ht="13">
      <c r="A137" s="109">
        <f t="shared" si="3"/>
        <v>77</v>
      </c>
      <c r="B137" s="12" t="s">
        <v>265</v>
      </c>
      <c r="H137" s="16"/>
      <c r="I137" s="14" t="str">
        <f>"15-IncentiveAdder, Line "&amp;'15-IncentiveAdder'!A44&amp;""</f>
        <v>15-IncentiveAdder, Line 14</v>
      </c>
      <c r="K137" s="477">
        <f>'15-IncentiveAdder'!G44</f>
        <v>25580296.520964429</v>
      </c>
    </row>
    <row r="138" spans="1:11" s="955" customFormat="1" ht="13">
      <c r="A138" s="109" t="s">
        <v>2528</v>
      </c>
      <c r="B138" s="465" t="s">
        <v>2477</v>
      </c>
      <c r="C138" s="14"/>
      <c r="D138" s="14"/>
      <c r="E138" s="14"/>
      <c r="F138" s="14"/>
      <c r="G138" s="14"/>
      <c r="H138" s="462" t="s">
        <v>1168</v>
      </c>
      <c r="I138" s="465" t="s">
        <v>2529</v>
      </c>
      <c r="J138" s="14"/>
      <c r="K138" s="110">
        <f>-K137</f>
        <v>-25580296.520964429</v>
      </c>
    </row>
    <row r="139" spans="1:11" ht="13">
      <c r="A139" s="109">
        <f>A137+1</f>
        <v>78</v>
      </c>
      <c r="B139" s="15" t="s">
        <v>1429</v>
      </c>
      <c r="C139" s="14"/>
      <c r="D139" s="14"/>
      <c r="E139" s="14"/>
      <c r="F139" s="14"/>
      <c r="G139" s="14"/>
      <c r="H139" s="112"/>
      <c r="I139" s="14" t="str">
        <f>"Sum of Lines "&amp;A126&amp;" to "&amp;A138&amp;""</f>
        <v>Sum of Lines 66 to 77a</v>
      </c>
      <c r="J139" s="14"/>
      <c r="K139" s="63">
        <f>SUM(K126:K138)</f>
        <v>1243226899.9455924</v>
      </c>
    </row>
    <row r="140" spans="1:11" ht="13">
      <c r="A140" s="1113"/>
      <c r="B140" s="12"/>
      <c r="H140" s="16"/>
      <c r="I140" s="14"/>
      <c r="K140" s="63"/>
    </row>
    <row r="141" spans="1:11" ht="13">
      <c r="A141" s="109">
        <f>A139+1</f>
        <v>79</v>
      </c>
      <c r="B141" s="12" t="s">
        <v>286</v>
      </c>
      <c r="I141" s="14" t="str">
        <f>"L "&amp;A139&amp;" * FF Factor (28-FFU, L "&amp;'28-FFU'!A22&amp;")"</f>
        <v>L 78 * FF Factor (28-FFU, L 5)</v>
      </c>
      <c r="J141" s="14"/>
      <c r="K141" s="63">
        <f>'28-FFU'!D22*K139</f>
        <v>11497459.178699581</v>
      </c>
    </row>
    <row r="142" spans="1:11" ht="13">
      <c r="A142" s="109">
        <f t="shared" si="3"/>
        <v>80</v>
      </c>
      <c r="B142" s="12" t="s">
        <v>285</v>
      </c>
      <c r="I142" s="14" t="str">
        <f>"L "&amp;A139&amp;" * U Factor (28-FFU, L "&amp;'28-FFU'!A22&amp;")"</f>
        <v>L 78 * U Factor (28-FFU, L 5)</v>
      </c>
      <c r="J142" s="14"/>
      <c r="K142" s="63">
        <f>'28-FFU'!E22*K139</f>
        <v>14184095.660442838</v>
      </c>
    </row>
    <row r="143" spans="1:11" ht="13">
      <c r="A143" s="109"/>
      <c r="B143" s="12"/>
      <c r="K143" s="63"/>
    </row>
    <row r="144" spans="1:11" ht="13">
      <c r="A144" s="109">
        <f>A142+1</f>
        <v>81</v>
      </c>
      <c r="B144" s="12" t="s">
        <v>95</v>
      </c>
      <c r="I144" t="str">
        <f>"Line "&amp;A139&amp;" + Line "&amp;A141&amp;"+ Line "&amp;A142&amp;""</f>
        <v>Line 78 + Line 79+ Line 80</v>
      </c>
      <c r="K144" s="63">
        <f>K139+K141+K142</f>
        <v>1268908454.7847347</v>
      </c>
    </row>
    <row r="146" spans="1:12" ht="13">
      <c r="A146" s="10" t="s">
        <v>266</v>
      </c>
      <c r="B146" s="11"/>
      <c r="C146" s="11"/>
      <c r="D146" s="11"/>
      <c r="E146" s="11"/>
      <c r="F146" s="11"/>
      <c r="G146" s="11"/>
      <c r="H146" s="9"/>
      <c r="I146" s="9"/>
      <c r="J146" s="9"/>
      <c r="K146" s="9"/>
    </row>
    <row r="148" spans="1:12">
      <c r="B148" s="75" t="s">
        <v>1620</v>
      </c>
    </row>
    <row r="149" spans="1:12" ht="13">
      <c r="A149" s="109">
        <f>A144+1</f>
        <v>82</v>
      </c>
      <c r="B149" t="s">
        <v>95</v>
      </c>
      <c r="I149" t="str">
        <f>"Line "&amp;A144&amp;""</f>
        <v>Line 81</v>
      </c>
      <c r="K149" s="63">
        <f>K144</f>
        <v>1268908454.7847347</v>
      </c>
    </row>
    <row r="150" spans="1:12" ht="13">
      <c r="A150" s="109">
        <f>A149+1</f>
        <v>83</v>
      </c>
      <c r="B150" t="s">
        <v>318</v>
      </c>
      <c r="I150" s="15" t="str">
        <f>"2-IFPTRR, Line "&amp;'2-IFPTRR'!A91&amp;""</f>
        <v>2-IFPTRR, Line 82</v>
      </c>
      <c r="K150" s="63">
        <f>'2-IFPTRR'!D91</f>
        <v>111053394.17650577</v>
      </c>
    </row>
    <row r="151" spans="1:12" ht="13">
      <c r="A151" s="109">
        <f>A150+1</f>
        <v>84</v>
      </c>
      <c r="B151" s="12" t="s">
        <v>29</v>
      </c>
      <c r="H151" s="12"/>
      <c r="I151" s="15" t="str">
        <f>"3-TrueUpAdjust, Line "&amp;'3-TrueUpAdjust'!A44&amp;""</f>
        <v>3-TrueUpAdjust, Line 30</v>
      </c>
      <c r="K151" s="47">
        <f>'3-TrueUpAdjust'!E44</f>
        <v>94363374.763465494</v>
      </c>
      <c r="L151" s="98"/>
    </row>
    <row r="152" spans="1:12" ht="13">
      <c r="A152" s="109">
        <f>A151+1</f>
        <v>85</v>
      </c>
      <c r="B152" s="465" t="s">
        <v>1869</v>
      </c>
      <c r="C152" s="14"/>
      <c r="H152" s="463" t="s">
        <v>1166</v>
      </c>
      <c r="I152" s="14"/>
      <c r="K152" s="1493">
        <v>-61836339.415380299</v>
      </c>
    </row>
    <row r="153" spans="1:12" ht="13">
      <c r="A153" s="109"/>
      <c r="I153" s="14"/>
      <c r="K153" s="7"/>
    </row>
    <row r="154" spans="1:12" ht="13">
      <c r="A154" s="109">
        <f>A152+1</f>
        <v>86</v>
      </c>
      <c r="B154" s="463" t="s">
        <v>1618</v>
      </c>
      <c r="H154" s="12" t="s">
        <v>267</v>
      </c>
      <c r="I154" s="14" t="str">
        <f>"L "&amp;A149&amp;" + L "&amp;A150&amp;" + L "&amp;A151&amp;" + L "&amp;A152&amp;""</f>
        <v>L 82 + L 83 + L 84 + L 85</v>
      </c>
      <c r="K154" s="63">
        <f>K149+K150+K151+K152</f>
        <v>1412488884.3093257</v>
      </c>
      <c r="L154" s="7"/>
    </row>
    <row r="155" spans="1:12" ht="13">
      <c r="A155" s="109"/>
      <c r="I155" s="14"/>
      <c r="K155" s="7"/>
    </row>
    <row r="156" spans="1:12" ht="13">
      <c r="A156" s="109"/>
      <c r="B156" s="75" t="s">
        <v>1619</v>
      </c>
      <c r="I156" s="14"/>
      <c r="K156" s="7"/>
    </row>
    <row r="157" spans="1:12" ht="13">
      <c r="A157" s="109">
        <f>A154+1</f>
        <v>87</v>
      </c>
      <c r="B157" t="s">
        <v>1360</v>
      </c>
      <c r="I157" s="14" t="str">
        <f>"Line "&amp;A154&amp;""</f>
        <v>Line 86</v>
      </c>
      <c r="K157" s="63">
        <f>K154</f>
        <v>1412488884.3093257</v>
      </c>
    </row>
    <row r="158" spans="1:12" ht="13">
      <c r="A158" s="109">
        <f>A157+1</f>
        <v>88</v>
      </c>
      <c r="B158" t="s">
        <v>1359</v>
      </c>
      <c r="I158" s="15" t="str">
        <f>"25-WholesaleDifference, Line "&amp;'25-WholesaleDifference'!A93&amp;""</f>
        <v>25-WholesaleDifference, Line 45</v>
      </c>
      <c r="K158" s="110">
        <f>'25-WholesaleDifference'!H93</f>
        <v>-17629505.630640674</v>
      </c>
    </row>
    <row r="159" spans="1:12" ht="13">
      <c r="A159" s="109">
        <f>A158+1</f>
        <v>89</v>
      </c>
      <c r="B159" t="s">
        <v>1619</v>
      </c>
      <c r="I159" t="str">
        <f>"Line "&amp;A157&amp;" + Line "&amp;A158&amp;""</f>
        <v>Line 87 + Line 88</v>
      </c>
      <c r="K159" s="63">
        <f>K157+K158</f>
        <v>1394859378.6786849</v>
      </c>
    </row>
    <row r="160" spans="1:12">
      <c r="A160" s="14"/>
      <c r="H160" s="12"/>
    </row>
    <row r="161" spans="2:14" ht="13">
      <c r="B161" s="51" t="s">
        <v>230</v>
      </c>
    </row>
    <row r="162" spans="2:14" s="955" customFormat="1">
      <c r="B162" s="463" t="s">
        <v>2268</v>
      </c>
    </row>
    <row r="163" spans="2:14" s="955" customFormat="1">
      <c r="B163" s="467" t="s">
        <v>2269</v>
      </c>
    </row>
    <row r="164" spans="2:14">
      <c r="B164" s="465" t="s">
        <v>2270</v>
      </c>
      <c r="C164" s="14"/>
      <c r="D164" s="14"/>
      <c r="E164" s="14"/>
      <c r="F164" s="14"/>
      <c r="G164" s="14"/>
      <c r="H164" s="14"/>
      <c r="I164" s="14"/>
      <c r="J164" s="14"/>
      <c r="K164" s="14"/>
      <c r="M164" s="955"/>
      <c r="N164" s="955"/>
    </row>
    <row r="165" spans="2:14">
      <c r="B165" s="463" t="s">
        <v>2705</v>
      </c>
    </row>
    <row r="166" spans="2:14">
      <c r="B166" s="465" t="s">
        <v>1801</v>
      </c>
      <c r="C166" s="14"/>
      <c r="D166" s="14"/>
      <c r="E166" s="14"/>
      <c r="F166" s="14"/>
      <c r="G166" s="14"/>
      <c r="H166" s="14"/>
      <c r="I166" s="14"/>
      <c r="J166" s="14"/>
      <c r="K166" s="14"/>
    </row>
    <row r="167" spans="2:14">
      <c r="B167" s="465"/>
      <c r="C167" s="14" t="s">
        <v>1800</v>
      </c>
      <c r="D167" s="14"/>
      <c r="E167" s="14"/>
      <c r="F167" s="961" t="s">
        <v>2827</v>
      </c>
      <c r="G167" s="96"/>
      <c r="H167" s="96"/>
      <c r="I167" s="96"/>
      <c r="J167" s="14"/>
      <c r="K167" s="14"/>
      <c r="M167" s="955"/>
    </row>
    <row r="168" spans="2:14">
      <c r="B168" s="463" t="s">
        <v>2441</v>
      </c>
      <c r="C168" s="465"/>
      <c r="D168" s="465"/>
      <c r="E168" s="465"/>
      <c r="F168" s="465"/>
      <c r="G168" s="465"/>
      <c r="H168" s="465"/>
      <c r="I168" s="14"/>
      <c r="M168" s="955"/>
    </row>
    <row r="169" spans="2:14">
      <c r="B169" s="467" t="s">
        <v>2411</v>
      </c>
    </row>
    <row r="170" spans="2:14">
      <c r="B170" s="467" t="s">
        <v>2412</v>
      </c>
      <c r="M170" s="7"/>
    </row>
    <row r="171" spans="2:14">
      <c r="B171" s="465" t="s">
        <v>2271</v>
      </c>
      <c r="M171" s="7"/>
    </row>
    <row r="172" spans="2:14">
      <c r="B172" s="853" t="s">
        <v>2483</v>
      </c>
      <c r="C172" s="14"/>
      <c r="D172" s="14"/>
      <c r="E172" s="14"/>
      <c r="F172" s="14"/>
      <c r="G172" s="14"/>
      <c r="H172" s="14"/>
      <c r="I172" s="14"/>
      <c r="M172" s="7"/>
    </row>
    <row r="173" spans="2:14">
      <c r="B173" s="462" t="s">
        <v>2706</v>
      </c>
      <c r="C173" s="14"/>
      <c r="D173" s="14"/>
      <c r="E173" s="14"/>
      <c r="F173" s="14"/>
      <c r="G173" s="14"/>
      <c r="H173" s="14"/>
      <c r="I173" s="14"/>
      <c r="M173" s="7"/>
    </row>
  </sheetData>
  <phoneticPr fontId="23" type="noConversion"/>
  <pageMargins left="0.75" right="0.75" top="1" bottom="1" header="0.5" footer="0.5"/>
  <pageSetup scale="64" orientation="portrait" cellComments="asDisplayed" r:id="rId1"/>
  <headerFooter alignWithMargins="0">
    <oddHeader>&amp;CSchedule 1
Base TRR
&amp;RTO2022 Annual Update 
Attachment 1</oddHeader>
    <oddFooter>&amp;R&amp;A</oddFooter>
  </headerFooter>
  <rowBreaks count="2" manualBreakCount="2">
    <brk id="59" max="16383" man="1"/>
    <brk id="122"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56"/>
  <sheetViews>
    <sheetView zoomScaleNormal="100" workbookViewId="0"/>
  </sheetViews>
  <sheetFormatPr defaultRowHeight="12.5"/>
  <cols>
    <col min="1" max="1" width="4.54296875" customWidth="1"/>
    <col min="2" max="2" width="1.54296875" customWidth="1"/>
    <col min="3" max="3" width="46" customWidth="1"/>
    <col min="4" max="4" width="1.54296875" customWidth="1"/>
    <col min="5" max="5" width="34" customWidth="1"/>
    <col min="6" max="6" width="1.54296875" customWidth="1"/>
    <col min="7" max="7" width="16.54296875" customWidth="1"/>
    <col min="8" max="8" width="1.54296875" customWidth="1"/>
    <col min="9" max="9" width="16.54296875" customWidth="1"/>
    <col min="10" max="10" width="1.54296875" customWidth="1"/>
    <col min="11" max="11" width="16.54296875" customWidth="1"/>
    <col min="12" max="12" width="2.54296875" customWidth="1"/>
    <col min="13" max="13" width="35.453125" bestFit="1" customWidth="1"/>
    <col min="14" max="14" width="20.453125" customWidth="1"/>
    <col min="257" max="257" width="4.54296875" customWidth="1"/>
    <col min="258" max="258" width="1.54296875" customWidth="1"/>
    <col min="259" max="259" width="46" customWidth="1"/>
    <col min="260" max="260" width="1.54296875" customWidth="1"/>
    <col min="261" max="261" width="34" customWidth="1"/>
    <col min="262" max="262" width="1.54296875" customWidth="1"/>
    <col min="263" max="263" width="16" customWidth="1"/>
    <col min="264" max="264" width="1.54296875" customWidth="1"/>
    <col min="265" max="265" width="14" customWidth="1"/>
    <col min="266" max="266" width="1.54296875" customWidth="1"/>
    <col min="267" max="267" width="11.54296875" customWidth="1"/>
    <col min="268" max="268" width="2.54296875" customWidth="1"/>
    <col min="269" max="269" width="35.453125" bestFit="1" customWidth="1"/>
    <col min="270" max="270" width="20.453125" customWidth="1"/>
    <col min="513" max="513" width="4.54296875" customWidth="1"/>
    <col min="514" max="514" width="1.54296875" customWidth="1"/>
    <col min="515" max="515" width="46" customWidth="1"/>
    <col min="516" max="516" width="1.54296875" customWidth="1"/>
    <col min="517" max="517" width="34" customWidth="1"/>
    <col min="518" max="518" width="1.54296875" customWidth="1"/>
    <col min="519" max="519" width="16" customWidth="1"/>
    <col min="520" max="520" width="1.54296875" customWidth="1"/>
    <col min="521" max="521" width="14" customWidth="1"/>
    <col min="522" max="522" width="1.54296875" customWidth="1"/>
    <col min="523" max="523" width="11.54296875" customWidth="1"/>
    <col min="524" max="524" width="2.54296875" customWidth="1"/>
    <col min="525" max="525" width="35.453125" bestFit="1" customWidth="1"/>
    <col min="526" max="526" width="20.453125" customWidth="1"/>
    <col min="769" max="769" width="4.54296875" customWidth="1"/>
    <col min="770" max="770" width="1.54296875" customWidth="1"/>
    <col min="771" max="771" width="46" customWidth="1"/>
    <col min="772" max="772" width="1.54296875" customWidth="1"/>
    <col min="773" max="773" width="34" customWidth="1"/>
    <col min="774" max="774" width="1.54296875" customWidth="1"/>
    <col min="775" max="775" width="16" customWidth="1"/>
    <col min="776" max="776" width="1.54296875" customWidth="1"/>
    <col min="777" max="777" width="14" customWidth="1"/>
    <col min="778" max="778" width="1.54296875" customWidth="1"/>
    <col min="779" max="779" width="11.54296875" customWidth="1"/>
    <col min="780" max="780" width="2.54296875" customWidth="1"/>
    <col min="781" max="781" width="35.453125" bestFit="1" customWidth="1"/>
    <col min="782" max="782" width="20.453125" customWidth="1"/>
    <col min="1025" max="1025" width="4.54296875" customWidth="1"/>
    <col min="1026" max="1026" width="1.54296875" customWidth="1"/>
    <col min="1027" max="1027" width="46" customWidth="1"/>
    <col min="1028" max="1028" width="1.54296875" customWidth="1"/>
    <col min="1029" max="1029" width="34" customWidth="1"/>
    <col min="1030" max="1030" width="1.54296875" customWidth="1"/>
    <col min="1031" max="1031" width="16" customWidth="1"/>
    <col min="1032" max="1032" width="1.54296875" customWidth="1"/>
    <col min="1033" max="1033" width="14" customWidth="1"/>
    <col min="1034" max="1034" width="1.54296875" customWidth="1"/>
    <col min="1035" max="1035" width="11.54296875" customWidth="1"/>
    <col min="1036" max="1036" width="2.54296875" customWidth="1"/>
    <col min="1037" max="1037" width="35.453125" bestFit="1" customWidth="1"/>
    <col min="1038" max="1038" width="20.453125" customWidth="1"/>
    <col min="1281" max="1281" width="4.54296875" customWidth="1"/>
    <col min="1282" max="1282" width="1.54296875" customWidth="1"/>
    <col min="1283" max="1283" width="46" customWidth="1"/>
    <col min="1284" max="1284" width="1.54296875" customWidth="1"/>
    <col min="1285" max="1285" width="34" customWidth="1"/>
    <col min="1286" max="1286" width="1.54296875" customWidth="1"/>
    <col min="1287" max="1287" width="16" customWidth="1"/>
    <col min="1288" max="1288" width="1.54296875" customWidth="1"/>
    <col min="1289" max="1289" width="14" customWidth="1"/>
    <col min="1290" max="1290" width="1.54296875" customWidth="1"/>
    <col min="1291" max="1291" width="11.54296875" customWidth="1"/>
    <col min="1292" max="1292" width="2.54296875" customWidth="1"/>
    <col min="1293" max="1293" width="35.453125" bestFit="1" customWidth="1"/>
    <col min="1294" max="1294" width="20.453125" customWidth="1"/>
    <col min="1537" max="1537" width="4.54296875" customWidth="1"/>
    <col min="1538" max="1538" width="1.54296875" customWidth="1"/>
    <col min="1539" max="1539" width="46" customWidth="1"/>
    <col min="1540" max="1540" width="1.54296875" customWidth="1"/>
    <col min="1541" max="1541" width="34" customWidth="1"/>
    <col min="1542" max="1542" width="1.54296875" customWidth="1"/>
    <col min="1543" max="1543" width="16" customWidth="1"/>
    <col min="1544" max="1544" width="1.54296875" customWidth="1"/>
    <col min="1545" max="1545" width="14" customWidth="1"/>
    <col min="1546" max="1546" width="1.54296875" customWidth="1"/>
    <col min="1547" max="1547" width="11.54296875" customWidth="1"/>
    <col min="1548" max="1548" width="2.54296875" customWidth="1"/>
    <col min="1549" max="1549" width="35.453125" bestFit="1" customWidth="1"/>
    <col min="1550" max="1550" width="20.453125" customWidth="1"/>
    <col min="1793" max="1793" width="4.54296875" customWidth="1"/>
    <col min="1794" max="1794" width="1.54296875" customWidth="1"/>
    <col min="1795" max="1795" width="46" customWidth="1"/>
    <col min="1796" max="1796" width="1.54296875" customWidth="1"/>
    <col min="1797" max="1797" width="34" customWidth="1"/>
    <col min="1798" max="1798" width="1.54296875" customWidth="1"/>
    <col min="1799" max="1799" width="16" customWidth="1"/>
    <col min="1800" max="1800" width="1.54296875" customWidth="1"/>
    <col min="1801" max="1801" width="14" customWidth="1"/>
    <col min="1802" max="1802" width="1.54296875" customWidth="1"/>
    <col min="1803" max="1803" width="11.54296875" customWidth="1"/>
    <col min="1804" max="1804" width="2.54296875" customWidth="1"/>
    <col min="1805" max="1805" width="35.453125" bestFit="1" customWidth="1"/>
    <col min="1806" max="1806" width="20.453125" customWidth="1"/>
    <col min="2049" max="2049" width="4.54296875" customWidth="1"/>
    <col min="2050" max="2050" width="1.54296875" customWidth="1"/>
    <col min="2051" max="2051" width="46" customWidth="1"/>
    <col min="2052" max="2052" width="1.54296875" customWidth="1"/>
    <col min="2053" max="2053" width="34" customWidth="1"/>
    <col min="2054" max="2054" width="1.54296875" customWidth="1"/>
    <col min="2055" max="2055" width="16" customWidth="1"/>
    <col min="2056" max="2056" width="1.54296875" customWidth="1"/>
    <col min="2057" max="2057" width="14" customWidth="1"/>
    <col min="2058" max="2058" width="1.54296875" customWidth="1"/>
    <col min="2059" max="2059" width="11.54296875" customWidth="1"/>
    <col min="2060" max="2060" width="2.54296875" customWidth="1"/>
    <col min="2061" max="2061" width="35.453125" bestFit="1" customWidth="1"/>
    <col min="2062" max="2062" width="20.453125" customWidth="1"/>
    <col min="2305" max="2305" width="4.54296875" customWidth="1"/>
    <col min="2306" max="2306" width="1.54296875" customWidth="1"/>
    <col min="2307" max="2307" width="46" customWidth="1"/>
    <col min="2308" max="2308" width="1.54296875" customWidth="1"/>
    <col min="2309" max="2309" width="34" customWidth="1"/>
    <col min="2310" max="2310" width="1.54296875" customWidth="1"/>
    <col min="2311" max="2311" width="16" customWidth="1"/>
    <col min="2312" max="2312" width="1.54296875" customWidth="1"/>
    <col min="2313" max="2313" width="14" customWidth="1"/>
    <col min="2314" max="2314" width="1.54296875" customWidth="1"/>
    <col min="2315" max="2315" width="11.54296875" customWidth="1"/>
    <col min="2316" max="2316" width="2.54296875" customWidth="1"/>
    <col min="2317" max="2317" width="35.453125" bestFit="1" customWidth="1"/>
    <col min="2318" max="2318" width="20.453125" customWidth="1"/>
    <col min="2561" max="2561" width="4.54296875" customWidth="1"/>
    <col min="2562" max="2562" width="1.54296875" customWidth="1"/>
    <col min="2563" max="2563" width="46" customWidth="1"/>
    <col min="2564" max="2564" width="1.54296875" customWidth="1"/>
    <col min="2565" max="2565" width="34" customWidth="1"/>
    <col min="2566" max="2566" width="1.54296875" customWidth="1"/>
    <col min="2567" max="2567" width="16" customWidth="1"/>
    <col min="2568" max="2568" width="1.54296875" customWidth="1"/>
    <col min="2569" max="2569" width="14" customWidth="1"/>
    <col min="2570" max="2570" width="1.54296875" customWidth="1"/>
    <col min="2571" max="2571" width="11.54296875" customWidth="1"/>
    <col min="2572" max="2572" width="2.54296875" customWidth="1"/>
    <col min="2573" max="2573" width="35.453125" bestFit="1" customWidth="1"/>
    <col min="2574" max="2574" width="20.453125" customWidth="1"/>
    <col min="2817" max="2817" width="4.54296875" customWidth="1"/>
    <col min="2818" max="2818" width="1.54296875" customWidth="1"/>
    <col min="2819" max="2819" width="46" customWidth="1"/>
    <col min="2820" max="2820" width="1.54296875" customWidth="1"/>
    <col min="2821" max="2821" width="34" customWidth="1"/>
    <col min="2822" max="2822" width="1.54296875" customWidth="1"/>
    <col min="2823" max="2823" width="16" customWidth="1"/>
    <col min="2824" max="2824" width="1.54296875" customWidth="1"/>
    <col min="2825" max="2825" width="14" customWidth="1"/>
    <col min="2826" max="2826" width="1.54296875" customWidth="1"/>
    <col min="2827" max="2827" width="11.54296875" customWidth="1"/>
    <col min="2828" max="2828" width="2.54296875" customWidth="1"/>
    <col min="2829" max="2829" width="35.453125" bestFit="1" customWidth="1"/>
    <col min="2830" max="2830" width="20.453125" customWidth="1"/>
    <col min="3073" max="3073" width="4.54296875" customWidth="1"/>
    <col min="3074" max="3074" width="1.54296875" customWidth="1"/>
    <col min="3075" max="3075" width="46" customWidth="1"/>
    <col min="3076" max="3076" width="1.54296875" customWidth="1"/>
    <col min="3077" max="3077" width="34" customWidth="1"/>
    <col min="3078" max="3078" width="1.54296875" customWidth="1"/>
    <col min="3079" max="3079" width="16" customWidth="1"/>
    <col min="3080" max="3080" width="1.54296875" customWidth="1"/>
    <col min="3081" max="3081" width="14" customWidth="1"/>
    <col min="3082" max="3082" width="1.54296875" customWidth="1"/>
    <col min="3083" max="3083" width="11.54296875" customWidth="1"/>
    <col min="3084" max="3084" width="2.54296875" customWidth="1"/>
    <col min="3085" max="3085" width="35.453125" bestFit="1" customWidth="1"/>
    <col min="3086" max="3086" width="20.453125" customWidth="1"/>
    <col min="3329" max="3329" width="4.54296875" customWidth="1"/>
    <col min="3330" max="3330" width="1.54296875" customWidth="1"/>
    <col min="3331" max="3331" width="46" customWidth="1"/>
    <col min="3332" max="3332" width="1.54296875" customWidth="1"/>
    <col min="3333" max="3333" width="34" customWidth="1"/>
    <col min="3334" max="3334" width="1.54296875" customWidth="1"/>
    <col min="3335" max="3335" width="16" customWidth="1"/>
    <col min="3336" max="3336" width="1.54296875" customWidth="1"/>
    <col min="3337" max="3337" width="14" customWidth="1"/>
    <col min="3338" max="3338" width="1.54296875" customWidth="1"/>
    <col min="3339" max="3339" width="11.54296875" customWidth="1"/>
    <col min="3340" max="3340" width="2.54296875" customWidth="1"/>
    <col min="3341" max="3341" width="35.453125" bestFit="1" customWidth="1"/>
    <col min="3342" max="3342" width="20.453125" customWidth="1"/>
    <col min="3585" max="3585" width="4.54296875" customWidth="1"/>
    <col min="3586" max="3586" width="1.54296875" customWidth="1"/>
    <col min="3587" max="3587" width="46" customWidth="1"/>
    <col min="3588" max="3588" width="1.54296875" customWidth="1"/>
    <col min="3589" max="3589" width="34" customWidth="1"/>
    <col min="3590" max="3590" width="1.54296875" customWidth="1"/>
    <col min="3591" max="3591" width="16" customWidth="1"/>
    <col min="3592" max="3592" width="1.54296875" customWidth="1"/>
    <col min="3593" max="3593" width="14" customWidth="1"/>
    <col min="3594" max="3594" width="1.54296875" customWidth="1"/>
    <col min="3595" max="3595" width="11.54296875" customWidth="1"/>
    <col min="3596" max="3596" width="2.54296875" customWidth="1"/>
    <col min="3597" max="3597" width="35.453125" bestFit="1" customWidth="1"/>
    <col min="3598" max="3598" width="20.453125" customWidth="1"/>
    <col min="3841" max="3841" width="4.54296875" customWidth="1"/>
    <col min="3842" max="3842" width="1.54296875" customWidth="1"/>
    <col min="3843" max="3843" width="46" customWidth="1"/>
    <col min="3844" max="3844" width="1.54296875" customWidth="1"/>
    <col min="3845" max="3845" width="34" customWidth="1"/>
    <col min="3846" max="3846" width="1.54296875" customWidth="1"/>
    <col min="3847" max="3847" width="16" customWidth="1"/>
    <col min="3848" max="3848" width="1.54296875" customWidth="1"/>
    <col min="3849" max="3849" width="14" customWidth="1"/>
    <col min="3850" max="3850" width="1.54296875" customWidth="1"/>
    <col min="3851" max="3851" width="11.54296875" customWidth="1"/>
    <col min="3852" max="3852" width="2.54296875" customWidth="1"/>
    <col min="3853" max="3853" width="35.453125" bestFit="1" customWidth="1"/>
    <col min="3854" max="3854" width="20.453125" customWidth="1"/>
    <col min="4097" max="4097" width="4.54296875" customWidth="1"/>
    <col min="4098" max="4098" width="1.54296875" customWidth="1"/>
    <col min="4099" max="4099" width="46" customWidth="1"/>
    <col min="4100" max="4100" width="1.54296875" customWidth="1"/>
    <col min="4101" max="4101" width="34" customWidth="1"/>
    <col min="4102" max="4102" width="1.54296875" customWidth="1"/>
    <col min="4103" max="4103" width="16" customWidth="1"/>
    <col min="4104" max="4104" width="1.54296875" customWidth="1"/>
    <col min="4105" max="4105" width="14" customWidth="1"/>
    <col min="4106" max="4106" width="1.54296875" customWidth="1"/>
    <col min="4107" max="4107" width="11.54296875" customWidth="1"/>
    <col min="4108" max="4108" width="2.54296875" customWidth="1"/>
    <col min="4109" max="4109" width="35.453125" bestFit="1" customWidth="1"/>
    <col min="4110" max="4110" width="20.453125" customWidth="1"/>
    <col min="4353" max="4353" width="4.54296875" customWidth="1"/>
    <col min="4354" max="4354" width="1.54296875" customWidth="1"/>
    <col min="4355" max="4355" width="46" customWidth="1"/>
    <col min="4356" max="4356" width="1.54296875" customWidth="1"/>
    <col min="4357" max="4357" width="34" customWidth="1"/>
    <col min="4358" max="4358" width="1.54296875" customWidth="1"/>
    <col min="4359" max="4359" width="16" customWidth="1"/>
    <col min="4360" max="4360" width="1.54296875" customWidth="1"/>
    <col min="4361" max="4361" width="14" customWidth="1"/>
    <col min="4362" max="4362" width="1.54296875" customWidth="1"/>
    <col min="4363" max="4363" width="11.54296875" customWidth="1"/>
    <col min="4364" max="4364" width="2.54296875" customWidth="1"/>
    <col min="4365" max="4365" width="35.453125" bestFit="1" customWidth="1"/>
    <col min="4366" max="4366" width="20.453125" customWidth="1"/>
    <col min="4609" max="4609" width="4.54296875" customWidth="1"/>
    <col min="4610" max="4610" width="1.54296875" customWidth="1"/>
    <col min="4611" max="4611" width="46" customWidth="1"/>
    <col min="4612" max="4612" width="1.54296875" customWidth="1"/>
    <col min="4613" max="4613" width="34" customWidth="1"/>
    <col min="4614" max="4614" width="1.54296875" customWidth="1"/>
    <col min="4615" max="4615" width="16" customWidth="1"/>
    <col min="4616" max="4616" width="1.54296875" customWidth="1"/>
    <col min="4617" max="4617" width="14" customWidth="1"/>
    <col min="4618" max="4618" width="1.54296875" customWidth="1"/>
    <col min="4619" max="4619" width="11.54296875" customWidth="1"/>
    <col min="4620" max="4620" width="2.54296875" customWidth="1"/>
    <col min="4621" max="4621" width="35.453125" bestFit="1" customWidth="1"/>
    <col min="4622" max="4622" width="20.453125" customWidth="1"/>
    <col min="4865" max="4865" width="4.54296875" customWidth="1"/>
    <col min="4866" max="4866" width="1.54296875" customWidth="1"/>
    <col min="4867" max="4867" width="46" customWidth="1"/>
    <col min="4868" max="4868" width="1.54296875" customWidth="1"/>
    <col min="4869" max="4869" width="34" customWidth="1"/>
    <col min="4870" max="4870" width="1.54296875" customWidth="1"/>
    <col min="4871" max="4871" width="16" customWidth="1"/>
    <col min="4872" max="4872" width="1.54296875" customWidth="1"/>
    <col min="4873" max="4873" width="14" customWidth="1"/>
    <col min="4874" max="4874" width="1.54296875" customWidth="1"/>
    <col min="4875" max="4875" width="11.54296875" customWidth="1"/>
    <col min="4876" max="4876" width="2.54296875" customWidth="1"/>
    <col min="4877" max="4877" width="35.453125" bestFit="1" customWidth="1"/>
    <col min="4878" max="4878" width="20.453125" customWidth="1"/>
    <col min="5121" max="5121" width="4.54296875" customWidth="1"/>
    <col min="5122" max="5122" width="1.54296875" customWidth="1"/>
    <col min="5123" max="5123" width="46" customWidth="1"/>
    <col min="5124" max="5124" width="1.54296875" customWidth="1"/>
    <col min="5125" max="5125" width="34" customWidth="1"/>
    <col min="5126" max="5126" width="1.54296875" customWidth="1"/>
    <col min="5127" max="5127" width="16" customWidth="1"/>
    <col min="5128" max="5128" width="1.54296875" customWidth="1"/>
    <col min="5129" max="5129" width="14" customWidth="1"/>
    <col min="5130" max="5130" width="1.54296875" customWidth="1"/>
    <col min="5131" max="5131" width="11.54296875" customWidth="1"/>
    <col min="5132" max="5132" width="2.54296875" customWidth="1"/>
    <col min="5133" max="5133" width="35.453125" bestFit="1" customWidth="1"/>
    <col min="5134" max="5134" width="20.453125" customWidth="1"/>
    <col min="5377" max="5377" width="4.54296875" customWidth="1"/>
    <col min="5378" max="5378" width="1.54296875" customWidth="1"/>
    <col min="5379" max="5379" width="46" customWidth="1"/>
    <col min="5380" max="5380" width="1.54296875" customWidth="1"/>
    <col min="5381" max="5381" width="34" customWidth="1"/>
    <col min="5382" max="5382" width="1.54296875" customWidth="1"/>
    <col min="5383" max="5383" width="16" customWidth="1"/>
    <col min="5384" max="5384" width="1.54296875" customWidth="1"/>
    <col min="5385" max="5385" width="14" customWidth="1"/>
    <col min="5386" max="5386" width="1.54296875" customWidth="1"/>
    <col min="5387" max="5387" width="11.54296875" customWidth="1"/>
    <col min="5388" max="5388" width="2.54296875" customWidth="1"/>
    <col min="5389" max="5389" width="35.453125" bestFit="1" customWidth="1"/>
    <col min="5390" max="5390" width="20.453125" customWidth="1"/>
    <col min="5633" max="5633" width="4.54296875" customWidth="1"/>
    <col min="5634" max="5634" width="1.54296875" customWidth="1"/>
    <col min="5635" max="5635" width="46" customWidth="1"/>
    <col min="5636" max="5636" width="1.54296875" customWidth="1"/>
    <col min="5637" max="5637" width="34" customWidth="1"/>
    <col min="5638" max="5638" width="1.54296875" customWidth="1"/>
    <col min="5639" max="5639" width="16" customWidth="1"/>
    <col min="5640" max="5640" width="1.54296875" customWidth="1"/>
    <col min="5641" max="5641" width="14" customWidth="1"/>
    <col min="5642" max="5642" width="1.54296875" customWidth="1"/>
    <col min="5643" max="5643" width="11.54296875" customWidth="1"/>
    <col min="5644" max="5644" width="2.54296875" customWidth="1"/>
    <col min="5645" max="5645" width="35.453125" bestFit="1" customWidth="1"/>
    <col min="5646" max="5646" width="20.453125" customWidth="1"/>
    <col min="5889" max="5889" width="4.54296875" customWidth="1"/>
    <col min="5890" max="5890" width="1.54296875" customWidth="1"/>
    <col min="5891" max="5891" width="46" customWidth="1"/>
    <col min="5892" max="5892" width="1.54296875" customWidth="1"/>
    <col min="5893" max="5893" width="34" customWidth="1"/>
    <col min="5894" max="5894" width="1.54296875" customWidth="1"/>
    <col min="5895" max="5895" width="16" customWidth="1"/>
    <col min="5896" max="5896" width="1.54296875" customWidth="1"/>
    <col min="5897" max="5897" width="14" customWidth="1"/>
    <col min="5898" max="5898" width="1.54296875" customWidth="1"/>
    <col min="5899" max="5899" width="11.54296875" customWidth="1"/>
    <col min="5900" max="5900" width="2.54296875" customWidth="1"/>
    <col min="5901" max="5901" width="35.453125" bestFit="1" customWidth="1"/>
    <col min="5902" max="5902" width="20.453125" customWidth="1"/>
    <col min="6145" max="6145" width="4.54296875" customWidth="1"/>
    <col min="6146" max="6146" width="1.54296875" customWidth="1"/>
    <col min="6147" max="6147" width="46" customWidth="1"/>
    <col min="6148" max="6148" width="1.54296875" customWidth="1"/>
    <col min="6149" max="6149" width="34" customWidth="1"/>
    <col min="6150" max="6150" width="1.54296875" customWidth="1"/>
    <col min="6151" max="6151" width="16" customWidth="1"/>
    <col min="6152" max="6152" width="1.54296875" customWidth="1"/>
    <col min="6153" max="6153" width="14" customWidth="1"/>
    <col min="6154" max="6154" width="1.54296875" customWidth="1"/>
    <col min="6155" max="6155" width="11.54296875" customWidth="1"/>
    <col min="6156" max="6156" width="2.54296875" customWidth="1"/>
    <col min="6157" max="6157" width="35.453125" bestFit="1" customWidth="1"/>
    <col min="6158" max="6158" width="20.453125" customWidth="1"/>
    <col min="6401" max="6401" width="4.54296875" customWidth="1"/>
    <col min="6402" max="6402" width="1.54296875" customWidth="1"/>
    <col min="6403" max="6403" width="46" customWidth="1"/>
    <col min="6404" max="6404" width="1.54296875" customWidth="1"/>
    <col min="6405" max="6405" width="34" customWidth="1"/>
    <col min="6406" max="6406" width="1.54296875" customWidth="1"/>
    <col min="6407" max="6407" width="16" customWidth="1"/>
    <col min="6408" max="6408" width="1.54296875" customWidth="1"/>
    <col min="6409" max="6409" width="14" customWidth="1"/>
    <col min="6410" max="6410" width="1.54296875" customWidth="1"/>
    <col min="6411" max="6411" width="11.54296875" customWidth="1"/>
    <col min="6412" max="6412" width="2.54296875" customWidth="1"/>
    <col min="6413" max="6413" width="35.453125" bestFit="1" customWidth="1"/>
    <col min="6414" max="6414" width="20.453125" customWidth="1"/>
    <col min="6657" max="6657" width="4.54296875" customWidth="1"/>
    <col min="6658" max="6658" width="1.54296875" customWidth="1"/>
    <col min="6659" max="6659" width="46" customWidth="1"/>
    <col min="6660" max="6660" width="1.54296875" customWidth="1"/>
    <col min="6661" max="6661" width="34" customWidth="1"/>
    <col min="6662" max="6662" width="1.54296875" customWidth="1"/>
    <col min="6663" max="6663" width="16" customWidth="1"/>
    <col min="6664" max="6664" width="1.54296875" customWidth="1"/>
    <col min="6665" max="6665" width="14" customWidth="1"/>
    <col min="6666" max="6666" width="1.54296875" customWidth="1"/>
    <col min="6667" max="6667" width="11.54296875" customWidth="1"/>
    <col min="6668" max="6668" width="2.54296875" customWidth="1"/>
    <col min="6669" max="6669" width="35.453125" bestFit="1" customWidth="1"/>
    <col min="6670" max="6670" width="20.453125" customWidth="1"/>
    <col min="6913" max="6913" width="4.54296875" customWidth="1"/>
    <col min="6914" max="6914" width="1.54296875" customWidth="1"/>
    <col min="6915" max="6915" width="46" customWidth="1"/>
    <col min="6916" max="6916" width="1.54296875" customWidth="1"/>
    <col min="6917" max="6917" width="34" customWidth="1"/>
    <col min="6918" max="6918" width="1.54296875" customWidth="1"/>
    <col min="6919" max="6919" width="16" customWidth="1"/>
    <col min="6920" max="6920" width="1.54296875" customWidth="1"/>
    <col min="6921" max="6921" width="14" customWidth="1"/>
    <col min="6922" max="6922" width="1.54296875" customWidth="1"/>
    <col min="6923" max="6923" width="11.54296875" customWidth="1"/>
    <col min="6924" max="6924" width="2.54296875" customWidth="1"/>
    <col min="6925" max="6925" width="35.453125" bestFit="1" customWidth="1"/>
    <col min="6926" max="6926" width="20.453125" customWidth="1"/>
    <col min="7169" max="7169" width="4.54296875" customWidth="1"/>
    <col min="7170" max="7170" width="1.54296875" customWidth="1"/>
    <col min="7171" max="7171" width="46" customWidth="1"/>
    <col min="7172" max="7172" width="1.54296875" customWidth="1"/>
    <col min="7173" max="7173" width="34" customWidth="1"/>
    <col min="7174" max="7174" width="1.54296875" customWidth="1"/>
    <col min="7175" max="7175" width="16" customWidth="1"/>
    <col min="7176" max="7176" width="1.54296875" customWidth="1"/>
    <col min="7177" max="7177" width="14" customWidth="1"/>
    <col min="7178" max="7178" width="1.54296875" customWidth="1"/>
    <col min="7179" max="7179" width="11.54296875" customWidth="1"/>
    <col min="7180" max="7180" width="2.54296875" customWidth="1"/>
    <col min="7181" max="7181" width="35.453125" bestFit="1" customWidth="1"/>
    <col min="7182" max="7182" width="20.453125" customWidth="1"/>
    <col min="7425" max="7425" width="4.54296875" customWidth="1"/>
    <col min="7426" max="7426" width="1.54296875" customWidth="1"/>
    <col min="7427" max="7427" width="46" customWidth="1"/>
    <col min="7428" max="7428" width="1.54296875" customWidth="1"/>
    <col min="7429" max="7429" width="34" customWidth="1"/>
    <col min="7430" max="7430" width="1.54296875" customWidth="1"/>
    <col min="7431" max="7431" width="16" customWidth="1"/>
    <col min="7432" max="7432" width="1.54296875" customWidth="1"/>
    <col min="7433" max="7433" width="14" customWidth="1"/>
    <col min="7434" max="7434" width="1.54296875" customWidth="1"/>
    <col min="7435" max="7435" width="11.54296875" customWidth="1"/>
    <col min="7436" max="7436" width="2.54296875" customWidth="1"/>
    <col min="7437" max="7437" width="35.453125" bestFit="1" customWidth="1"/>
    <col min="7438" max="7438" width="20.453125" customWidth="1"/>
    <col min="7681" max="7681" width="4.54296875" customWidth="1"/>
    <col min="7682" max="7682" width="1.54296875" customWidth="1"/>
    <col min="7683" max="7683" width="46" customWidth="1"/>
    <col min="7684" max="7684" width="1.54296875" customWidth="1"/>
    <col min="7685" max="7685" width="34" customWidth="1"/>
    <col min="7686" max="7686" width="1.54296875" customWidth="1"/>
    <col min="7687" max="7687" width="16" customWidth="1"/>
    <col min="7688" max="7688" width="1.54296875" customWidth="1"/>
    <col min="7689" max="7689" width="14" customWidth="1"/>
    <col min="7690" max="7690" width="1.54296875" customWidth="1"/>
    <col min="7691" max="7691" width="11.54296875" customWidth="1"/>
    <col min="7692" max="7692" width="2.54296875" customWidth="1"/>
    <col min="7693" max="7693" width="35.453125" bestFit="1" customWidth="1"/>
    <col min="7694" max="7694" width="20.453125" customWidth="1"/>
    <col min="7937" max="7937" width="4.54296875" customWidth="1"/>
    <col min="7938" max="7938" width="1.54296875" customWidth="1"/>
    <col min="7939" max="7939" width="46" customWidth="1"/>
    <col min="7940" max="7940" width="1.54296875" customWidth="1"/>
    <col min="7941" max="7941" width="34" customWidth="1"/>
    <col min="7942" max="7942" width="1.54296875" customWidth="1"/>
    <col min="7943" max="7943" width="16" customWidth="1"/>
    <col min="7944" max="7944" width="1.54296875" customWidth="1"/>
    <col min="7945" max="7945" width="14" customWidth="1"/>
    <col min="7946" max="7946" width="1.54296875" customWidth="1"/>
    <col min="7947" max="7947" width="11.54296875" customWidth="1"/>
    <col min="7948" max="7948" width="2.54296875" customWidth="1"/>
    <col min="7949" max="7949" width="35.453125" bestFit="1" customWidth="1"/>
    <col min="7950" max="7950" width="20.453125" customWidth="1"/>
    <col min="8193" max="8193" width="4.54296875" customWidth="1"/>
    <col min="8194" max="8194" width="1.54296875" customWidth="1"/>
    <col min="8195" max="8195" width="46" customWidth="1"/>
    <col min="8196" max="8196" width="1.54296875" customWidth="1"/>
    <col min="8197" max="8197" width="34" customWidth="1"/>
    <col min="8198" max="8198" width="1.54296875" customWidth="1"/>
    <col min="8199" max="8199" width="16" customWidth="1"/>
    <col min="8200" max="8200" width="1.54296875" customWidth="1"/>
    <col min="8201" max="8201" width="14" customWidth="1"/>
    <col min="8202" max="8202" width="1.54296875" customWidth="1"/>
    <col min="8203" max="8203" width="11.54296875" customWidth="1"/>
    <col min="8204" max="8204" width="2.54296875" customWidth="1"/>
    <col min="8205" max="8205" width="35.453125" bestFit="1" customWidth="1"/>
    <col min="8206" max="8206" width="20.453125" customWidth="1"/>
    <col min="8449" max="8449" width="4.54296875" customWidth="1"/>
    <col min="8450" max="8450" width="1.54296875" customWidth="1"/>
    <col min="8451" max="8451" width="46" customWidth="1"/>
    <col min="8452" max="8452" width="1.54296875" customWidth="1"/>
    <col min="8453" max="8453" width="34" customWidth="1"/>
    <col min="8454" max="8454" width="1.54296875" customWidth="1"/>
    <col min="8455" max="8455" width="16" customWidth="1"/>
    <col min="8456" max="8456" width="1.54296875" customWidth="1"/>
    <col min="8457" max="8457" width="14" customWidth="1"/>
    <col min="8458" max="8458" width="1.54296875" customWidth="1"/>
    <col min="8459" max="8459" width="11.54296875" customWidth="1"/>
    <col min="8460" max="8460" width="2.54296875" customWidth="1"/>
    <col min="8461" max="8461" width="35.453125" bestFit="1" customWidth="1"/>
    <col min="8462" max="8462" width="20.453125" customWidth="1"/>
    <col min="8705" max="8705" width="4.54296875" customWidth="1"/>
    <col min="8706" max="8706" width="1.54296875" customWidth="1"/>
    <col min="8707" max="8707" width="46" customWidth="1"/>
    <col min="8708" max="8708" width="1.54296875" customWidth="1"/>
    <col min="8709" max="8709" width="34" customWidth="1"/>
    <col min="8710" max="8710" width="1.54296875" customWidth="1"/>
    <col min="8711" max="8711" width="16" customWidth="1"/>
    <col min="8712" max="8712" width="1.54296875" customWidth="1"/>
    <col min="8713" max="8713" width="14" customWidth="1"/>
    <col min="8714" max="8714" width="1.54296875" customWidth="1"/>
    <col min="8715" max="8715" width="11.54296875" customWidth="1"/>
    <col min="8716" max="8716" width="2.54296875" customWidth="1"/>
    <col min="8717" max="8717" width="35.453125" bestFit="1" customWidth="1"/>
    <col min="8718" max="8718" width="20.453125" customWidth="1"/>
    <col min="8961" max="8961" width="4.54296875" customWidth="1"/>
    <col min="8962" max="8962" width="1.54296875" customWidth="1"/>
    <col min="8963" max="8963" width="46" customWidth="1"/>
    <col min="8964" max="8964" width="1.54296875" customWidth="1"/>
    <col min="8965" max="8965" width="34" customWidth="1"/>
    <col min="8966" max="8966" width="1.54296875" customWidth="1"/>
    <col min="8967" max="8967" width="16" customWidth="1"/>
    <col min="8968" max="8968" width="1.54296875" customWidth="1"/>
    <col min="8969" max="8969" width="14" customWidth="1"/>
    <col min="8970" max="8970" width="1.54296875" customWidth="1"/>
    <col min="8971" max="8971" width="11.54296875" customWidth="1"/>
    <col min="8972" max="8972" width="2.54296875" customWidth="1"/>
    <col min="8973" max="8973" width="35.453125" bestFit="1" customWidth="1"/>
    <col min="8974" max="8974" width="20.453125" customWidth="1"/>
    <col min="9217" max="9217" width="4.54296875" customWidth="1"/>
    <col min="9218" max="9218" width="1.54296875" customWidth="1"/>
    <col min="9219" max="9219" width="46" customWidth="1"/>
    <col min="9220" max="9220" width="1.54296875" customWidth="1"/>
    <col min="9221" max="9221" width="34" customWidth="1"/>
    <col min="9222" max="9222" width="1.54296875" customWidth="1"/>
    <col min="9223" max="9223" width="16" customWidth="1"/>
    <col min="9224" max="9224" width="1.54296875" customWidth="1"/>
    <col min="9225" max="9225" width="14" customWidth="1"/>
    <col min="9226" max="9226" width="1.54296875" customWidth="1"/>
    <col min="9227" max="9227" width="11.54296875" customWidth="1"/>
    <col min="9228" max="9228" width="2.54296875" customWidth="1"/>
    <col min="9229" max="9229" width="35.453125" bestFit="1" customWidth="1"/>
    <col min="9230" max="9230" width="20.453125" customWidth="1"/>
    <col min="9473" max="9473" width="4.54296875" customWidth="1"/>
    <col min="9474" max="9474" width="1.54296875" customWidth="1"/>
    <col min="9475" max="9475" width="46" customWidth="1"/>
    <col min="9476" max="9476" width="1.54296875" customWidth="1"/>
    <col min="9477" max="9477" width="34" customWidth="1"/>
    <col min="9478" max="9478" width="1.54296875" customWidth="1"/>
    <col min="9479" max="9479" width="16" customWidth="1"/>
    <col min="9480" max="9480" width="1.54296875" customWidth="1"/>
    <col min="9481" max="9481" width="14" customWidth="1"/>
    <col min="9482" max="9482" width="1.54296875" customWidth="1"/>
    <col min="9483" max="9483" width="11.54296875" customWidth="1"/>
    <col min="9484" max="9484" width="2.54296875" customWidth="1"/>
    <col min="9485" max="9485" width="35.453125" bestFit="1" customWidth="1"/>
    <col min="9486" max="9486" width="20.453125" customWidth="1"/>
    <col min="9729" max="9729" width="4.54296875" customWidth="1"/>
    <col min="9730" max="9730" width="1.54296875" customWidth="1"/>
    <col min="9731" max="9731" width="46" customWidth="1"/>
    <col min="9732" max="9732" width="1.54296875" customWidth="1"/>
    <col min="9733" max="9733" width="34" customWidth="1"/>
    <col min="9734" max="9734" width="1.54296875" customWidth="1"/>
    <col min="9735" max="9735" width="16" customWidth="1"/>
    <col min="9736" max="9736" width="1.54296875" customWidth="1"/>
    <col min="9737" max="9737" width="14" customWidth="1"/>
    <col min="9738" max="9738" width="1.54296875" customWidth="1"/>
    <col min="9739" max="9739" width="11.54296875" customWidth="1"/>
    <col min="9740" max="9740" width="2.54296875" customWidth="1"/>
    <col min="9741" max="9741" width="35.453125" bestFit="1" customWidth="1"/>
    <col min="9742" max="9742" width="20.453125" customWidth="1"/>
    <col min="9985" max="9985" width="4.54296875" customWidth="1"/>
    <col min="9986" max="9986" width="1.54296875" customWidth="1"/>
    <col min="9987" max="9987" width="46" customWidth="1"/>
    <col min="9988" max="9988" width="1.54296875" customWidth="1"/>
    <col min="9989" max="9989" width="34" customWidth="1"/>
    <col min="9990" max="9990" width="1.54296875" customWidth="1"/>
    <col min="9991" max="9991" width="16" customWidth="1"/>
    <col min="9992" max="9992" width="1.54296875" customWidth="1"/>
    <col min="9993" max="9993" width="14" customWidth="1"/>
    <col min="9994" max="9994" width="1.54296875" customWidth="1"/>
    <col min="9995" max="9995" width="11.54296875" customWidth="1"/>
    <col min="9996" max="9996" width="2.54296875" customWidth="1"/>
    <col min="9997" max="9997" width="35.453125" bestFit="1" customWidth="1"/>
    <col min="9998" max="9998" width="20.453125" customWidth="1"/>
    <col min="10241" max="10241" width="4.54296875" customWidth="1"/>
    <col min="10242" max="10242" width="1.54296875" customWidth="1"/>
    <col min="10243" max="10243" width="46" customWidth="1"/>
    <col min="10244" max="10244" width="1.54296875" customWidth="1"/>
    <col min="10245" max="10245" width="34" customWidth="1"/>
    <col min="10246" max="10246" width="1.54296875" customWidth="1"/>
    <col min="10247" max="10247" width="16" customWidth="1"/>
    <col min="10248" max="10248" width="1.54296875" customWidth="1"/>
    <col min="10249" max="10249" width="14" customWidth="1"/>
    <col min="10250" max="10250" width="1.54296875" customWidth="1"/>
    <col min="10251" max="10251" width="11.54296875" customWidth="1"/>
    <col min="10252" max="10252" width="2.54296875" customWidth="1"/>
    <col min="10253" max="10253" width="35.453125" bestFit="1" customWidth="1"/>
    <col min="10254" max="10254" width="20.453125" customWidth="1"/>
    <col min="10497" max="10497" width="4.54296875" customWidth="1"/>
    <col min="10498" max="10498" width="1.54296875" customWidth="1"/>
    <col min="10499" max="10499" width="46" customWidth="1"/>
    <col min="10500" max="10500" width="1.54296875" customWidth="1"/>
    <col min="10501" max="10501" width="34" customWidth="1"/>
    <col min="10502" max="10502" width="1.54296875" customWidth="1"/>
    <col min="10503" max="10503" width="16" customWidth="1"/>
    <col min="10504" max="10504" width="1.54296875" customWidth="1"/>
    <col min="10505" max="10505" width="14" customWidth="1"/>
    <col min="10506" max="10506" width="1.54296875" customWidth="1"/>
    <col min="10507" max="10507" width="11.54296875" customWidth="1"/>
    <col min="10508" max="10508" width="2.54296875" customWidth="1"/>
    <col min="10509" max="10509" width="35.453125" bestFit="1" customWidth="1"/>
    <col min="10510" max="10510" width="20.453125" customWidth="1"/>
    <col min="10753" max="10753" width="4.54296875" customWidth="1"/>
    <col min="10754" max="10754" width="1.54296875" customWidth="1"/>
    <col min="10755" max="10755" width="46" customWidth="1"/>
    <col min="10756" max="10756" width="1.54296875" customWidth="1"/>
    <col min="10757" max="10757" width="34" customWidth="1"/>
    <col min="10758" max="10758" width="1.54296875" customWidth="1"/>
    <col min="10759" max="10759" width="16" customWidth="1"/>
    <col min="10760" max="10760" width="1.54296875" customWidth="1"/>
    <col min="10761" max="10761" width="14" customWidth="1"/>
    <col min="10762" max="10762" width="1.54296875" customWidth="1"/>
    <col min="10763" max="10763" width="11.54296875" customWidth="1"/>
    <col min="10764" max="10764" width="2.54296875" customWidth="1"/>
    <col min="10765" max="10765" width="35.453125" bestFit="1" customWidth="1"/>
    <col min="10766" max="10766" width="20.453125" customWidth="1"/>
    <col min="11009" max="11009" width="4.54296875" customWidth="1"/>
    <col min="11010" max="11010" width="1.54296875" customWidth="1"/>
    <col min="11011" max="11011" width="46" customWidth="1"/>
    <col min="11012" max="11012" width="1.54296875" customWidth="1"/>
    <col min="11013" max="11013" width="34" customWidth="1"/>
    <col min="11014" max="11014" width="1.54296875" customWidth="1"/>
    <col min="11015" max="11015" width="16" customWidth="1"/>
    <col min="11016" max="11016" width="1.54296875" customWidth="1"/>
    <col min="11017" max="11017" width="14" customWidth="1"/>
    <col min="11018" max="11018" width="1.54296875" customWidth="1"/>
    <col min="11019" max="11019" width="11.54296875" customWidth="1"/>
    <col min="11020" max="11020" width="2.54296875" customWidth="1"/>
    <col min="11021" max="11021" width="35.453125" bestFit="1" customWidth="1"/>
    <col min="11022" max="11022" width="20.453125" customWidth="1"/>
    <col min="11265" max="11265" width="4.54296875" customWidth="1"/>
    <col min="11266" max="11266" width="1.54296875" customWidth="1"/>
    <col min="11267" max="11267" width="46" customWidth="1"/>
    <col min="11268" max="11268" width="1.54296875" customWidth="1"/>
    <col min="11269" max="11269" width="34" customWidth="1"/>
    <col min="11270" max="11270" width="1.54296875" customWidth="1"/>
    <col min="11271" max="11271" width="16" customWidth="1"/>
    <col min="11272" max="11272" width="1.54296875" customWidth="1"/>
    <col min="11273" max="11273" width="14" customWidth="1"/>
    <col min="11274" max="11274" width="1.54296875" customWidth="1"/>
    <col min="11275" max="11275" width="11.54296875" customWidth="1"/>
    <col min="11276" max="11276" width="2.54296875" customWidth="1"/>
    <col min="11277" max="11277" width="35.453125" bestFit="1" customWidth="1"/>
    <col min="11278" max="11278" width="20.453125" customWidth="1"/>
    <col min="11521" max="11521" width="4.54296875" customWidth="1"/>
    <col min="11522" max="11522" width="1.54296875" customWidth="1"/>
    <col min="11523" max="11523" width="46" customWidth="1"/>
    <col min="11524" max="11524" width="1.54296875" customWidth="1"/>
    <col min="11525" max="11525" width="34" customWidth="1"/>
    <col min="11526" max="11526" width="1.54296875" customWidth="1"/>
    <col min="11527" max="11527" width="16" customWidth="1"/>
    <col min="11528" max="11528" width="1.54296875" customWidth="1"/>
    <col min="11529" max="11529" width="14" customWidth="1"/>
    <col min="11530" max="11530" width="1.54296875" customWidth="1"/>
    <col min="11531" max="11531" width="11.54296875" customWidth="1"/>
    <col min="11532" max="11532" width="2.54296875" customWidth="1"/>
    <col min="11533" max="11533" width="35.453125" bestFit="1" customWidth="1"/>
    <col min="11534" max="11534" width="20.453125" customWidth="1"/>
    <col min="11777" max="11777" width="4.54296875" customWidth="1"/>
    <col min="11778" max="11778" width="1.54296875" customWidth="1"/>
    <col min="11779" max="11779" width="46" customWidth="1"/>
    <col min="11780" max="11780" width="1.54296875" customWidth="1"/>
    <col min="11781" max="11781" width="34" customWidth="1"/>
    <col min="11782" max="11782" width="1.54296875" customWidth="1"/>
    <col min="11783" max="11783" width="16" customWidth="1"/>
    <col min="11784" max="11784" width="1.54296875" customWidth="1"/>
    <col min="11785" max="11785" width="14" customWidth="1"/>
    <col min="11786" max="11786" width="1.54296875" customWidth="1"/>
    <col min="11787" max="11787" width="11.54296875" customWidth="1"/>
    <col min="11788" max="11788" width="2.54296875" customWidth="1"/>
    <col min="11789" max="11789" width="35.453125" bestFit="1" customWidth="1"/>
    <col min="11790" max="11790" width="20.453125" customWidth="1"/>
    <col min="12033" max="12033" width="4.54296875" customWidth="1"/>
    <col min="12034" max="12034" width="1.54296875" customWidth="1"/>
    <col min="12035" max="12035" width="46" customWidth="1"/>
    <col min="12036" max="12036" width="1.54296875" customWidth="1"/>
    <col min="12037" max="12037" width="34" customWidth="1"/>
    <col min="12038" max="12038" width="1.54296875" customWidth="1"/>
    <col min="12039" max="12039" width="16" customWidth="1"/>
    <col min="12040" max="12040" width="1.54296875" customWidth="1"/>
    <col min="12041" max="12041" width="14" customWidth="1"/>
    <col min="12042" max="12042" width="1.54296875" customWidth="1"/>
    <col min="12043" max="12043" width="11.54296875" customWidth="1"/>
    <col min="12044" max="12044" width="2.54296875" customWidth="1"/>
    <col min="12045" max="12045" width="35.453125" bestFit="1" customWidth="1"/>
    <col min="12046" max="12046" width="20.453125" customWidth="1"/>
    <col min="12289" max="12289" width="4.54296875" customWidth="1"/>
    <col min="12290" max="12290" width="1.54296875" customWidth="1"/>
    <col min="12291" max="12291" width="46" customWidth="1"/>
    <col min="12292" max="12292" width="1.54296875" customWidth="1"/>
    <col min="12293" max="12293" width="34" customWidth="1"/>
    <col min="12294" max="12294" width="1.54296875" customWidth="1"/>
    <col min="12295" max="12295" width="16" customWidth="1"/>
    <col min="12296" max="12296" width="1.54296875" customWidth="1"/>
    <col min="12297" max="12297" width="14" customWidth="1"/>
    <col min="12298" max="12298" width="1.54296875" customWidth="1"/>
    <col min="12299" max="12299" width="11.54296875" customWidth="1"/>
    <col min="12300" max="12300" width="2.54296875" customWidth="1"/>
    <col min="12301" max="12301" width="35.453125" bestFit="1" customWidth="1"/>
    <col min="12302" max="12302" width="20.453125" customWidth="1"/>
    <col min="12545" max="12545" width="4.54296875" customWidth="1"/>
    <col min="12546" max="12546" width="1.54296875" customWidth="1"/>
    <col min="12547" max="12547" width="46" customWidth="1"/>
    <col min="12548" max="12548" width="1.54296875" customWidth="1"/>
    <col min="12549" max="12549" width="34" customWidth="1"/>
    <col min="12550" max="12550" width="1.54296875" customWidth="1"/>
    <col min="12551" max="12551" width="16" customWidth="1"/>
    <col min="12552" max="12552" width="1.54296875" customWidth="1"/>
    <col min="12553" max="12553" width="14" customWidth="1"/>
    <col min="12554" max="12554" width="1.54296875" customWidth="1"/>
    <col min="12555" max="12555" width="11.54296875" customWidth="1"/>
    <col min="12556" max="12556" width="2.54296875" customWidth="1"/>
    <col min="12557" max="12557" width="35.453125" bestFit="1" customWidth="1"/>
    <col min="12558" max="12558" width="20.453125" customWidth="1"/>
    <col min="12801" max="12801" width="4.54296875" customWidth="1"/>
    <col min="12802" max="12802" width="1.54296875" customWidth="1"/>
    <col min="12803" max="12803" width="46" customWidth="1"/>
    <col min="12804" max="12804" width="1.54296875" customWidth="1"/>
    <col min="12805" max="12805" width="34" customWidth="1"/>
    <col min="12806" max="12806" width="1.54296875" customWidth="1"/>
    <col min="12807" max="12807" width="16" customWidth="1"/>
    <col min="12808" max="12808" width="1.54296875" customWidth="1"/>
    <col min="12809" max="12809" width="14" customWidth="1"/>
    <col min="12810" max="12810" width="1.54296875" customWidth="1"/>
    <col min="12811" max="12811" width="11.54296875" customWidth="1"/>
    <col min="12812" max="12812" width="2.54296875" customWidth="1"/>
    <col min="12813" max="12813" width="35.453125" bestFit="1" customWidth="1"/>
    <col min="12814" max="12814" width="20.453125" customWidth="1"/>
    <col min="13057" max="13057" width="4.54296875" customWidth="1"/>
    <col min="13058" max="13058" width="1.54296875" customWidth="1"/>
    <col min="13059" max="13059" width="46" customWidth="1"/>
    <col min="13060" max="13060" width="1.54296875" customWidth="1"/>
    <col min="13061" max="13061" width="34" customWidth="1"/>
    <col min="13062" max="13062" width="1.54296875" customWidth="1"/>
    <col min="13063" max="13063" width="16" customWidth="1"/>
    <col min="13064" max="13064" width="1.54296875" customWidth="1"/>
    <col min="13065" max="13065" width="14" customWidth="1"/>
    <col min="13066" max="13066" width="1.54296875" customWidth="1"/>
    <col min="13067" max="13067" width="11.54296875" customWidth="1"/>
    <col min="13068" max="13068" width="2.54296875" customWidth="1"/>
    <col min="13069" max="13069" width="35.453125" bestFit="1" customWidth="1"/>
    <col min="13070" max="13070" width="20.453125" customWidth="1"/>
    <col min="13313" max="13313" width="4.54296875" customWidth="1"/>
    <col min="13314" max="13314" width="1.54296875" customWidth="1"/>
    <col min="13315" max="13315" width="46" customWidth="1"/>
    <col min="13316" max="13316" width="1.54296875" customWidth="1"/>
    <col min="13317" max="13317" width="34" customWidth="1"/>
    <col min="13318" max="13318" width="1.54296875" customWidth="1"/>
    <col min="13319" max="13319" width="16" customWidth="1"/>
    <col min="13320" max="13320" width="1.54296875" customWidth="1"/>
    <col min="13321" max="13321" width="14" customWidth="1"/>
    <col min="13322" max="13322" width="1.54296875" customWidth="1"/>
    <col min="13323" max="13323" width="11.54296875" customWidth="1"/>
    <col min="13324" max="13324" width="2.54296875" customWidth="1"/>
    <col min="13325" max="13325" width="35.453125" bestFit="1" customWidth="1"/>
    <col min="13326" max="13326" width="20.453125" customWidth="1"/>
    <col min="13569" max="13569" width="4.54296875" customWidth="1"/>
    <col min="13570" max="13570" width="1.54296875" customWidth="1"/>
    <col min="13571" max="13571" width="46" customWidth="1"/>
    <col min="13572" max="13572" width="1.54296875" customWidth="1"/>
    <col min="13573" max="13573" width="34" customWidth="1"/>
    <col min="13574" max="13574" width="1.54296875" customWidth="1"/>
    <col min="13575" max="13575" width="16" customWidth="1"/>
    <col min="13576" max="13576" width="1.54296875" customWidth="1"/>
    <col min="13577" max="13577" width="14" customWidth="1"/>
    <col min="13578" max="13578" width="1.54296875" customWidth="1"/>
    <col min="13579" max="13579" width="11.54296875" customWidth="1"/>
    <col min="13580" max="13580" width="2.54296875" customWidth="1"/>
    <col min="13581" max="13581" width="35.453125" bestFit="1" customWidth="1"/>
    <col min="13582" max="13582" width="20.453125" customWidth="1"/>
    <col min="13825" max="13825" width="4.54296875" customWidth="1"/>
    <col min="13826" max="13826" width="1.54296875" customWidth="1"/>
    <col min="13827" max="13827" width="46" customWidth="1"/>
    <col min="13828" max="13828" width="1.54296875" customWidth="1"/>
    <col min="13829" max="13829" width="34" customWidth="1"/>
    <col min="13830" max="13830" width="1.54296875" customWidth="1"/>
    <col min="13831" max="13831" width="16" customWidth="1"/>
    <col min="13832" max="13832" width="1.54296875" customWidth="1"/>
    <col min="13833" max="13833" width="14" customWidth="1"/>
    <col min="13834" max="13834" width="1.54296875" customWidth="1"/>
    <col min="13835" max="13835" width="11.54296875" customWidth="1"/>
    <col min="13836" max="13836" width="2.54296875" customWidth="1"/>
    <col min="13837" max="13837" width="35.453125" bestFit="1" customWidth="1"/>
    <col min="13838" max="13838" width="20.453125" customWidth="1"/>
    <col min="14081" max="14081" width="4.54296875" customWidth="1"/>
    <col min="14082" max="14082" width="1.54296875" customWidth="1"/>
    <col min="14083" max="14083" width="46" customWidth="1"/>
    <col min="14084" max="14084" width="1.54296875" customWidth="1"/>
    <col min="14085" max="14085" width="34" customWidth="1"/>
    <col min="14086" max="14086" width="1.54296875" customWidth="1"/>
    <col min="14087" max="14087" width="16" customWidth="1"/>
    <col min="14088" max="14088" width="1.54296875" customWidth="1"/>
    <col min="14089" max="14089" width="14" customWidth="1"/>
    <col min="14090" max="14090" width="1.54296875" customWidth="1"/>
    <col min="14091" max="14091" width="11.54296875" customWidth="1"/>
    <col min="14092" max="14092" width="2.54296875" customWidth="1"/>
    <col min="14093" max="14093" width="35.453125" bestFit="1" customWidth="1"/>
    <col min="14094" max="14094" width="20.453125" customWidth="1"/>
    <col min="14337" max="14337" width="4.54296875" customWidth="1"/>
    <col min="14338" max="14338" width="1.54296875" customWidth="1"/>
    <col min="14339" max="14339" width="46" customWidth="1"/>
    <col min="14340" max="14340" width="1.54296875" customWidth="1"/>
    <col min="14341" max="14341" width="34" customWidth="1"/>
    <col min="14342" max="14342" width="1.54296875" customWidth="1"/>
    <col min="14343" max="14343" width="16" customWidth="1"/>
    <col min="14344" max="14344" width="1.54296875" customWidth="1"/>
    <col min="14345" max="14345" width="14" customWidth="1"/>
    <col min="14346" max="14346" width="1.54296875" customWidth="1"/>
    <col min="14347" max="14347" width="11.54296875" customWidth="1"/>
    <col min="14348" max="14348" width="2.54296875" customWidth="1"/>
    <col min="14349" max="14349" width="35.453125" bestFit="1" customWidth="1"/>
    <col min="14350" max="14350" width="20.453125" customWidth="1"/>
    <col min="14593" max="14593" width="4.54296875" customWidth="1"/>
    <col min="14594" max="14594" width="1.54296875" customWidth="1"/>
    <col min="14595" max="14595" width="46" customWidth="1"/>
    <col min="14596" max="14596" width="1.54296875" customWidth="1"/>
    <col min="14597" max="14597" width="34" customWidth="1"/>
    <col min="14598" max="14598" width="1.54296875" customWidth="1"/>
    <col min="14599" max="14599" width="16" customWidth="1"/>
    <col min="14600" max="14600" width="1.54296875" customWidth="1"/>
    <col min="14601" max="14601" width="14" customWidth="1"/>
    <col min="14602" max="14602" width="1.54296875" customWidth="1"/>
    <col min="14603" max="14603" width="11.54296875" customWidth="1"/>
    <col min="14604" max="14604" width="2.54296875" customWidth="1"/>
    <col min="14605" max="14605" width="35.453125" bestFit="1" customWidth="1"/>
    <col min="14606" max="14606" width="20.453125" customWidth="1"/>
    <col min="14849" max="14849" width="4.54296875" customWidth="1"/>
    <col min="14850" max="14850" width="1.54296875" customWidth="1"/>
    <col min="14851" max="14851" width="46" customWidth="1"/>
    <col min="14852" max="14852" width="1.54296875" customWidth="1"/>
    <col min="14853" max="14853" width="34" customWidth="1"/>
    <col min="14854" max="14854" width="1.54296875" customWidth="1"/>
    <col min="14855" max="14855" width="16" customWidth="1"/>
    <col min="14856" max="14856" width="1.54296875" customWidth="1"/>
    <col min="14857" max="14857" width="14" customWidth="1"/>
    <col min="14858" max="14858" width="1.54296875" customWidth="1"/>
    <col min="14859" max="14859" width="11.54296875" customWidth="1"/>
    <col min="14860" max="14860" width="2.54296875" customWidth="1"/>
    <col min="14861" max="14861" width="35.453125" bestFit="1" customWidth="1"/>
    <col min="14862" max="14862" width="20.453125" customWidth="1"/>
    <col min="15105" max="15105" width="4.54296875" customWidth="1"/>
    <col min="15106" max="15106" width="1.54296875" customWidth="1"/>
    <col min="15107" max="15107" width="46" customWidth="1"/>
    <col min="15108" max="15108" width="1.54296875" customWidth="1"/>
    <col min="15109" max="15109" width="34" customWidth="1"/>
    <col min="15110" max="15110" width="1.54296875" customWidth="1"/>
    <col min="15111" max="15111" width="16" customWidth="1"/>
    <col min="15112" max="15112" width="1.54296875" customWidth="1"/>
    <col min="15113" max="15113" width="14" customWidth="1"/>
    <col min="15114" max="15114" width="1.54296875" customWidth="1"/>
    <col min="15115" max="15115" width="11.54296875" customWidth="1"/>
    <col min="15116" max="15116" width="2.54296875" customWidth="1"/>
    <col min="15117" max="15117" width="35.453125" bestFit="1" customWidth="1"/>
    <col min="15118" max="15118" width="20.453125" customWidth="1"/>
    <col min="15361" max="15361" width="4.54296875" customWidth="1"/>
    <col min="15362" max="15362" width="1.54296875" customWidth="1"/>
    <col min="15363" max="15363" width="46" customWidth="1"/>
    <col min="15364" max="15364" width="1.54296875" customWidth="1"/>
    <col min="15365" max="15365" width="34" customWidth="1"/>
    <col min="15366" max="15366" width="1.54296875" customWidth="1"/>
    <col min="15367" max="15367" width="16" customWidth="1"/>
    <col min="15368" max="15368" width="1.54296875" customWidth="1"/>
    <col min="15369" max="15369" width="14" customWidth="1"/>
    <col min="15370" max="15370" width="1.54296875" customWidth="1"/>
    <col min="15371" max="15371" width="11.54296875" customWidth="1"/>
    <col min="15372" max="15372" width="2.54296875" customWidth="1"/>
    <col min="15373" max="15373" width="35.453125" bestFit="1" customWidth="1"/>
    <col min="15374" max="15374" width="20.453125" customWidth="1"/>
    <col min="15617" max="15617" width="4.54296875" customWidth="1"/>
    <col min="15618" max="15618" width="1.54296875" customWidth="1"/>
    <col min="15619" max="15619" width="46" customWidth="1"/>
    <col min="15620" max="15620" width="1.54296875" customWidth="1"/>
    <col min="15621" max="15621" width="34" customWidth="1"/>
    <col min="15622" max="15622" width="1.54296875" customWidth="1"/>
    <col min="15623" max="15623" width="16" customWidth="1"/>
    <col min="15624" max="15624" width="1.54296875" customWidth="1"/>
    <col min="15625" max="15625" width="14" customWidth="1"/>
    <col min="15626" max="15626" width="1.54296875" customWidth="1"/>
    <col min="15627" max="15627" width="11.54296875" customWidth="1"/>
    <col min="15628" max="15628" width="2.54296875" customWidth="1"/>
    <col min="15629" max="15629" width="35.453125" bestFit="1" customWidth="1"/>
    <col min="15630" max="15630" width="20.453125" customWidth="1"/>
    <col min="15873" max="15873" width="4.54296875" customWidth="1"/>
    <col min="15874" max="15874" width="1.54296875" customWidth="1"/>
    <col min="15875" max="15875" width="46" customWidth="1"/>
    <col min="15876" max="15876" width="1.54296875" customWidth="1"/>
    <col min="15877" max="15877" width="34" customWidth="1"/>
    <col min="15878" max="15878" width="1.54296875" customWidth="1"/>
    <col min="15879" max="15879" width="16" customWidth="1"/>
    <col min="15880" max="15880" width="1.54296875" customWidth="1"/>
    <col min="15881" max="15881" width="14" customWidth="1"/>
    <col min="15882" max="15882" width="1.54296875" customWidth="1"/>
    <col min="15883" max="15883" width="11.54296875" customWidth="1"/>
    <col min="15884" max="15884" width="2.54296875" customWidth="1"/>
    <col min="15885" max="15885" width="35.453125" bestFit="1" customWidth="1"/>
    <col min="15886" max="15886" width="20.453125" customWidth="1"/>
    <col min="16129" max="16129" width="4.54296875" customWidth="1"/>
    <col min="16130" max="16130" width="1.54296875" customWidth="1"/>
    <col min="16131" max="16131" width="46" customWidth="1"/>
    <col min="16132" max="16132" width="1.54296875" customWidth="1"/>
    <col min="16133" max="16133" width="34" customWidth="1"/>
    <col min="16134" max="16134" width="1.54296875" customWidth="1"/>
    <col min="16135" max="16135" width="16" customWidth="1"/>
    <col min="16136" max="16136" width="1.54296875" customWidth="1"/>
    <col min="16137" max="16137" width="14" customWidth="1"/>
    <col min="16138" max="16138" width="1.54296875" customWidth="1"/>
    <col min="16139" max="16139" width="11.54296875" customWidth="1"/>
    <col min="16140" max="16140" width="2.54296875" customWidth="1"/>
    <col min="16141" max="16141" width="35.453125" bestFit="1" customWidth="1"/>
    <col min="16142" max="16142" width="20.453125" customWidth="1"/>
  </cols>
  <sheetData>
    <row r="1" spans="1:20" ht="13">
      <c r="A1" s="668" t="s">
        <v>1954</v>
      </c>
      <c r="B1" s="668"/>
      <c r="C1" s="669"/>
      <c r="D1" s="669"/>
      <c r="G1" s="669"/>
      <c r="H1" s="669"/>
      <c r="I1" s="669"/>
      <c r="J1" s="669"/>
      <c r="K1" s="669"/>
      <c r="L1" s="669"/>
      <c r="M1" s="669"/>
      <c r="N1" s="14"/>
      <c r="O1" s="14"/>
      <c r="P1" s="14"/>
      <c r="Q1" s="14"/>
      <c r="R1" s="14"/>
      <c r="S1" s="14"/>
      <c r="T1" s="14"/>
    </row>
    <row r="2" spans="1:20" ht="13">
      <c r="A2" s="14"/>
      <c r="B2" s="14"/>
      <c r="C2" s="68" t="s">
        <v>2531</v>
      </c>
      <c r="D2" s="14"/>
      <c r="E2" s="961" t="s">
        <v>2865</v>
      </c>
      <c r="F2" s="96"/>
      <c r="G2" s="96"/>
      <c r="H2" s="14"/>
      <c r="I2" s="14"/>
      <c r="J2" s="14"/>
      <c r="K2" s="14"/>
      <c r="L2" s="14"/>
      <c r="M2" s="14"/>
      <c r="N2" s="14"/>
      <c r="O2" s="14"/>
      <c r="P2" s="14"/>
      <c r="Q2" s="14"/>
      <c r="R2" s="14"/>
      <c r="S2" s="14"/>
      <c r="T2" s="14"/>
    </row>
    <row r="3" spans="1:20" ht="13">
      <c r="A3" s="670" t="s">
        <v>329</v>
      </c>
      <c r="B3" s="670"/>
      <c r="C3" s="669"/>
      <c r="D3" s="669"/>
      <c r="E3" s="669"/>
      <c r="F3" s="669"/>
      <c r="G3" s="669"/>
      <c r="H3" s="669"/>
      <c r="I3" s="669"/>
      <c r="J3" s="669"/>
      <c r="K3" s="669"/>
      <c r="L3" s="669"/>
      <c r="M3" s="669"/>
      <c r="N3" s="14"/>
      <c r="O3" s="14"/>
      <c r="P3" s="14"/>
      <c r="Q3" s="14"/>
      <c r="R3" s="14"/>
      <c r="S3" s="14"/>
      <c r="T3" s="14"/>
    </row>
    <row r="4" spans="1:20" ht="13">
      <c r="A4" s="671">
        <v>1</v>
      </c>
      <c r="B4" s="671"/>
      <c r="C4" s="565"/>
      <c r="D4" s="565"/>
      <c r="E4" s="565"/>
      <c r="F4" s="565"/>
      <c r="G4" s="669"/>
      <c r="H4" s="669"/>
      <c r="I4" s="669"/>
      <c r="J4" s="669"/>
      <c r="K4" s="669"/>
      <c r="L4" s="669"/>
      <c r="M4" s="669"/>
      <c r="N4" s="14"/>
      <c r="O4" s="14"/>
      <c r="P4" s="14"/>
      <c r="Q4" s="14"/>
      <c r="R4" s="14"/>
      <c r="S4" s="14"/>
      <c r="T4" s="14"/>
    </row>
    <row r="5" spans="1:20" ht="13">
      <c r="A5" s="556">
        <v>2</v>
      </c>
      <c r="B5" s="556"/>
      <c r="C5" s="565"/>
      <c r="D5" s="565"/>
      <c r="E5" s="565"/>
      <c r="F5" s="565"/>
      <c r="G5" s="669"/>
      <c r="H5" s="669"/>
      <c r="I5" s="669"/>
      <c r="J5" s="669"/>
      <c r="K5" s="669"/>
      <c r="L5" s="669"/>
      <c r="M5" s="669"/>
      <c r="N5" s="14"/>
      <c r="O5" s="14"/>
    </row>
    <row r="6" spans="1:20" ht="13">
      <c r="A6" s="556">
        <v>3</v>
      </c>
      <c r="B6" s="556"/>
      <c r="C6" s="557"/>
      <c r="D6" s="557"/>
      <c r="E6" s="557"/>
      <c r="F6" s="557"/>
      <c r="G6" s="554"/>
      <c r="H6" s="554"/>
      <c r="I6" s="554"/>
      <c r="J6" s="554"/>
      <c r="K6" s="556" t="s">
        <v>63</v>
      </c>
      <c r="L6" s="554"/>
      <c r="M6" s="554"/>
    </row>
    <row r="7" spans="1:20" ht="13">
      <c r="A7" s="556">
        <v>4</v>
      </c>
      <c r="B7" s="556"/>
      <c r="C7" s="554"/>
      <c r="D7" s="554"/>
      <c r="E7" s="672" t="s">
        <v>205</v>
      </c>
      <c r="F7" s="673"/>
      <c r="G7" s="554"/>
      <c r="H7" s="554"/>
      <c r="I7" s="554"/>
      <c r="J7" s="554"/>
      <c r="K7" s="674" t="s">
        <v>175</v>
      </c>
      <c r="L7" s="554"/>
      <c r="M7" s="559"/>
    </row>
    <row r="8" spans="1:20" ht="13">
      <c r="A8" s="556">
        <v>5</v>
      </c>
      <c r="B8" s="556"/>
      <c r="C8" s="557"/>
      <c r="D8" s="557"/>
      <c r="E8" s="557"/>
      <c r="F8" s="557"/>
      <c r="G8" s="554"/>
      <c r="H8" s="554"/>
      <c r="I8" s="554"/>
      <c r="J8" s="554"/>
      <c r="K8" s="560"/>
      <c r="L8" s="554"/>
      <c r="M8" s="557"/>
    </row>
    <row r="9" spans="1:20" ht="13">
      <c r="A9" s="556">
        <v>6</v>
      </c>
      <c r="B9" s="556"/>
      <c r="C9" s="668" t="s">
        <v>1974</v>
      </c>
      <c r="D9" s="565"/>
      <c r="E9" s="565" t="s">
        <v>1975</v>
      </c>
      <c r="F9" s="565"/>
      <c r="G9" s="669"/>
      <c r="H9" s="669"/>
      <c r="I9" s="669"/>
      <c r="J9" s="669"/>
      <c r="K9" s="560">
        <f>I20</f>
        <v>-272148806.84967965</v>
      </c>
      <c r="L9" s="554"/>
      <c r="M9" s="557"/>
      <c r="N9" s="675"/>
    </row>
    <row r="10" spans="1:20" ht="13.5" thickBot="1">
      <c r="A10" s="556">
        <v>7</v>
      </c>
      <c r="B10" s="556"/>
      <c r="C10" s="668" t="s">
        <v>1973</v>
      </c>
      <c r="D10" s="670"/>
      <c r="E10" s="565" t="s">
        <v>1955</v>
      </c>
      <c r="F10" s="565"/>
      <c r="G10" s="669"/>
      <c r="H10" s="669"/>
      <c r="I10" s="669"/>
      <c r="J10" s="669"/>
      <c r="K10" s="676">
        <f>+K20</f>
        <v>-241192828.59585106</v>
      </c>
      <c r="L10" s="554"/>
      <c r="M10" s="557"/>
    </row>
    <row r="11" spans="1:20" ht="13.5" thickTop="1">
      <c r="A11" s="556">
        <v>8</v>
      </c>
      <c r="B11" s="556"/>
      <c r="C11" s="565"/>
      <c r="D11" s="565"/>
      <c r="E11" s="565"/>
      <c r="F11" s="565"/>
      <c r="G11" s="669"/>
      <c r="H11" s="669"/>
      <c r="I11" s="669"/>
      <c r="J11" s="669"/>
      <c r="K11" s="560"/>
      <c r="L11" s="554"/>
      <c r="M11" s="554"/>
    </row>
    <row r="12" spans="1:20" ht="13">
      <c r="A12" s="556">
        <v>9</v>
      </c>
      <c r="B12" s="556"/>
      <c r="C12" s="669"/>
      <c r="D12" s="669"/>
      <c r="E12" s="669"/>
      <c r="F12" s="669"/>
      <c r="G12" s="677" t="s">
        <v>358</v>
      </c>
      <c r="H12" s="677"/>
      <c r="I12" s="677" t="s">
        <v>342</v>
      </c>
      <c r="J12" s="677"/>
      <c r="K12" s="677" t="s">
        <v>343</v>
      </c>
      <c r="L12" s="554"/>
      <c r="M12" s="554"/>
    </row>
    <row r="13" spans="1:20" ht="13">
      <c r="A13" s="556">
        <v>10</v>
      </c>
      <c r="B13" s="556"/>
      <c r="C13" s="669"/>
      <c r="D13" s="669"/>
      <c r="E13" s="669"/>
      <c r="F13" s="669"/>
      <c r="G13" s="671" t="s">
        <v>63</v>
      </c>
      <c r="H13" s="671"/>
      <c r="I13" s="671" t="s">
        <v>63</v>
      </c>
      <c r="J13" s="673"/>
      <c r="K13" s="671" t="s">
        <v>63</v>
      </c>
      <c r="L13" s="554"/>
      <c r="M13" s="554"/>
    </row>
    <row r="14" spans="1:20" ht="14.5">
      <c r="A14" s="556">
        <v>11</v>
      </c>
      <c r="B14" s="556"/>
      <c r="C14" s="671"/>
      <c r="D14" s="671"/>
      <c r="E14" s="671"/>
      <c r="F14" s="671"/>
      <c r="G14" s="671" t="s">
        <v>380</v>
      </c>
      <c r="H14" s="671"/>
      <c r="I14" s="671" t="s">
        <v>299</v>
      </c>
      <c r="J14" s="673"/>
      <c r="K14" s="678" t="s">
        <v>229</v>
      </c>
      <c r="L14" s="554"/>
      <c r="M14" s="554"/>
    </row>
    <row r="15" spans="1:20" ht="13">
      <c r="A15" s="556">
        <v>12</v>
      </c>
      <c r="B15" s="556"/>
      <c r="C15" s="556" t="s">
        <v>410</v>
      </c>
      <c r="D15" s="556"/>
      <c r="E15" s="671"/>
      <c r="F15" s="556"/>
      <c r="G15" s="556" t="s">
        <v>1956</v>
      </c>
      <c r="H15" s="673"/>
      <c r="I15" s="556" t="s">
        <v>1956</v>
      </c>
      <c r="J15" s="673"/>
      <c r="K15" s="556" t="s">
        <v>1956</v>
      </c>
      <c r="L15" s="554"/>
      <c r="M15" s="554"/>
    </row>
    <row r="16" spans="1:20" ht="13">
      <c r="A16" s="556">
        <v>13</v>
      </c>
      <c r="B16" s="556"/>
      <c r="C16" s="558" t="s">
        <v>1953</v>
      </c>
      <c r="D16" s="558"/>
      <c r="E16" s="897"/>
      <c r="F16" s="558"/>
      <c r="G16" s="674" t="s">
        <v>1957</v>
      </c>
      <c r="H16" s="673"/>
      <c r="I16" s="674" t="s">
        <v>1957</v>
      </c>
      <c r="J16" s="673"/>
      <c r="K16" s="674" t="s">
        <v>1957</v>
      </c>
      <c r="L16" s="554"/>
      <c r="M16" s="554"/>
    </row>
    <row r="17" spans="1:14" ht="13">
      <c r="A17" s="556">
        <v>14</v>
      </c>
      <c r="B17" s="556"/>
      <c r="C17" s="565" t="s">
        <v>1958</v>
      </c>
      <c r="D17" s="565"/>
      <c r="E17" s="465" t="s">
        <v>2175</v>
      </c>
      <c r="F17" s="463"/>
      <c r="G17" s="560">
        <f>+G27</f>
        <v>-205274298.64081284</v>
      </c>
      <c r="H17" s="679"/>
      <c r="I17" s="560">
        <f>+I27</f>
        <v>-264962789.61910224</v>
      </c>
      <c r="J17" s="679"/>
      <c r="K17" s="560">
        <f>(+G17+I17)/2</f>
        <v>-235118544.12995756</v>
      </c>
      <c r="L17" s="554"/>
      <c r="M17" s="554"/>
      <c r="N17" s="554"/>
    </row>
    <row r="18" spans="1:14" ht="13">
      <c r="A18" s="556">
        <v>15</v>
      </c>
      <c r="B18" s="556"/>
      <c r="C18" s="565" t="s">
        <v>1959</v>
      </c>
      <c r="D18" s="565"/>
      <c r="E18" s="565" t="s">
        <v>2176</v>
      </c>
      <c r="F18" s="565"/>
      <c r="G18" s="560">
        <f>+G32</f>
        <v>-4309499.8774518548</v>
      </c>
      <c r="H18" s="679"/>
      <c r="I18" s="560">
        <f>+I32</f>
        <v>-6586442.48452181</v>
      </c>
      <c r="J18" s="679"/>
      <c r="K18" s="560">
        <f>(+G18+I18)/2</f>
        <v>-5447971.1809868328</v>
      </c>
      <c r="L18" s="554"/>
      <c r="M18" s="554"/>
      <c r="N18" s="554"/>
    </row>
    <row r="19" spans="1:14" ht="13">
      <c r="A19" s="556">
        <v>16</v>
      </c>
      <c r="B19" s="556"/>
      <c r="C19" s="565" t="s">
        <v>1960</v>
      </c>
      <c r="D19" s="565"/>
      <c r="E19" s="565" t="s">
        <v>2177</v>
      </c>
      <c r="F19" s="565"/>
      <c r="G19" s="680">
        <f>+G39</f>
        <v>-653051.8237577253</v>
      </c>
      <c r="H19" s="681"/>
      <c r="I19" s="680">
        <f>+I39</f>
        <v>-599574.74605562666</v>
      </c>
      <c r="J19" s="681"/>
      <c r="K19" s="560">
        <f>(+G19+I19)/2</f>
        <v>-626313.28490667604</v>
      </c>
      <c r="L19" s="554"/>
      <c r="M19" s="554"/>
    </row>
    <row r="20" spans="1:14" ht="13.5" thickBot="1">
      <c r="A20" s="556">
        <v>17</v>
      </c>
      <c r="B20" s="556"/>
      <c r="C20" s="557" t="s">
        <v>197</v>
      </c>
      <c r="D20" s="557"/>
      <c r="E20" s="565" t="s">
        <v>1961</v>
      </c>
      <c r="F20" s="557"/>
      <c r="G20" s="682">
        <f>+G17+G18+G19</f>
        <v>-210236850.34202245</v>
      </c>
      <c r="H20" s="679"/>
      <c r="I20" s="682">
        <f>+I17+I18+I19</f>
        <v>-272148806.84967965</v>
      </c>
      <c r="J20" s="679"/>
      <c r="K20" s="682">
        <f>+K17+K18+K19</f>
        <v>-241192828.59585106</v>
      </c>
      <c r="L20" s="554"/>
      <c r="M20" s="557"/>
      <c r="N20" s="463" t="s">
        <v>328</v>
      </c>
    </row>
    <row r="21" spans="1:14" ht="13.5" thickTop="1">
      <c r="A21" s="556">
        <v>18</v>
      </c>
      <c r="B21" s="556"/>
      <c r="C21" s="554"/>
      <c r="D21" s="554"/>
      <c r="E21" s="669"/>
      <c r="F21" s="554"/>
      <c r="G21" s="554"/>
      <c r="H21" s="683"/>
      <c r="I21" s="554"/>
      <c r="J21" s="683"/>
      <c r="K21" s="554"/>
      <c r="L21" s="554"/>
      <c r="M21" s="554"/>
    </row>
    <row r="22" spans="1:14" ht="13">
      <c r="A22" s="556">
        <v>19</v>
      </c>
      <c r="B22" s="556"/>
      <c r="C22" s="555" t="s">
        <v>1962</v>
      </c>
      <c r="D22" s="555"/>
      <c r="E22" s="670"/>
      <c r="F22" s="555"/>
      <c r="G22" s="554"/>
      <c r="H22" s="683"/>
      <c r="I22" s="554"/>
      <c r="J22" s="683"/>
      <c r="K22" s="554"/>
      <c r="L22" s="554"/>
      <c r="M22" s="554"/>
    </row>
    <row r="23" spans="1:14" ht="13">
      <c r="A23" s="556">
        <v>20</v>
      </c>
      <c r="B23" s="556"/>
      <c r="E23" s="14"/>
      <c r="H23" s="516"/>
      <c r="J23" s="516"/>
      <c r="K23" s="464" t="s">
        <v>229</v>
      </c>
    </row>
    <row r="24" spans="1:14" ht="13">
      <c r="A24" s="556">
        <v>21</v>
      </c>
      <c r="B24" s="556"/>
      <c r="C24" s="555" t="s">
        <v>107</v>
      </c>
      <c r="D24" s="555"/>
      <c r="E24" s="670"/>
      <c r="F24" s="555"/>
      <c r="G24" s="381" t="s">
        <v>380</v>
      </c>
      <c r="H24" s="684"/>
      <c r="I24" s="381" t="s">
        <v>299</v>
      </c>
      <c r="J24" s="684"/>
      <c r="K24" s="685" t="s">
        <v>1963</v>
      </c>
      <c r="M24" s="480" t="s">
        <v>328</v>
      </c>
    </row>
    <row r="25" spans="1:14" ht="13">
      <c r="A25" s="556">
        <v>22</v>
      </c>
      <c r="B25" s="556"/>
      <c r="C25" s="465" t="s">
        <v>2558</v>
      </c>
      <c r="E25" s="565" t="s">
        <v>1964</v>
      </c>
      <c r="F25" s="565"/>
      <c r="G25" s="686">
        <v>-2939940359.73</v>
      </c>
      <c r="H25" s="687"/>
      <c r="I25" s="686">
        <v>-3794799466.79</v>
      </c>
      <c r="J25" s="688"/>
      <c r="M25" s="1386"/>
      <c r="N25" s="591"/>
    </row>
    <row r="26" spans="1:14" ht="13">
      <c r="A26" s="671">
        <v>23</v>
      </c>
      <c r="B26" s="556"/>
      <c r="C26" t="s">
        <v>200</v>
      </c>
      <c r="E26" s="689" t="s">
        <v>1965</v>
      </c>
      <c r="F26" s="689"/>
      <c r="G26" s="690">
        <f>'27-Allocators'!G15</f>
        <v>6.982260642173875E-2</v>
      </c>
      <c r="H26" s="691"/>
      <c r="I26" s="690">
        <f>'27-Allocators'!G15</f>
        <v>6.982260642173875E-2</v>
      </c>
      <c r="J26" s="691"/>
      <c r="M26" s="675"/>
    </row>
    <row r="27" spans="1:14" ht="13.5" thickBot="1">
      <c r="A27" s="671">
        <v>24</v>
      </c>
      <c r="B27" s="556"/>
      <c r="C27" t="s">
        <v>1966</v>
      </c>
      <c r="E27" s="570" t="s">
        <v>2178</v>
      </c>
      <c r="F27" s="52"/>
      <c r="G27" s="692">
        <f>+G25*G26</f>
        <v>-205274298.64081284</v>
      </c>
      <c r="H27" s="693"/>
      <c r="I27" s="692">
        <f>+I25*I26</f>
        <v>-264962789.61910224</v>
      </c>
      <c r="J27" s="693"/>
      <c r="K27" s="694">
        <f>(G27+I27)/2</f>
        <v>-235118544.12995756</v>
      </c>
      <c r="M27" s="675"/>
    </row>
    <row r="28" spans="1:14" ht="13.5" thickTop="1">
      <c r="A28" s="671">
        <v>25</v>
      </c>
      <c r="B28" s="556"/>
      <c r="E28" s="14"/>
      <c r="H28" s="516"/>
      <c r="J28" s="516"/>
      <c r="M28" s="675"/>
    </row>
    <row r="29" spans="1:14" ht="13">
      <c r="A29" s="671">
        <v>26</v>
      </c>
      <c r="B29" s="556"/>
      <c r="C29" s="51" t="s">
        <v>1967</v>
      </c>
      <c r="D29" s="51"/>
      <c r="E29" s="833"/>
      <c r="F29" s="51"/>
      <c r="H29" s="516"/>
      <c r="J29" s="516"/>
      <c r="M29" s="695" t="s">
        <v>328</v>
      </c>
    </row>
    <row r="30" spans="1:14" ht="13">
      <c r="A30" s="671">
        <v>27</v>
      </c>
      <c r="B30" s="556"/>
      <c r="C30" s="463" t="s">
        <v>1968</v>
      </c>
      <c r="D30" s="463"/>
      <c r="E30" s="565" t="s">
        <v>1964</v>
      </c>
      <c r="F30" s="565"/>
      <c r="G30" s="686">
        <v>-61720696.18</v>
      </c>
      <c r="H30" s="687"/>
      <c r="I30" s="686">
        <v>-94331088.769999996</v>
      </c>
      <c r="J30" s="688"/>
      <c r="M30" s="675"/>
    </row>
    <row r="31" spans="1:14" ht="13">
      <c r="A31" s="671">
        <v>28</v>
      </c>
      <c r="B31" s="556"/>
      <c r="C31" t="s">
        <v>200</v>
      </c>
      <c r="E31" s="689" t="s">
        <v>1965</v>
      </c>
      <c r="F31" s="689"/>
      <c r="G31" s="690">
        <f>'27-Allocators'!G15</f>
        <v>6.982260642173875E-2</v>
      </c>
      <c r="H31" s="691"/>
      <c r="I31" s="690">
        <f>'27-Allocators'!G15</f>
        <v>6.982260642173875E-2</v>
      </c>
      <c r="J31" s="691"/>
      <c r="M31" s="675"/>
    </row>
    <row r="32" spans="1:14" ht="13.5" thickBot="1">
      <c r="A32" s="671">
        <v>29</v>
      </c>
      <c r="B32" s="556"/>
      <c r="C32" t="s">
        <v>1966</v>
      </c>
      <c r="E32" s="570" t="s">
        <v>2179</v>
      </c>
      <c r="F32" s="52"/>
      <c r="G32" s="692">
        <f>+G30*G31</f>
        <v>-4309499.8774518548</v>
      </c>
      <c r="H32" s="693"/>
      <c r="I32" s="692">
        <f>+I30*I31</f>
        <v>-6586442.48452181</v>
      </c>
      <c r="J32" s="693"/>
      <c r="K32" s="694">
        <f>(G32+I32)/2</f>
        <v>-5447971.1809868328</v>
      </c>
      <c r="M32" s="675"/>
    </row>
    <row r="33" spans="1:11" ht="13.5" thickTop="1">
      <c r="A33" s="671">
        <f t="shared" ref="A33:A39" si="0">1+A32</f>
        <v>30</v>
      </c>
      <c r="E33" s="14"/>
      <c r="H33" s="516"/>
      <c r="J33" s="516"/>
    </row>
    <row r="34" spans="1:11" ht="13">
      <c r="A34" s="671">
        <f t="shared" si="0"/>
        <v>31</v>
      </c>
      <c r="C34" s="51" t="s">
        <v>1969</v>
      </c>
      <c r="E34" s="14"/>
      <c r="H34" s="516"/>
      <c r="J34" s="516"/>
    </row>
    <row r="35" spans="1:11" ht="13">
      <c r="A35" s="671">
        <f t="shared" si="0"/>
        <v>32</v>
      </c>
      <c r="C35" s="463" t="s">
        <v>1969</v>
      </c>
      <c r="E35" s="565" t="s">
        <v>1964</v>
      </c>
      <c r="F35" s="565"/>
      <c r="G35" s="977">
        <v>-18706028.240000002</v>
      </c>
      <c r="H35" s="687"/>
      <c r="I35" s="977">
        <v>-17174229.859999999</v>
      </c>
      <c r="J35" s="688"/>
    </row>
    <row r="36" spans="1:11" ht="13">
      <c r="A36" s="671">
        <f t="shared" si="0"/>
        <v>33</v>
      </c>
      <c r="C36" s="463" t="s">
        <v>1970</v>
      </c>
      <c r="E36" s="1194" t="s">
        <v>1971</v>
      </c>
      <c r="G36" s="697">
        <v>0.5</v>
      </c>
      <c r="H36" s="516"/>
      <c r="I36" s="697">
        <v>0.5</v>
      </c>
      <c r="J36" s="516"/>
    </row>
    <row r="37" spans="1:11" ht="13">
      <c r="A37" s="671">
        <f t="shared" si="0"/>
        <v>34</v>
      </c>
      <c r="C37" s="463" t="s">
        <v>1972</v>
      </c>
      <c r="E37" s="465" t="s">
        <v>2180</v>
      </c>
      <c r="G37" s="7">
        <f>+G35*G36</f>
        <v>-9353014.120000001</v>
      </c>
      <c r="H37" s="698"/>
      <c r="I37" s="7">
        <f>+I35*I36</f>
        <v>-8587114.9299999997</v>
      </c>
      <c r="J37" s="516"/>
    </row>
    <row r="38" spans="1:11" ht="13">
      <c r="A38" s="671">
        <f t="shared" si="0"/>
        <v>35</v>
      </c>
      <c r="C38" t="s">
        <v>200</v>
      </c>
      <c r="E38" s="689" t="s">
        <v>1965</v>
      </c>
      <c r="F38" s="689"/>
      <c r="G38" s="690">
        <f>'27-Allocators'!G15</f>
        <v>6.982260642173875E-2</v>
      </c>
      <c r="H38" s="691"/>
      <c r="I38" s="690">
        <f>'27-Allocators'!G15</f>
        <v>6.982260642173875E-2</v>
      </c>
      <c r="J38" s="691"/>
    </row>
    <row r="39" spans="1:11" ht="13.5" thickBot="1">
      <c r="A39" s="671">
        <f t="shared" si="0"/>
        <v>36</v>
      </c>
      <c r="C39" t="s">
        <v>1966</v>
      </c>
      <c r="E39" s="570" t="s">
        <v>2181</v>
      </c>
      <c r="F39" s="52"/>
      <c r="G39" s="692">
        <f>+G37*G38</f>
        <v>-653051.8237577253</v>
      </c>
      <c r="H39" s="693"/>
      <c r="I39" s="692">
        <f>+I37*I38</f>
        <v>-599574.74605562666</v>
      </c>
      <c r="J39" s="693"/>
      <c r="K39" s="694">
        <f>(G39+I39)/2</f>
        <v>-626313.28490667604</v>
      </c>
    </row>
    <row r="40" spans="1:11" ht="13" thickTop="1">
      <c r="H40" s="516"/>
      <c r="J40" s="516"/>
    </row>
    <row r="41" spans="1:11" ht="13">
      <c r="C41" s="51" t="s">
        <v>230</v>
      </c>
      <c r="H41" s="60"/>
      <c r="J41" s="60"/>
    </row>
    <row r="42" spans="1:11">
      <c r="C42" s="463" t="s">
        <v>2457</v>
      </c>
      <c r="D42" s="1124"/>
      <c r="H42" s="60"/>
      <c r="J42" s="60"/>
    </row>
    <row r="43" spans="1:11">
      <c r="C43" s="467" t="s">
        <v>2458</v>
      </c>
      <c r="H43" s="60"/>
      <c r="J43" s="60"/>
    </row>
    <row r="44" spans="1:11">
      <c r="C44" s="14" t="s">
        <v>2540</v>
      </c>
      <c r="D44" s="14"/>
      <c r="E44" s="14"/>
      <c r="F44" s="14"/>
      <c r="G44" s="14"/>
      <c r="H44" s="516"/>
      <c r="I44" s="14"/>
      <c r="J44" s="60"/>
    </row>
    <row r="45" spans="1:11">
      <c r="C45" s="1242" t="s">
        <v>2544</v>
      </c>
      <c r="D45" s="14"/>
      <c r="E45" s="14"/>
      <c r="F45" s="14"/>
      <c r="G45" s="14"/>
      <c r="H45" s="516"/>
      <c r="I45" s="14"/>
      <c r="J45" s="60"/>
    </row>
    <row r="46" spans="1:11">
      <c r="H46" s="60"/>
      <c r="J46" s="60"/>
    </row>
    <row r="47" spans="1:11">
      <c r="H47" s="60"/>
      <c r="J47" s="60"/>
    </row>
    <row r="48" spans="1:11">
      <c r="H48" s="60"/>
      <c r="J48" s="60"/>
    </row>
    <row r="49" spans="8:10">
      <c r="H49" s="60"/>
      <c r="J49" s="60"/>
    </row>
    <row r="50" spans="8:10">
      <c r="H50" s="60"/>
      <c r="J50" s="60"/>
    </row>
    <row r="51" spans="8:10">
      <c r="H51" s="60"/>
      <c r="J51" s="60"/>
    </row>
    <row r="52" spans="8:10">
      <c r="H52" s="60"/>
      <c r="J52" s="60"/>
    </row>
    <row r="53" spans="8:10">
      <c r="H53" s="60"/>
      <c r="J53" s="60"/>
    </row>
    <row r="54" spans="8:10">
      <c r="H54" s="60"/>
      <c r="J54" s="60"/>
    </row>
    <row r="55" spans="8:10">
      <c r="H55" s="60"/>
    </row>
    <row r="56" spans="8:10">
      <c r="H56" s="60"/>
    </row>
  </sheetData>
  <pageMargins left="0.7" right="0.7" top="0.75" bottom="0.75" header="0.3" footer="0.3"/>
  <pageSetup scale="85" orientation="landscape" cellComments="asDisplayed" r:id="rId1"/>
  <headerFooter>
    <oddHeader>&amp;CSchedule 34
Unfunded Reserves
&amp;RTO2022 Annual Update 
Attachment 1</oddHeader>
    <oddFooter>&amp;R34-UnfundedReserves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zoomScaleNormal="100" workbookViewId="0"/>
  </sheetViews>
  <sheetFormatPr defaultRowHeight="12.5"/>
  <cols>
    <col min="1" max="1" width="4.54296875" customWidth="1"/>
    <col min="2" max="2" width="20.54296875" customWidth="1"/>
    <col min="3" max="4" width="16.54296875" customWidth="1"/>
    <col min="5" max="5" width="24.54296875" customWidth="1"/>
    <col min="6" max="6" width="9.453125" customWidth="1"/>
    <col min="7" max="7" width="9" bestFit="1" customWidth="1"/>
    <col min="10" max="10" width="18.54296875" customWidth="1"/>
    <col min="11" max="11" width="20.54296875" customWidth="1"/>
  </cols>
  <sheetData>
    <row r="1" spans="1:6" ht="13">
      <c r="A1" s="1" t="s">
        <v>1065</v>
      </c>
    </row>
    <row r="2" spans="1:6" ht="13">
      <c r="A2" s="1"/>
    </row>
    <row r="3" spans="1:6">
      <c r="B3" s="12" t="s">
        <v>406</v>
      </c>
    </row>
    <row r="4" spans="1:6" ht="13">
      <c r="A4" s="1"/>
      <c r="B4" s="13" t="s">
        <v>338</v>
      </c>
    </row>
    <row r="5" spans="1:6" ht="13">
      <c r="A5" s="1"/>
      <c r="B5" s="13" t="s">
        <v>339</v>
      </c>
    </row>
    <row r="7" spans="1:6" ht="13">
      <c r="B7" s="1" t="s">
        <v>995</v>
      </c>
    </row>
    <row r="8" spans="1:6">
      <c r="E8" s="16"/>
    </row>
    <row r="9" spans="1:6" ht="13">
      <c r="A9" s="51" t="s">
        <v>329</v>
      </c>
      <c r="B9" s="70" t="s">
        <v>1064</v>
      </c>
    </row>
    <row r="10" spans="1:6" ht="13">
      <c r="A10" s="2">
        <v>1</v>
      </c>
    </row>
    <row r="11" spans="1:6" ht="13">
      <c r="A11" s="2">
        <f>A10+1</f>
        <v>2</v>
      </c>
      <c r="B11" s="367" t="s">
        <v>1423</v>
      </c>
      <c r="C11" s="14"/>
      <c r="D11" s="14"/>
      <c r="E11" s="14"/>
      <c r="F11" s="14"/>
    </row>
    <row r="12" spans="1:6" ht="13">
      <c r="A12" s="2">
        <f t="shared" ref="A12:A87" si="0">A11+1</f>
        <v>3</v>
      </c>
      <c r="B12" s="367" t="s">
        <v>1041</v>
      </c>
      <c r="C12" s="14"/>
      <c r="D12" s="14"/>
      <c r="E12" s="14"/>
      <c r="F12" s="14"/>
    </row>
    <row r="13" spans="1:6" ht="13">
      <c r="A13" s="2">
        <f t="shared" si="0"/>
        <v>4</v>
      </c>
      <c r="B13" s="367"/>
      <c r="C13" s="14"/>
      <c r="D13" s="14"/>
      <c r="E13" s="14"/>
      <c r="F13" s="14"/>
    </row>
    <row r="14" spans="1:6" ht="13">
      <c r="A14" s="2">
        <f t="shared" si="0"/>
        <v>5</v>
      </c>
      <c r="B14" s="845" t="s">
        <v>2161</v>
      </c>
      <c r="C14" s="14"/>
      <c r="D14" s="14"/>
      <c r="E14" s="14"/>
      <c r="F14" s="14"/>
    </row>
    <row r="15" spans="1:6" ht="13">
      <c r="A15" s="2">
        <f t="shared" si="0"/>
        <v>6</v>
      </c>
      <c r="B15" s="368"/>
      <c r="C15" s="14"/>
      <c r="D15" s="14"/>
      <c r="E15" s="14"/>
      <c r="F15" s="14"/>
    </row>
    <row r="16" spans="1:6" ht="13">
      <c r="A16" s="2">
        <f t="shared" si="0"/>
        <v>7</v>
      </c>
      <c r="B16" s="367" t="s">
        <v>363</v>
      </c>
      <c r="C16" s="14"/>
      <c r="D16" s="14"/>
      <c r="E16" s="14"/>
      <c r="F16" s="365"/>
    </row>
    <row r="17" spans="1:7" ht="13">
      <c r="A17" s="2">
        <f t="shared" si="0"/>
        <v>8</v>
      </c>
      <c r="B17" s="369" t="s">
        <v>1037</v>
      </c>
      <c r="C17" s="14"/>
      <c r="D17" s="14"/>
      <c r="E17" s="14"/>
      <c r="F17" s="67"/>
    </row>
    <row r="18" spans="1:7" ht="13">
      <c r="A18" s="2">
        <f t="shared" si="0"/>
        <v>9</v>
      </c>
      <c r="B18" s="369" t="s">
        <v>1038</v>
      </c>
      <c r="C18" s="14"/>
      <c r="D18" s="14"/>
      <c r="E18" s="14"/>
      <c r="F18" s="67"/>
    </row>
    <row r="19" spans="1:7" ht="13">
      <c r="A19" s="2">
        <f t="shared" si="0"/>
        <v>10</v>
      </c>
      <c r="B19" s="369" t="s">
        <v>218</v>
      </c>
      <c r="C19" s="14"/>
      <c r="D19" s="14"/>
      <c r="E19" s="356"/>
      <c r="F19" s="63"/>
    </row>
    <row r="20" spans="1:7" ht="13">
      <c r="A20" s="2">
        <f t="shared" si="0"/>
        <v>11</v>
      </c>
      <c r="B20" s="44"/>
      <c r="C20" s="14"/>
      <c r="D20" s="356"/>
      <c r="E20" s="122" t="s">
        <v>205</v>
      </c>
      <c r="F20" s="14"/>
    </row>
    <row r="21" spans="1:7" ht="13">
      <c r="A21" s="2">
        <f t="shared" si="0"/>
        <v>12</v>
      </c>
      <c r="C21" s="356" t="s">
        <v>1074</v>
      </c>
      <c r="D21" s="366">
        <f>'1-BaseTRR'!K90</f>
        <v>2.0688402678787333E-2</v>
      </c>
      <c r="E21" s="46" t="str">
        <f>"1-BaseTRR, Line "&amp;'1-BaseTRR'!A90&amp;""</f>
        <v>1-BaseTRR, Line 51</v>
      </c>
      <c r="F21" s="14"/>
    </row>
    <row r="22" spans="1:7" ht="13">
      <c r="A22" s="2">
        <f t="shared" si="0"/>
        <v>13</v>
      </c>
      <c r="C22" s="356" t="s">
        <v>1075</v>
      </c>
      <c r="D22" s="366">
        <f>'1-BaseTRR'!K95</f>
        <v>5.2391182605339905E-2</v>
      </c>
      <c r="E22" s="46" t="str">
        <f>"1-BaseTRR, Line "&amp;'1-BaseTRR'!A95&amp;""</f>
        <v>1-BaseTRR, Line 55</v>
      </c>
      <c r="F22" s="14"/>
    </row>
    <row r="23" spans="1:7" ht="13">
      <c r="A23" s="2">
        <f t="shared" si="0"/>
        <v>14</v>
      </c>
      <c r="C23" s="356" t="s">
        <v>1040</v>
      </c>
      <c r="D23" s="366">
        <f>'1-BaseTRR'!K104</f>
        <v>0.27983599999999997</v>
      </c>
      <c r="E23" s="46" t="str">
        <f>"1-BaseTRR, Line "&amp;'1-BaseTRR'!A104&amp;""</f>
        <v>1-BaseTRR, Line 59</v>
      </c>
      <c r="F23" s="14"/>
    </row>
    <row r="24" spans="1:7" ht="13">
      <c r="A24" s="2">
        <f t="shared" si="0"/>
        <v>15</v>
      </c>
      <c r="B24" s="15"/>
      <c r="C24" s="14"/>
      <c r="D24" s="366"/>
      <c r="E24" s="46"/>
      <c r="F24" s="14"/>
    </row>
    <row r="25" spans="1:7" ht="13">
      <c r="A25" s="2">
        <f t="shared" si="0"/>
        <v>16</v>
      </c>
      <c r="C25" s="356" t="s">
        <v>1039</v>
      </c>
      <c r="D25" s="366">
        <f>D21 + (D22*(1/(1-D23)))</f>
        <v>9.3437363478466151E-2</v>
      </c>
      <c r="E25" s="46" t="str">
        <f>"Line "&amp;A21&amp;" + (Line "&amp;A22&amp;" * (1/(1 - Line "&amp;A23&amp;")))"</f>
        <v>Line 12 + (Line 13 * (1/(1 - Line 14)))</v>
      </c>
      <c r="F25" s="14"/>
      <c r="G25" s="1475"/>
    </row>
    <row r="26" spans="1:7" ht="13">
      <c r="A26" s="2">
        <f t="shared" si="0"/>
        <v>17</v>
      </c>
      <c r="B26" s="15"/>
      <c r="C26" s="14"/>
      <c r="D26" s="356"/>
      <c r="E26" s="46"/>
      <c r="F26" s="14"/>
    </row>
    <row r="27" spans="1:7" ht="13">
      <c r="A27" s="2">
        <f t="shared" si="0"/>
        <v>18</v>
      </c>
      <c r="B27" s="70" t="s">
        <v>993</v>
      </c>
      <c r="C27" s="14"/>
      <c r="D27" s="356"/>
      <c r="E27" s="46"/>
      <c r="F27" s="14"/>
    </row>
    <row r="28" spans="1:7" ht="13">
      <c r="A28" s="2">
        <f t="shared" si="0"/>
        <v>19</v>
      </c>
      <c r="B28" s="15"/>
      <c r="C28" s="14"/>
      <c r="D28" s="356"/>
      <c r="E28" s="46"/>
      <c r="F28" s="14"/>
    </row>
    <row r="29" spans="1:7" ht="13">
      <c r="A29" s="2">
        <f t="shared" si="0"/>
        <v>20</v>
      </c>
      <c r="B29" s="367" t="s">
        <v>1076</v>
      </c>
      <c r="C29" s="14"/>
      <c r="D29" s="356"/>
      <c r="E29" s="46"/>
      <c r="F29" s="14"/>
    </row>
    <row r="30" spans="1:7" ht="13">
      <c r="A30" s="2">
        <f t="shared" si="0"/>
        <v>21</v>
      </c>
      <c r="B30" s="367" t="s">
        <v>1077</v>
      </c>
      <c r="C30" s="14"/>
      <c r="D30" s="356"/>
      <c r="E30" s="46"/>
      <c r="F30" s="14"/>
    </row>
    <row r="31" spans="1:7" ht="13">
      <c r="A31" s="2">
        <f t="shared" si="0"/>
        <v>22</v>
      </c>
      <c r="C31" s="14"/>
      <c r="D31" s="356"/>
      <c r="E31" s="46"/>
      <c r="F31" s="14"/>
    </row>
    <row r="32" spans="1:7" ht="13">
      <c r="A32" s="2">
        <f t="shared" si="0"/>
        <v>23</v>
      </c>
      <c r="B32" s="369" t="s">
        <v>1042</v>
      </c>
      <c r="C32" s="14"/>
      <c r="D32" s="356"/>
      <c r="E32" s="46"/>
      <c r="F32" s="14"/>
    </row>
    <row r="33" spans="1:11" ht="13">
      <c r="A33" s="2">
        <f t="shared" si="0"/>
        <v>24</v>
      </c>
      <c r="F33" s="14"/>
    </row>
    <row r="34" spans="1:11" ht="13">
      <c r="A34" s="2">
        <f t="shared" si="0"/>
        <v>25</v>
      </c>
      <c r="B34" s="70" t="s">
        <v>1063</v>
      </c>
      <c r="F34" s="14"/>
    </row>
    <row r="35" spans="1:11" ht="13">
      <c r="A35" s="2">
        <f t="shared" si="0"/>
        <v>26</v>
      </c>
      <c r="B35" s="12"/>
      <c r="E35" s="3" t="s">
        <v>205</v>
      </c>
      <c r="F35" s="14"/>
    </row>
    <row r="36" spans="1:11" ht="13">
      <c r="A36" s="2">
        <f t="shared" si="0"/>
        <v>27</v>
      </c>
      <c r="C36" s="93" t="s">
        <v>1048</v>
      </c>
      <c r="D36" s="100">
        <f>'6-PlantInService'!M24</f>
        <v>9662547990.8865414</v>
      </c>
      <c r="E36" s="46" t="str">
        <f>"6-PlantInService, Line "&amp;'6-PlantInService'!A24&amp;""</f>
        <v>6-PlantInService, Line 13</v>
      </c>
      <c r="F36" s="14"/>
      <c r="G36" s="14"/>
    </row>
    <row r="37" spans="1:11" ht="13">
      <c r="A37" s="2">
        <f t="shared" si="0"/>
        <v>28</v>
      </c>
      <c r="C37" s="93" t="s">
        <v>1049</v>
      </c>
      <c r="D37" s="100">
        <f>'6-PlantInService'!F36</f>
        <v>0</v>
      </c>
      <c r="E37" s="46" t="str">
        <f>"6-PlantInService, Line "&amp;'6-PlantInService'!A36&amp;""</f>
        <v>6-PlantInService, Line 16</v>
      </c>
      <c r="F37" s="14"/>
      <c r="G37" s="14"/>
    </row>
    <row r="38" spans="1:11" ht="13">
      <c r="A38" s="2">
        <f t="shared" si="0"/>
        <v>29</v>
      </c>
      <c r="C38" s="93" t="s">
        <v>1061</v>
      </c>
      <c r="D38" s="100">
        <f>'8-AccDep'!N24</f>
        <v>2029134780.6758177</v>
      </c>
      <c r="E38" s="46" t="str">
        <f>"8-AccDep, Line "&amp;'8-AccDep'!A24&amp;""</f>
        <v>8-AccDep, Line 13</v>
      </c>
      <c r="F38" s="14"/>
      <c r="G38" s="14"/>
    </row>
    <row r="39" spans="1:11" ht="13">
      <c r="A39" s="2">
        <f t="shared" si="0"/>
        <v>30</v>
      </c>
      <c r="C39" s="93" t="s">
        <v>1062</v>
      </c>
      <c r="D39" s="91">
        <f>'8-AccDep'!G34</f>
        <v>0</v>
      </c>
      <c r="E39" s="46" t="str">
        <f>"8-AccDep, Line "&amp;'8-AccDep'!A34&amp;""</f>
        <v>8-AccDep, Line 16</v>
      </c>
      <c r="F39" s="14"/>
      <c r="G39" s="14"/>
    </row>
    <row r="40" spans="1:11" ht="13">
      <c r="A40" s="2">
        <f t="shared" si="0"/>
        <v>31</v>
      </c>
      <c r="C40" s="93" t="s">
        <v>994</v>
      </c>
      <c r="D40" s="7">
        <f>(D36+D37)-(D38+D39)</f>
        <v>7633413210.2107239</v>
      </c>
      <c r="E40" s="46" t="str">
        <f>"(L"&amp;A36&amp;" + L"&amp;A37&amp;") - (L"&amp;A38&amp;" + L"&amp;A39&amp;")"</f>
        <v>(L27 + L28) - (L29 + L30)</v>
      </c>
      <c r="F40" s="14"/>
      <c r="G40" s="14"/>
    </row>
    <row r="41" spans="1:11" ht="13">
      <c r="A41" s="2">
        <f t="shared" si="0"/>
        <v>32</v>
      </c>
      <c r="C41" s="93"/>
      <c r="D41" s="7"/>
      <c r="E41" s="46"/>
      <c r="F41" s="14"/>
      <c r="G41" s="14"/>
    </row>
    <row r="42" spans="1:11" ht="13">
      <c r="A42" s="2">
        <f t="shared" si="0"/>
        <v>33</v>
      </c>
      <c r="B42" s="70" t="s">
        <v>1404</v>
      </c>
      <c r="E42" s="14"/>
      <c r="F42" s="14"/>
      <c r="G42" s="14"/>
    </row>
    <row r="43" spans="1:11" ht="13">
      <c r="A43" s="453">
        <f t="shared" si="0"/>
        <v>34</v>
      </c>
      <c r="B43" s="70"/>
      <c r="E43" s="14"/>
      <c r="F43" s="14"/>
      <c r="G43" s="14"/>
    </row>
    <row r="44" spans="1:11" ht="13">
      <c r="A44" s="453">
        <f t="shared" si="0"/>
        <v>35</v>
      </c>
      <c r="B44" s="70" t="s">
        <v>1405</v>
      </c>
      <c r="E44" s="14"/>
      <c r="F44" s="14"/>
      <c r="G44" s="14"/>
    </row>
    <row r="45" spans="1:11" ht="13">
      <c r="A45" s="453">
        <f t="shared" si="0"/>
        <v>36</v>
      </c>
      <c r="B45" s="55" t="s">
        <v>1406</v>
      </c>
      <c r="E45" s="14"/>
      <c r="F45" s="14"/>
      <c r="G45" s="14"/>
    </row>
    <row r="46" spans="1:11" ht="13">
      <c r="A46" s="453">
        <f t="shared" si="0"/>
        <v>37</v>
      </c>
      <c r="B46" s="70"/>
      <c r="C46" s="93" t="s">
        <v>1424</v>
      </c>
      <c r="D46" s="47">
        <f>'10-CWIP'!D25</f>
        <v>974174702.11999989</v>
      </c>
      <c r="E46" s="46" t="str">
        <f>"10-CWIP, L "&amp;'10-CWIP'!A25&amp;" C1"</f>
        <v>10-CWIP, L 13 C1</v>
      </c>
      <c r="F46" s="14"/>
      <c r="G46" s="14"/>
      <c r="K46" s="7"/>
    </row>
    <row r="47" spans="1:11" ht="13">
      <c r="A47" s="453">
        <f t="shared" si="0"/>
        <v>38</v>
      </c>
      <c r="B47" s="70"/>
      <c r="C47" s="93" t="s">
        <v>351</v>
      </c>
      <c r="D47" s="840">
        <f>D25</f>
        <v>9.3437363478466151E-2</v>
      </c>
      <c r="E47" s="46" t="str">
        <f>"Line "&amp;A25&amp;""</f>
        <v>Line 16</v>
      </c>
      <c r="F47" s="14"/>
      <c r="G47" s="14"/>
      <c r="K47" s="7"/>
    </row>
    <row r="48" spans="1:11" ht="13">
      <c r="A48" s="453">
        <f t="shared" si="0"/>
        <v>39</v>
      </c>
      <c r="B48" s="70"/>
      <c r="C48" s="93" t="s">
        <v>1399</v>
      </c>
      <c r="D48" s="47">
        <f>D46*D47</f>
        <v>91024315.733512923</v>
      </c>
      <c r="E48" s="46" t="str">
        <f>"Line "&amp;A46&amp;" * Line "&amp;A47&amp;""</f>
        <v>Line 37 * Line 38</v>
      </c>
      <c r="F48" s="14"/>
      <c r="G48" s="14"/>
      <c r="K48" s="7"/>
    </row>
    <row r="49" spans="1:11" ht="13">
      <c r="A49" s="453">
        <f t="shared" si="0"/>
        <v>40</v>
      </c>
      <c r="B49" s="70"/>
      <c r="C49" s="93"/>
      <c r="D49" s="100"/>
      <c r="E49" s="46"/>
      <c r="F49" s="14"/>
      <c r="G49" s="14"/>
      <c r="K49" s="7"/>
    </row>
    <row r="50" spans="1:11" ht="13">
      <c r="A50" s="453">
        <f t="shared" si="0"/>
        <v>41</v>
      </c>
      <c r="B50" s="55" t="s">
        <v>1407</v>
      </c>
      <c r="E50" s="14"/>
      <c r="F50" s="14"/>
      <c r="G50" s="14"/>
      <c r="K50" s="7"/>
    </row>
    <row r="51" spans="1:11" ht="13">
      <c r="A51" s="453">
        <f t="shared" si="0"/>
        <v>42</v>
      </c>
      <c r="B51" s="70"/>
      <c r="C51" s="93" t="s">
        <v>1413</v>
      </c>
      <c r="D51" s="100">
        <f>'15-IncentiveAdder'!G17</f>
        <v>6595.7198638087975</v>
      </c>
      <c r="E51" s="112" t="str">
        <f>"15-IncentiveAdder, Line "&amp;'15-IncentiveAdder'!A17&amp;""</f>
        <v>15-IncentiveAdder, Line 3</v>
      </c>
      <c r="F51" s="14"/>
      <c r="G51" s="14"/>
      <c r="K51" s="7"/>
    </row>
    <row r="52" spans="1:11" ht="13">
      <c r="A52" s="453">
        <f t="shared" si="0"/>
        <v>43</v>
      </c>
      <c r="B52" s="70"/>
      <c r="C52" s="93"/>
      <c r="E52" s="14"/>
      <c r="F52" s="14"/>
      <c r="G52" s="14"/>
      <c r="K52" s="7"/>
    </row>
    <row r="53" spans="1:11" ht="13">
      <c r="A53" s="453">
        <f t="shared" si="0"/>
        <v>44</v>
      </c>
      <c r="B53" s="70"/>
      <c r="C53" s="93" t="s">
        <v>1386</v>
      </c>
      <c r="D53" s="7">
        <f>'10-CWIP'!E25</f>
        <v>160227</v>
      </c>
      <c r="E53" s="46" t="str">
        <f>"10-CWIP, Line "&amp;'10-CWIP'!A25&amp;""</f>
        <v>10-CWIP, Line 13</v>
      </c>
      <c r="F53" s="15"/>
      <c r="G53" s="14"/>
      <c r="K53" s="7"/>
    </row>
    <row r="54" spans="1:11" ht="13">
      <c r="A54" s="453">
        <f t="shared" si="0"/>
        <v>45</v>
      </c>
      <c r="B54" s="70"/>
      <c r="C54" s="93" t="s">
        <v>1410</v>
      </c>
      <c r="D54" s="42">
        <f>'15-IncentiveAdder'!E26</f>
        <v>1.2500000000000001E-2</v>
      </c>
      <c r="E54" s="112" t="str">
        <f>"15-IncentiveAdder, Line "&amp;'15-IncentiveAdder'!A26&amp;""</f>
        <v>15-IncentiveAdder, Line 5</v>
      </c>
      <c r="F54" s="15"/>
      <c r="G54" s="14"/>
      <c r="K54" s="7"/>
    </row>
    <row r="55" spans="1:11" ht="13">
      <c r="A55" s="453">
        <f t="shared" si="0"/>
        <v>46</v>
      </c>
      <c r="B55" s="70"/>
      <c r="C55" s="93" t="s">
        <v>1409</v>
      </c>
      <c r="D55" s="7">
        <f>(D53/1000000)*($D$51*(D54/0.01))</f>
        <v>1321.0155082731155</v>
      </c>
      <c r="E55" s="462" t="str">
        <f>"Formula on Line "&amp;A61&amp;""</f>
        <v>Formula on Line 52</v>
      </c>
      <c r="F55" s="14"/>
      <c r="G55" s="14"/>
      <c r="K55" s="7"/>
    </row>
    <row r="56" spans="1:11" ht="13">
      <c r="A56" s="453">
        <f t="shared" si="0"/>
        <v>47</v>
      </c>
      <c r="B56" s="70"/>
      <c r="C56" s="93"/>
      <c r="E56" s="63"/>
      <c r="F56" s="14"/>
      <c r="G56" s="14"/>
      <c r="K56" s="7"/>
    </row>
    <row r="57" spans="1:11" ht="13">
      <c r="A57" s="453">
        <f t="shared" si="0"/>
        <v>48</v>
      </c>
      <c r="C57" s="93" t="s">
        <v>1408</v>
      </c>
      <c r="D57" s="7">
        <f>'10-CWIP'!F25</f>
        <v>0</v>
      </c>
      <c r="E57" s="46" t="str">
        <f>"10-CWIP, Line "&amp;'10-CWIP'!A25&amp;""</f>
        <v>10-CWIP, Line 13</v>
      </c>
      <c r="F57" s="14"/>
      <c r="G57" s="14"/>
      <c r="K57" s="7"/>
    </row>
    <row r="58" spans="1:11" ht="13">
      <c r="A58" s="453">
        <f t="shared" si="0"/>
        <v>49</v>
      </c>
      <c r="C58" s="93" t="s">
        <v>1411</v>
      </c>
      <c r="D58" s="42">
        <f>'15-IncentiveAdder'!E27</f>
        <v>0.01</v>
      </c>
      <c r="E58" s="112" t="str">
        <f>"15-IncentiveAdder, Line "&amp;'15-IncentiveAdder'!A27&amp;""</f>
        <v>15-IncentiveAdder, Line 6</v>
      </c>
      <c r="F58" s="14"/>
      <c r="G58" s="14"/>
      <c r="K58" s="7"/>
    </row>
    <row r="59" spans="1:11" ht="13">
      <c r="A59" s="453">
        <f t="shared" si="0"/>
        <v>50</v>
      </c>
      <c r="C59" s="93" t="s">
        <v>1412</v>
      </c>
      <c r="D59" s="7">
        <f>(D57/1000000)*($D$51*(D58/0.01))</f>
        <v>0</v>
      </c>
      <c r="E59" s="46" t="str">
        <f>"Formula on Line "&amp;A61&amp;""</f>
        <v>Formula on Line 52</v>
      </c>
      <c r="F59" s="14"/>
      <c r="G59" s="14"/>
      <c r="K59" s="7"/>
    </row>
    <row r="60" spans="1:11" ht="13">
      <c r="A60" s="453">
        <f t="shared" si="0"/>
        <v>51</v>
      </c>
      <c r="C60" s="93"/>
      <c r="D60" s="7"/>
      <c r="E60" s="46"/>
      <c r="F60" s="14"/>
      <c r="G60" s="14"/>
      <c r="K60" s="7"/>
    </row>
    <row r="61" spans="1:11" ht="13">
      <c r="A61" s="453">
        <f t="shared" si="0"/>
        <v>52</v>
      </c>
      <c r="C61" s="50" t="s">
        <v>1388</v>
      </c>
      <c r="D61" s="7"/>
      <c r="E61" s="46"/>
      <c r="F61" s="14"/>
      <c r="G61" s="14"/>
      <c r="K61" s="7"/>
    </row>
    <row r="62" spans="1:11" ht="13">
      <c r="A62" s="453">
        <f t="shared" si="0"/>
        <v>53</v>
      </c>
      <c r="E62" s="14"/>
      <c r="F62" s="14"/>
      <c r="G62" s="14"/>
      <c r="K62" s="7"/>
    </row>
    <row r="63" spans="1:11" ht="13">
      <c r="A63" s="453">
        <f t="shared" si="0"/>
        <v>54</v>
      </c>
      <c r="C63" s="461" t="s">
        <v>1443</v>
      </c>
      <c r="D63" s="47">
        <f>D48+D55+D59</f>
        <v>91025636.749021202</v>
      </c>
      <c r="E63" s="46" t="str">
        <f>"Line "&amp;A48&amp;" + Line "&amp;A55&amp;" + Line "&amp;A59&amp;""</f>
        <v>Line 39 + Line 46 + Line 50</v>
      </c>
      <c r="F63" s="14"/>
      <c r="G63" s="14"/>
      <c r="K63" s="7"/>
    </row>
    <row r="64" spans="1:11" ht="13">
      <c r="A64" s="460">
        <f t="shared" si="0"/>
        <v>55</v>
      </c>
      <c r="C64" s="461" t="s">
        <v>1442</v>
      </c>
      <c r="D64" s="110">
        <f>('28-FFU'!D22+'28-FFU'!E22)*D63</f>
        <v>1880332.4494025586</v>
      </c>
      <c r="E64" s="462" t="str">
        <f>"(28-FFU, L"&amp;'28-FFU'!A22&amp;" FF Factor + U Factor) * L"&amp;A63&amp;""</f>
        <v>(28-FFU, L5 FF Factor + U Factor) * L54</v>
      </c>
      <c r="F64" s="14"/>
      <c r="G64" s="14"/>
      <c r="K64" s="7"/>
    </row>
    <row r="65" spans="1:11" ht="13">
      <c r="A65" s="460">
        <f t="shared" si="0"/>
        <v>56</v>
      </c>
      <c r="C65" s="461" t="s">
        <v>1444</v>
      </c>
      <c r="D65" s="47">
        <f>SUM(D63:D64)</f>
        <v>92905969.198423758</v>
      </c>
      <c r="E65" s="46" t="str">
        <f>"Line "&amp;A63&amp;" + Line "&amp;A64&amp;""</f>
        <v>Line 54 + Line 55</v>
      </c>
      <c r="F65" s="14"/>
      <c r="K65" s="7"/>
    </row>
    <row r="66" spans="1:11" ht="13">
      <c r="A66" s="460">
        <f t="shared" si="0"/>
        <v>57</v>
      </c>
      <c r="C66" s="93"/>
      <c r="D66" s="100"/>
      <c r="E66" s="46"/>
      <c r="F66" s="14"/>
      <c r="K66" s="7"/>
    </row>
    <row r="67" spans="1:11" ht="13">
      <c r="A67" s="460">
        <f t="shared" si="0"/>
        <v>58</v>
      </c>
      <c r="B67" s="70" t="s">
        <v>1414</v>
      </c>
      <c r="C67" s="93"/>
      <c r="D67" s="100"/>
      <c r="E67" s="46"/>
      <c r="F67" s="14"/>
      <c r="K67" s="7"/>
    </row>
    <row r="68" spans="1:11" ht="13">
      <c r="A68" s="460">
        <f t="shared" si="0"/>
        <v>59</v>
      </c>
      <c r="F68" s="14"/>
      <c r="K68" s="7"/>
    </row>
    <row r="69" spans="1:11" ht="13">
      <c r="A69" s="109">
        <f t="shared" si="0"/>
        <v>60</v>
      </c>
      <c r="B69" s="14"/>
      <c r="C69" s="842" t="s">
        <v>1443</v>
      </c>
      <c r="D69" s="47">
        <f>D63</f>
        <v>91025636.749021202</v>
      </c>
      <c r="E69" s="46" t="str">
        <f>"Line "&amp;A63&amp;""</f>
        <v>Line 54</v>
      </c>
      <c r="F69" s="14"/>
      <c r="K69" s="7"/>
    </row>
    <row r="70" spans="1:11" ht="13">
      <c r="A70" s="109">
        <f t="shared" si="0"/>
        <v>61</v>
      </c>
      <c r="B70" s="14"/>
      <c r="C70" s="842" t="s">
        <v>1704</v>
      </c>
      <c r="D70" s="47">
        <f>'1-BaseTRR'!K139</f>
        <v>1243226899.9455924</v>
      </c>
      <c r="E70" s="46" t="str">
        <f>"1-BaseTRR, Line "&amp;'1-BaseTRR'!A139&amp;""</f>
        <v>1-BaseTRR, Line 78</v>
      </c>
      <c r="F70" s="14"/>
      <c r="K70" s="7"/>
    </row>
    <row r="71" spans="1:11" ht="13">
      <c r="A71" s="109">
        <f t="shared" si="0"/>
        <v>62</v>
      </c>
      <c r="B71" s="14"/>
      <c r="C71" s="356" t="s">
        <v>1425</v>
      </c>
      <c r="D71" s="47">
        <f>D70-D69</f>
        <v>1152201263.1965711</v>
      </c>
      <c r="E71" s="46" t="str">
        <f>"Line "&amp;A70&amp;" - Line "&amp;A69&amp;""</f>
        <v>Line 61 - Line 60</v>
      </c>
      <c r="F71" s="14"/>
      <c r="K71" s="7"/>
    </row>
    <row r="72" spans="1:11" ht="13">
      <c r="A72" s="109">
        <f t="shared" si="0"/>
        <v>63</v>
      </c>
      <c r="B72" s="14"/>
      <c r="C72" s="843" t="s">
        <v>1816</v>
      </c>
      <c r="D72" s="63">
        <f>('1-BaseTRR'!K126+'1-BaseTRR'!K127)*0.75</f>
        <v>225416213.13372347</v>
      </c>
      <c r="E72" s="46" t="str">
        <f>"(1-BaseTRR, Line "&amp;'1-BaseTRR'!A126&amp;" + Line "&amp;'1-BaseTRR'!A127&amp;") * .75"</f>
        <v>(1-BaseTRR, Line 66 + Line 67) * .75</v>
      </c>
      <c r="F72" s="14"/>
      <c r="G72" s="14"/>
      <c r="K72" s="7"/>
    </row>
    <row r="73" spans="1:11" ht="13">
      <c r="A73" s="109">
        <f t="shared" si="0"/>
        <v>64</v>
      </c>
      <c r="B73" s="14"/>
      <c r="C73" s="356" t="s">
        <v>271</v>
      </c>
      <c r="D73" s="840">
        <f xml:space="preserve"> (D71-D72)/D40</f>
        <v>0.12141161817666926</v>
      </c>
      <c r="E73" s="46" t="str">
        <f>"(Line "&amp;A71&amp;" - Line "&amp;A72&amp;") / Line "&amp;A40&amp;""</f>
        <v>(Line 62 - Line 63) / Line 31</v>
      </c>
      <c r="F73" s="14"/>
      <c r="K73" s="7"/>
    </row>
    <row r="74" spans="1:11" ht="13">
      <c r="A74" s="109">
        <f t="shared" si="0"/>
        <v>65</v>
      </c>
      <c r="B74" s="14"/>
      <c r="C74" s="14"/>
      <c r="D74" s="63"/>
      <c r="E74" s="46"/>
      <c r="F74" s="14"/>
    </row>
    <row r="75" spans="1:11" ht="13">
      <c r="A75" s="109">
        <f t="shared" si="0"/>
        <v>66</v>
      </c>
      <c r="B75" s="44" t="s">
        <v>349</v>
      </c>
      <c r="C75" s="14"/>
      <c r="D75" s="14"/>
      <c r="E75" s="14"/>
      <c r="F75" s="14"/>
    </row>
    <row r="76" spans="1:11" ht="13">
      <c r="A76" s="109">
        <f t="shared" si="0"/>
        <v>67</v>
      </c>
      <c r="B76" s="14"/>
      <c r="C76" s="14"/>
      <c r="D76" s="14"/>
      <c r="E76" s="14"/>
      <c r="F76" s="14"/>
    </row>
    <row r="77" spans="1:11" ht="13">
      <c r="A77" s="109">
        <f t="shared" si="0"/>
        <v>68</v>
      </c>
      <c r="B77" s="14"/>
      <c r="C77" s="14"/>
      <c r="D77" s="14"/>
      <c r="E77" s="122" t="s">
        <v>205</v>
      </c>
      <c r="F77" s="14"/>
      <c r="I77" s="1"/>
    </row>
    <row r="78" spans="1:11" ht="13">
      <c r="A78" s="109">
        <f t="shared" si="0"/>
        <v>69</v>
      </c>
      <c r="B78" s="14"/>
      <c r="C78" s="356" t="s">
        <v>270</v>
      </c>
      <c r="D78" s="63">
        <f>'16-PlantAdditions'!N37</f>
        <v>1527325391.9528899</v>
      </c>
      <c r="E78" s="46" t="str">
        <f>"16-PlantAdditions, L "&amp;'16-PlantAdditions'!A37&amp;", C10"</f>
        <v>16-PlantAdditions, L 25, C10</v>
      </c>
      <c r="F78" s="14"/>
      <c r="K78" s="7"/>
    </row>
    <row r="79" spans="1:11" ht="13">
      <c r="A79" s="109">
        <f t="shared" si="0"/>
        <v>70</v>
      </c>
      <c r="B79" s="14"/>
      <c r="C79" s="356" t="s">
        <v>271</v>
      </c>
      <c r="D79" s="844">
        <f>D73</f>
        <v>0.12141161817666926</v>
      </c>
      <c r="E79" s="46" t="str">
        <f>"Line "&amp;A73&amp;""</f>
        <v>Line 64</v>
      </c>
      <c r="F79" s="14"/>
      <c r="K79" s="666"/>
    </row>
    <row r="80" spans="1:11" ht="13">
      <c r="A80" s="109">
        <f t="shared" si="0"/>
        <v>71</v>
      </c>
      <c r="B80" s="14"/>
      <c r="C80" s="356" t="s">
        <v>350</v>
      </c>
      <c r="D80" s="63">
        <f>D78*D79</f>
        <v>185435047.319316</v>
      </c>
      <c r="E80" s="46" t="str">
        <f>"Line "&amp;A78&amp;" * Line "&amp;A79&amp;""</f>
        <v>Line 69 * Line 70</v>
      </c>
      <c r="F80" s="14"/>
      <c r="K80" s="7"/>
    </row>
    <row r="81" spans="1:11" ht="13">
      <c r="A81" s="109">
        <f t="shared" si="0"/>
        <v>72</v>
      </c>
      <c r="B81" s="14"/>
      <c r="C81" s="14"/>
      <c r="D81" s="14"/>
      <c r="E81" s="14"/>
      <c r="F81" s="14"/>
      <c r="K81" s="7"/>
    </row>
    <row r="82" spans="1:11" ht="13">
      <c r="A82" s="109">
        <f t="shared" si="0"/>
        <v>73</v>
      </c>
      <c r="B82" s="14"/>
      <c r="C82" s="356" t="s">
        <v>353</v>
      </c>
      <c r="D82" s="63">
        <f>'10-CWIP'!K79</f>
        <v>-820113818.9424268</v>
      </c>
      <c r="E82" s="46" t="str">
        <f>"10-CWIP, L "&amp;'10-CWIP'!A79&amp;", C8"</f>
        <v>10-CWIP, L 54, C8</v>
      </c>
      <c r="F82" s="14"/>
      <c r="K82" s="7"/>
    </row>
    <row r="83" spans="1:11" ht="13">
      <c r="A83" s="109">
        <f t="shared" si="0"/>
        <v>74</v>
      </c>
      <c r="B83" s="14"/>
      <c r="C83" s="356" t="s">
        <v>351</v>
      </c>
      <c r="D83" s="844">
        <f>D25</f>
        <v>9.3437363478466151E-2</v>
      </c>
      <c r="E83" s="46" t="str">
        <f>"Line "&amp;A25&amp;""</f>
        <v>Line 16</v>
      </c>
      <c r="F83" s="14"/>
      <c r="K83" s="666"/>
    </row>
    <row r="84" spans="1:11" ht="13">
      <c r="A84" s="109">
        <f t="shared" si="0"/>
        <v>75</v>
      </c>
      <c r="B84" s="14"/>
      <c r="C84" s="356" t="s">
        <v>352</v>
      </c>
      <c r="D84" s="63">
        <f>D82*D83</f>
        <v>-76629272.994236514</v>
      </c>
      <c r="E84" s="46" t="str">
        <f>"Line "&amp;A82&amp;" * Line "&amp;A83&amp;""</f>
        <v>Line 73 * Line 74</v>
      </c>
      <c r="F84" s="14"/>
      <c r="K84" s="7"/>
    </row>
    <row r="85" spans="1:11" ht="13">
      <c r="A85" s="109">
        <f t="shared" si="0"/>
        <v>76</v>
      </c>
      <c r="B85" s="14"/>
      <c r="C85" s="14"/>
      <c r="D85" s="14"/>
      <c r="E85" s="14"/>
      <c r="F85" s="14"/>
      <c r="K85" s="7"/>
    </row>
    <row r="86" spans="1:11" ht="13">
      <c r="A86" s="109">
        <f t="shared" si="0"/>
        <v>77</v>
      </c>
      <c r="B86" s="14"/>
      <c r="C86" s="356" t="s">
        <v>1430</v>
      </c>
      <c r="D86" s="63">
        <f>D80+D84</f>
        <v>108805774.32507949</v>
      </c>
      <c r="E86" s="46" t="str">
        <f>"Line "&amp;A80&amp;" + Line "&amp;A84&amp;""</f>
        <v>Line 71 + Line 75</v>
      </c>
      <c r="F86" s="14"/>
      <c r="K86" s="7"/>
    </row>
    <row r="87" spans="1:11" ht="13">
      <c r="A87" s="109">
        <f t="shared" si="0"/>
        <v>78</v>
      </c>
      <c r="B87" s="14"/>
      <c r="C87" s="14"/>
      <c r="D87" s="14"/>
      <c r="E87" s="14"/>
      <c r="F87" s="14"/>
      <c r="K87" s="7"/>
    </row>
    <row r="88" spans="1:11" ht="13">
      <c r="A88" s="109">
        <f t="shared" ref="A88:A91" si="1">A87+1</f>
        <v>79</v>
      </c>
      <c r="B88" s="14"/>
      <c r="C88" s="356" t="s">
        <v>1431</v>
      </c>
      <c r="D88" s="63">
        <f>'28-FFU'!D22*D86</f>
        <v>1006244.2734822965</v>
      </c>
      <c r="E88" s="112" t="str">
        <f>"Line "&amp;A86&amp;" * FF (from 28-FFU, L "&amp;'28-FFU'!A22&amp;")"</f>
        <v>Line 77 * FF (from 28-FFU, L 5)</v>
      </c>
      <c r="F88" s="14"/>
      <c r="K88" s="7"/>
    </row>
    <row r="89" spans="1:11" ht="13">
      <c r="A89" s="109">
        <f t="shared" si="1"/>
        <v>80</v>
      </c>
      <c r="B89" s="14"/>
      <c r="C89" s="79" t="s">
        <v>1432</v>
      </c>
      <c r="D89" s="63">
        <f>'28-FFU'!E22*D86</f>
        <v>1241375.5779439965</v>
      </c>
      <c r="E89" s="112" t="str">
        <f>"Line "&amp;A86&amp;" * U (from 28-FFU, L "&amp;'28-FFU'!A22&amp;")"</f>
        <v>Line 77 * U (from 28-FFU, L 5)</v>
      </c>
      <c r="F89" s="14"/>
      <c r="K89" s="7"/>
    </row>
    <row r="90" spans="1:11" ht="13">
      <c r="A90" s="109">
        <f t="shared" si="1"/>
        <v>81</v>
      </c>
      <c r="B90" s="14"/>
      <c r="C90" s="14"/>
      <c r="D90" s="63"/>
      <c r="E90" s="14"/>
      <c r="F90" s="14"/>
      <c r="K90" s="7"/>
    </row>
    <row r="91" spans="1:11" ht="13">
      <c r="A91" s="109">
        <f t="shared" si="1"/>
        <v>82</v>
      </c>
      <c r="B91" s="14"/>
      <c r="C91" s="79" t="s">
        <v>354</v>
      </c>
      <c r="D91" s="63">
        <f>D86+D88+D89</f>
        <v>111053394.17650577</v>
      </c>
      <c r="E91" s="46" t="str">
        <f>"Line "&amp;A86&amp;" + Line "&amp;A88&amp;" + Line "&amp;A89&amp;""</f>
        <v>Line 77 + Line 79 + Line 80</v>
      </c>
      <c r="F91" s="14"/>
      <c r="K91" s="7"/>
    </row>
  </sheetData>
  <phoneticPr fontId="23" type="noConversion"/>
  <pageMargins left="0.75" right="0.75" top="1" bottom="1" header="0.5" footer="0.5"/>
  <pageSetup scale="75" orientation="portrait" cellComments="asDisplayed" r:id="rId1"/>
  <headerFooter alignWithMargins="0">
    <oddHeader>&amp;CSchedule 2
Incremental Forecast Period TRR
&amp;RTO2022 Annual Update 
Attachment 1</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9"/>
  <sheetViews>
    <sheetView zoomScaleNormal="100" zoomScalePageLayoutView="70" workbookViewId="0"/>
  </sheetViews>
  <sheetFormatPr defaultRowHeight="12.5"/>
  <cols>
    <col min="1" max="1" width="4.54296875" customWidth="1"/>
    <col min="2" max="2" width="6.54296875" customWidth="1"/>
    <col min="3" max="5" width="14.54296875" customWidth="1"/>
    <col min="6" max="6" width="15.54296875" customWidth="1"/>
    <col min="7" max="7" width="14.54296875" customWidth="1"/>
    <col min="8" max="9" width="15.54296875" customWidth="1"/>
    <col min="10" max="10" width="15.453125" customWidth="1"/>
    <col min="11" max="11" width="14.54296875" customWidth="1"/>
    <col min="12" max="12" width="15.453125" customWidth="1"/>
    <col min="13" max="16" width="12.54296875" customWidth="1"/>
  </cols>
  <sheetData>
    <row r="1" spans="1:12" ht="13">
      <c r="A1" s="1" t="s">
        <v>1666</v>
      </c>
      <c r="B1" s="227"/>
      <c r="C1" s="227"/>
      <c r="D1" s="227"/>
      <c r="E1" s="227"/>
      <c r="F1" s="227"/>
      <c r="G1" s="227"/>
      <c r="H1" s="227"/>
      <c r="I1" s="227"/>
      <c r="J1" s="227"/>
      <c r="K1" s="227"/>
      <c r="L1" s="227"/>
    </row>
    <row r="2" spans="1:12">
      <c r="A2" s="227"/>
      <c r="B2" s="227"/>
      <c r="C2" s="227"/>
      <c r="D2" s="227"/>
      <c r="E2" s="227"/>
      <c r="F2" s="227"/>
      <c r="G2" s="227"/>
      <c r="H2" s="227"/>
      <c r="I2" s="227"/>
      <c r="J2" s="227"/>
      <c r="K2" s="227"/>
      <c r="L2" s="227"/>
    </row>
    <row r="3" spans="1:12" ht="13">
      <c r="A3" s="227"/>
      <c r="B3" s="1" t="s">
        <v>488</v>
      </c>
      <c r="C3" s="227"/>
      <c r="D3" s="227"/>
      <c r="E3" s="227"/>
      <c r="F3" s="227"/>
      <c r="G3" s="227"/>
      <c r="H3" s="227"/>
      <c r="I3" s="227"/>
      <c r="J3" s="227"/>
      <c r="K3" s="227"/>
      <c r="L3" s="227"/>
    </row>
    <row r="4" spans="1:12">
      <c r="A4" s="227"/>
      <c r="B4" s="467" t="s">
        <v>2239</v>
      </c>
      <c r="C4" s="227"/>
      <c r="D4" s="227"/>
      <c r="E4" s="227"/>
      <c r="F4" s="227"/>
      <c r="G4" s="227"/>
      <c r="H4" s="227"/>
      <c r="I4" s="227"/>
      <c r="J4" s="227"/>
      <c r="K4" s="227"/>
      <c r="L4" s="227"/>
    </row>
    <row r="5" spans="1:12">
      <c r="A5" s="227"/>
      <c r="B5" s="13" t="s">
        <v>1477</v>
      </c>
      <c r="C5" s="227"/>
      <c r="D5" s="227"/>
      <c r="E5" s="227"/>
      <c r="F5" s="227"/>
      <c r="G5" s="227"/>
      <c r="H5" s="227"/>
      <c r="I5" s="227"/>
      <c r="J5" s="227"/>
      <c r="K5" s="227"/>
      <c r="L5" s="227"/>
    </row>
    <row r="6" spans="1:12">
      <c r="A6" s="227"/>
      <c r="B6" s="467" t="s">
        <v>1050</v>
      </c>
      <c r="C6" s="227"/>
      <c r="D6" s="227"/>
      <c r="E6" s="227"/>
      <c r="F6" s="227"/>
      <c r="G6" s="227"/>
      <c r="H6" s="227"/>
      <c r="I6" s="227"/>
      <c r="J6" s="227"/>
      <c r="K6" s="227"/>
      <c r="L6" s="227"/>
    </row>
    <row r="7" spans="1:12">
      <c r="A7" s="227"/>
      <c r="B7" s="467" t="str">
        <f>"d) Include previous Annual Update Cumulative Excess or Shortfall in Prior Year (from Previous Annual Update Line "&amp;A36&amp;")"</f>
        <v>d) Include previous Annual Update Cumulative Excess or Shortfall in Prior Year (from Previous Annual Update Line 23)</v>
      </c>
      <c r="C7" s="227"/>
      <c r="D7" s="227"/>
      <c r="E7" s="227"/>
      <c r="F7" s="227"/>
      <c r="G7" s="227"/>
      <c r="H7" s="227"/>
      <c r="I7" s="227"/>
      <c r="J7" s="227"/>
      <c r="K7" s="227"/>
      <c r="L7" s="227"/>
    </row>
    <row r="8" spans="1:12">
      <c r="A8" s="227"/>
      <c r="B8" s="1035" t="str">
        <f>"and any One-Time Adjustments in Column 4 (Lines "&amp;A24&amp;" and "&amp;A25&amp;" respectively)."</f>
        <v>and any One-Time Adjustments in Column 4 (Lines 11 and 12 respectively).</v>
      </c>
      <c r="C8" s="227"/>
      <c r="D8" s="227"/>
      <c r="E8" s="227"/>
      <c r="F8" s="227"/>
      <c r="G8" s="227"/>
      <c r="H8" s="227"/>
      <c r="I8" s="227"/>
      <c r="J8" s="227"/>
      <c r="K8" s="227"/>
      <c r="L8" s="227"/>
    </row>
    <row r="9" spans="1:12">
      <c r="A9" s="227"/>
      <c r="B9" s="13"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227"/>
      <c r="D9" s="227"/>
      <c r="E9" s="227"/>
      <c r="F9" s="227"/>
      <c r="G9" s="227"/>
      <c r="H9" s="227"/>
      <c r="I9" s="227"/>
      <c r="J9" s="227"/>
      <c r="K9" s="227"/>
      <c r="L9" s="227"/>
    </row>
    <row r="10" spans="1:12">
      <c r="A10" s="227"/>
      <c r="B10" s="227"/>
      <c r="C10" s="227"/>
      <c r="D10" s="227"/>
      <c r="E10" s="227"/>
      <c r="F10" s="227"/>
      <c r="G10" s="227"/>
      <c r="H10" s="227"/>
      <c r="I10" s="227"/>
      <c r="J10" s="227"/>
      <c r="K10" s="227"/>
      <c r="L10" s="227"/>
    </row>
    <row r="11" spans="1:12" ht="13">
      <c r="A11" s="2"/>
      <c r="B11" s="83" t="s">
        <v>1478</v>
      </c>
      <c r="C11" s="227"/>
      <c r="D11" s="228"/>
      <c r="E11" s="229"/>
      <c r="F11" s="227"/>
      <c r="G11" s="227"/>
      <c r="H11" s="227"/>
      <c r="I11" s="227"/>
      <c r="J11" s="227"/>
      <c r="K11" s="100"/>
      <c r="L11" s="227"/>
    </row>
    <row r="12" spans="1:12" s="14" customFormat="1" ht="13">
      <c r="A12" s="109"/>
      <c r="B12" s="907" t="s">
        <v>2240</v>
      </c>
      <c r="C12" s="235"/>
      <c r="D12" s="858"/>
      <c r="E12" s="231"/>
      <c r="F12" s="235"/>
      <c r="G12" s="235"/>
      <c r="H12" s="235"/>
      <c r="I12" s="235"/>
      <c r="J12" s="235"/>
      <c r="K12" s="235"/>
      <c r="L12" s="235"/>
    </row>
    <row r="13" spans="1:12" ht="13">
      <c r="A13" s="53" t="s">
        <v>329</v>
      </c>
      <c r="B13" s="227"/>
      <c r="C13" s="83"/>
      <c r="D13" s="228"/>
      <c r="E13" s="229"/>
      <c r="F13" s="3"/>
      <c r="G13" s="227"/>
      <c r="H13" s="227"/>
      <c r="I13" s="227"/>
      <c r="J13" s="227"/>
      <c r="K13" s="227"/>
      <c r="L13" s="227"/>
    </row>
    <row r="14" spans="1:12" ht="13">
      <c r="A14" s="2">
        <f>A7+1</f>
        <v>1</v>
      </c>
      <c r="B14" s="227"/>
      <c r="C14" s="227"/>
      <c r="D14" s="484" t="s">
        <v>1476</v>
      </c>
      <c r="E14" s="231">
        <f>'4-TUTRR'!E73</f>
        <v>1233563218.0008955</v>
      </c>
      <c r="F14" s="485" t="s">
        <v>1767</v>
      </c>
      <c r="G14" s="235"/>
      <c r="H14" s="227" t="str">
        <f>"Line "&amp;'4-TUTRR'!A73&amp;""</f>
        <v>Line 46</v>
      </c>
      <c r="I14" s="235"/>
      <c r="J14" s="227"/>
      <c r="K14" s="227"/>
      <c r="L14" s="227"/>
    </row>
    <row r="15" spans="1:12" ht="13">
      <c r="A15" s="2">
        <f>A14+1</f>
        <v>2</v>
      </c>
      <c r="B15" s="83"/>
      <c r="C15" s="227"/>
      <c r="D15" s="227"/>
      <c r="E15" s="227"/>
      <c r="F15" s="227"/>
      <c r="G15" s="227"/>
      <c r="H15" s="229"/>
      <c r="I15" s="227"/>
      <c r="J15" s="227"/>
      <c r="K15" s="227"/>
      <c r="L15" s="227"/>
    </row>
    <row r="16" spans="1:12" ht="13">
      <c r="A16" s="2">
        <f t="shared" ref="A16:A50" si="0">A15+1</f>
        <v>3</v>
      </c>
      <c r="B16" s="227"/>
      <c r="C16" s="227"/>
      <c r="D16" s="84" t="s">
        <v>358</v>
      </c>
      <c r="E16" s="84" t="s">
        <v>342</v>
      </c>
      <c r="F16" s="84" t="s">
        <v>343</v>
      </c>
      <c r="G16" s="84" t="s">
        <v>344</v>
      </c>
      <c r="H16" s="84" t="s">
        <v>345</v>
      </c>
      <c r="I16" s="84" t="s">
        <v>346</v>
      </c>
      <c r="J16" s="84" t="s">
        <v>347</v>
      </c>
      <c r="K16" s="84" t="s">
        <v>534</v>
      </c>
      <c r="L16" s="84" t="s">
        <v>949</v>
      </c>
    </row>
    <row r="17" spans="1:12" ht="13">
      <c r="A17" s="2">
        <f t="shared" si="0"/>
        <v>4</v>
      </c>
      <c r="B17" s="227"/>
      <c r="C17" s="228" t="s">
        <v>950</v>
      </c>
      <c r="D17" s="84"/>
      <c r="E17" s="87" t="s">
        <v>211</v>
      </c>
      <c r="F17" s="87" t="s">
        <v>281</v>
      </c>
      <c r="G17" s="87" t="s">
        <v>951</v>
      </c>
      <c r="H17" s="95" t="s">
        <v>524</v>
      </c>
      <c r="I17" s="87" t="s">
        <v>952</v>
      </c>
      <c r="J17" s="87" t="s">
        <v>522</v>
      </c>
      <c r="K17" s="87" t="s">
        <v>523</v>
      </c>
      <c r="L17" s="95" t="s">
        <v>953</v>
      </c>
    </row>
    <row r="18" spans="1:12" ht="13">
      <c r="A18" s="2">
        <f t="shared" si="0"/>
        <v>5</v>
      </c>
      <c r="B18" s="227"/>
      <c r="C18" s="227"/>
      <c r="D18" s="84"/>
      <c r="G18" s="4" t="s">
        <v>2241</v>
      </c>
      <c r="I18" s="84"/>
      <c r="J18" s="2" t="s">
        <v>204</v>
      </c>
      <c r="K18" s="84"/>
      <c r="L18" s="84"/>
    </row>
    <row r="19" spans="1:12" ht="13">
      <c r="A19" s="2">
        <f t="shared" si="0"/>
        <v>6</v>
      </c>
      <c r="B19" s="227"/>
      <c r="C19" s="227"/>
      <c r="D19" s="84"/>
      <c r="G19" s="443" t="s">
        <v>2242</v>
      </c>
      <c r="I19" s="227"/>
      <c r="J19" s="2" t="s">
        <v>30</v>
      </c>
      <c r="K19" s="227"/>
      <c r="L19" s="2" t="s">
        <v>204</v>
      </c>
    </row>
    <row r="20" spans="1:12" ht="13">
      <c r="A20" s="2">
        <f t="shared" si="0"/>
        <v>7</v>
      </c>
      <c r="B20" s="227"/>
      <c r="C20" s="227"/>
      <c r="D20" s="84"/>
      <c r="F20" s="2" t="s">
        <v>501</v>
      </c>
      <c r="G20" s="549" t="s">
        <v>2243</v>
      </c>
      <c r="H20" s="2" t="s">
        <v>19</v>
      </c>
      <c r="I20" s="227"/>
      <c r="J20" s="2" t="s">
        <v>31</v>
      </c>
      <c r="K20" s="227"/>
      <c r="L20" s="2" t="s">
        <v>30</v>
      </c>
    </row>
    <row r="21" spans="1:12" ht="13">
      <c r="A21" s="2">
        <f t="shared" si="0"/>
        <v>8</v>
      </c>
      <c r="B21" s="227"/>
      <c r="C21" s="227"/>
      <c r="D21" s="2"/>
      <c r="E21" s="2" t="s">
        <v>19</v>
      </c>
      <c r="F21" s="2" t="s">
        <v>520</v>
      </c>
      <c r="G21" s="549" t="s">
        <v>2244</v>
      </c>
      <c r="H21" s="2" t="s">
        <v>30</v>
      </c>
      <c r="I21" s="2" t="s">
        <v>19</v>
      </c>
      <c r="J21" s="2" t="s">
        <v>22</v>
      </c>
      <c r="K21" s="230" t="s">
        <v>23</v>
      </c>
      <c r="L21" s="2" t="s">
        <v>31</v>
      </c>
    </row>
    <row r="22" spans="1:12" ht="13">
      <c r="A22" s="2">
        <f t="shared" si="0"/>
        <v>9</v>
      </c>
      <c r="B22" s="227"/>
      <c r="C22" s="227"/>
      <c r="D22" s="2"/>
      <c r="E22" s="2" t="s">
        <v>279</v>
      </c>
      <c r="F22" s="2" t="s">
        <v>306</v>
      </c>
      <c r="G22" s="549" t="s">
        <v>954</v>
      </c>
      <c r="H22" s="2" t="s">
        <v>31</v>
      </c>
      <c r="I22" s="2" t="s">
        <v>23</v>
      </c>
      <c r="J22" s="2" t="s">
        <v>1051</v>
      </c>
      <c r="K22" s="2" t="s">
        <v>1052</v>
      </c>
      <c r="L22" s="2" t="s">
        <v>22</v>
      </c>
    </row>
    <row r="23" spans="1:12" s="14" customFormat="1" ht="13">
      <c r="A23" s="109">
        <f t="shared" si="0"/>
        <v>10</v>
      </c>
      <c r="B23" s="235"/>
      <c r="C23" s="29" t="s">
        <v>192</v>
      </c>
      <c r="D23" s="29" t="s">
        <v>193</v>
      </c>
      <c r="E23" s="122" t="s">
        <v>955</v>
      </c>
      <c r="F23" s="122" t="s">
        <v>21</v>
      </c>
      <c r="G23" s="122" t="s">
        <v>2245</v>
      </c>
      <c r="H23" s="122" t="s">
        <v>22</v>
      </c>
      <c r="I23" s="122" t="s">
        <v>13</v>
      </c>
      <c r="J23" s="122" t="s">
        <v>1053</v>
      </c>
      <c r="K23" s="122" t="s">
        <v>192</v>
      </c>
      <c r="L23" s="122" t="s">
        <v>956</v>
      </c>
    </row>
    <row r="24" spans="1:12" s="955" customFormat="1" ht="13">
      <c r="A24" s="549">
        <f>A23+1</f>
        <v>11</v>
      </c>
      <c r="B24" s="227"/>
      <c r="C24" s="494" t="s">
        <v>180</v>
      </c>
      <c r="D24" s="1434">
        <v>2019</v>
      </c>
      <c r="E24" s="234" t="s">
        <v>76</v>
      </c>
      <c r="F24" s="234" t="s">
        <v>76</v>
      </c>
      <c r="G24" s="988">
        <v>-238388403.24230579</v>
      </c>
      <c r="H24" s="229">
        <f>G24</f>
        <v>-238388403.24230579</v>
      </c>
      <c r="I24" s="234" t="s">
        <v>76</v>
      </c>
      <c r="J24" s="233">
        <f>H24</f>
        <v>-238388403.24230579</v>
      </c>
      <c r="K24" s="234" t="s">
        <v>76</v>
      </c>
      <c r="L24" s="1027">
        <f>J24</f>
        <v>-238388403.24230579</v>
      </c>
    </row>
    <row r="25" spans="1:12" ht="13">
      <c r="A25" s="549">
        <f t="shared" ref="A25:A36" si="1">A24+1</f>
        <v>12</v>
      </c>
      <c r="B25" s="227"/>
      <c r="C25" s="20" t="s">
        <v>181</v>
      </c>
      <c r="D25" s="1434">
        <v>2020</v>
      </c>
      <c r="E25" s="231">
        <f>$E$14/12</f>
        <v>102796934.83340795</v>
      </c>
      <c r="F25" s="1412">
        <f>C77</f>
        <v>83435001.659999996</v>
      </c>
      <c r="G25" s="1494">
        <v>9580575.6725194901</v>
      </c>
      <c r="H25" s="231">
        <f>E25-F25+G25</f>
        <v>28942508.845927447</v>
      </c>
      <c r="I25" s="1368">
        <v>4.1000000000000003E-3</v>
      </c>
      <c r="J25" s="1417">
        <f>L24+H25</f>
        <v>-209445894.39637834</v>
      </c>
      <c r="K25" s="1417">
        <f>((L24+J25)/2)*I25</f>
        <v>-918060.31015930255</v>
      </c>
      <c r="L25" s="1417">
        <f>J25+K25</f>
        <v>-210363954.70653763</v>
      </c>
    </row>
    <row r="26" spans="1:12" ht="13">
      <c r="A26" s="549">
        <f t="shared" si="1"/>
        <v>13</v>
      </c>
      <c r="B26" s="227"/>
      <c r="C26" s="21" t="s">
        <v>182</v>
      </c>
      <c r="D26" s="1434">
        <v>2020</v>
      </c>
      <c r="E26" s="231">
        <f>$E$14/12</f>
        <v>102796934.83340795</v>
      </c>
      <c r="F26" s="231">
        <f t="shared" ref="F26:F36" si="2">C78</f>
        <v>50821205.640000001</v>
      </c>
      <c r="G26" s="358"/>
      <c r="H26" s="231">
        <f t="shared" ref="H26:H35" si="3">E26-F26+G26</f>
        <v>51975729.193407953</v>
      </c>
      <c r="I26" s="1368">
        <v>4.1000000000000003E-3</v>
      </c>
      <c r="J26" s="1417">
        <f>L25+H26</f>
        <v>-158388225.51312968</v>
      </c>
      <c r="K26" s="1417">
        <f>((L25+J26)/2)*I26</f>
        <v>-755941.96945031802</v>
      </c>
      <c r="L26" s="1417">
        <f t="shared" ref="L26:L35" si="4">J26+K26</f>
        <v>-159144167.48258001</v>
      </c>
    </row>
    <row r="27" spans="1:12" ht="13">
      <c r="A27" s="549">
        <f t="shared" si="1"/>
        <v>14</v>
      </c>
      <c r="B27" s="227"/>
      <c r="C27" s="21" t="s">
        <v>195</v>
      </c>
      <c r="D27" s="1434">
        <v>2020</v>
      </c>
      <c r="E27" s="231">
        <f t="shared" ref="E27:E36" si="5">$E$14/12</f>
        <v>102796934.83340795</v>
      </c>
      <c r="F27" s="231">
        <f t="shared" si="2"/>
        <v>75625059.620000005</v>
      </c>
      <c r="G27" s="358"/>
      <c r="H27" s="231">
        <f t="shared" si="3"/>
        <v>27171875.213407949</v>
      </c>
      <c r="I27" s="1368">
        <v>4.1000000000000003E-3</v>
      </c>
      <c r="J27" s="1417">
        <f t="shared" ref="J27:J35" si="6">L26+H27</f>
        <v>-131972292.26917206</v>
      </c>
      <c r="K27" s="1417">
        <f t="shared" ref="K27:K36" si="7">((L26+J27)/2)*I27</f>
        <v>-596788.74249109183</v>
      </c>
      <c r="L27" s="1417">
        <f t="shared" si="4"/>
        <v>-132569081.01166315</v>
      </c>
    </row>
    <row r="28" spans="1:12" ht="13">
      <c r="A28" s="549">
        <f t="shared" si="1"/>
        <v>15</v>
      </c>
      <c r="B28" s="227"/>
      <c r="C28" s="20" t="s">
        <v>183</v>
      </c>
      <c r="D28" s="1434">
        <v>2020</v>
      </c>
      <c r="E28" s="231">
        <f t="shared" si="5"/>
        <v>102796934.83340795</v>
      </c>
      <c r="F28" s="231">
        <f t="shared" si="2"/>
        <v>65258290.909999996</v>
      </c>
      <c r="G28" s="358"/>
      <c r="H28" s="231">
        <f t="shared" si="3"/>
        <v>37538643.923407957</v>
      </c>
      <c r="I28" s="1368">
        <v>4.0000000000000001E-3</v>
      </c>
      <c r="J28" s="1417">
        <f t="shared" si="6"/>
        <v>-95030437.088255197</v>
      </c>
      <c r="K28" s="1417">
        <f t="shared" si="7"/>
        <v>-455199.03619983676</v>
      </c>
      <c r="L28" s="1417">
        <f t="shared" si="4"/>
        <v>-95485636.124455035</v>
      </c>
    </row>
    <row r="29" spans="1:12" ht="13">
      <c r="A29" s="549">
        <f t="shared" si="1"/>
        <v>16</v>
      </c>
      <c r="B29" s="227"/>
      <c r="C29" s="21" t="s">
        <v>184</v>
      </c>
      <c r="D29" s="1434">
        <v>2020</v>
      </c>
      <c r="E29" s="231">
        <f t="shared" si="5"/>
        <v>102796934.83340795</v>
      </c>
      <c r="F29" s="231">
        <f t="shared" si="2"/>
        <v>78262572.730000004</v>
      </c>
      <c r="G29" s="358"/>
      <c r="H29" s="231">
        <f t="shared" si="3"/>
        <v>24534362.103407949</v>
      </c>
      <c r="I29" s="1368">
        <v>4.0000000000000001E-3</v>
      </c>
      <c r="J29" s="1417">
        <f t="shared" si="6"/>
        <v>-70951274.021047086</v>
      </c>
      <c r="K29" s="1417">
        <f t="shared" si="7"/>
        <v>-332873.82029100426</v>
      </c>
      <c r="L29" s="1417">
        <f t="shared" si="4"/>
        <v>-71284147.841338083</v>
      </c>
    </row>
    <row r="30" spans="1:12" ht="13">
      <c r="A30" s="549">
        <f t="shared" si="1"/>
        <v>17</v>
      </c>
      <c r="B30" s="227"/>
      <c r="C30" s="21" t="s">
        <v>185</v>
      </c>
      <c r="D30" s="1434">
        <v>2020</v>
      </c>
      <c r="E30" s="231">
        <f t="shared" si="5"/>
        <v>102796934.83340795</v>
      </c>
      <c r="F30" s="231">
        <f t="shared" si="2"/>
        <v>88567647.340000004</v>
      </c>
      <c r="G30" s="358"/>
      <c r="H30" s="231">
        <f t="shared" si="3"/>
        <v>14229287.49340795</v>
      </c>
      <c r="I30" s="1368">
        <v>4.0000000000000001E-3</v>
      </c>
      <c r="J30" s="1417">
        <f t="shared" si="6"/>
        <v>-57054860.347930133</v>
      </c>
      <c r="K30" s="1417">
        <f t="shared" si="7"/>
        <v>-256678.01637853644</v>
      </c>
      <c r="L30" s="1417">
        <f t="shared" si="4"/>
        <v>-57311538.36430867</v>
      </c>
    </row>
    <row r="31" spans="1:12" ht="13">
      <c r="A31" s="549">
        <f t="shared" si="1"/>
        <v>18</v>
      </c>
      <c r="B31" s="227"/>
      <c r="C31" s="20" t="s">
        <v>186</v>
      </c>
      <c r="D31" s="1434">
        <v>2020</v>
      </c>
      <c r="E31" s="231">
        <f t="shared" si="5"/>
        <v>102796934.83340795</v>
      </c>
      <c r="F31" s="231">
        <f t="shared" si="2"/>
        <v>112223450.8</v>
      </c>
      <c r="G31" s="358"/>
      <c r="H31" s="231">
        <f t="shared" si="3"/>
        <v>-9426515.9665920436</v>
      </c>
      <c r="I31" s="1368">
        <v>2.8999999999999998E-3</v>
      </c>
      <c r="J31" s="1417">
        <f t="shared" si="6"/>
        <v>-66738054.330900714</v>
      </c>
      <c r="K31" s="1417">
        <f t="shared" si="7"/>
        <v>-179871.90940805359</v>
      </c>
      <c r="L31" s="1417">
        <f t="shared" si="4"/>
        <v>-66917926.240308769</v>
      </c>
    </row>
    <row r="32" spans="1:12" ht="13">
      <c r="A32" s="549">
        <f t="shared" si="1"/>
        <v>19</v>
      </c>
      <c r="B32" s="227"/>
      <c r="C32" s="21" t="s">
        <v>187</v>
      </c>
      <c r="D32" s="1434">
        <v>2020</v>
      </c>
      <c r="E32" s="231">
        <f t="shared" si="5"/>
        <v>102796934.83340795</v>
      </c>
      <c r="F32" s="231">
        <f t="shared" si="2"/>
        <v>92859068.230000004</v>
      </c>
      <c r="G32" s="358"/>
      <c r="H32" s="231">
        <f t="shared" si="3"/>
        <v>9937866.6034079492</v>
      </c>
      <c r="I32" s="1368">
        <v>2.8999999999999998E-3</v>
      </c>
      <c r="J32" s="1417">
        <f t="shared" si="6"/>
        <v>-56980059.63690082</v>
      </c>
      <c r="K32" s="1417">
        <f t="shared" si="7"/>
        <v>-179652.07952195388</v>
      </c>
      <c r="L32" s="1417">
        <f t="shared" si="4"/>
        <v>-57159711.716422774</v>
      </c>
    </row>
    <row r="33" spans="1:14" ht="13">
      <c r="A33" s="549">
        <f t="shared" si="1"/>
        <v>20</v>
      </c>
      <c r="B33" s="227"/>
      <c r="C33" s="21" t="s">
        <v>188</v>
      </c>
      <c r="D33" s="1434">
        <v>2020</v>
      </c>
      <c r="E33" s="231">
        <f t="shared" si="5"/>
        <v>102796934.83340795</v>
      </c>
      <c r="F33" s="231">
        <f t="shared" si="2"/>
        <v>83794301.299999997</v>
      </c>
      <c r="G33" s="358"/>
      <c r="H33" s="231">
        <f t="shared" si="3"/>
        <v>19002633.533407956</v>
      </c>
      <c r="I33" s="1368">
        <v>2.8999999999999998E-3</v>
      </c>
      <c r="J33" s="1417">
        <f t="shared" si="6"/>
        <v>-38157078.183014818</v>
      </c>
      <c r="K33" s="1417">
        <f t="shared" si="7"/>
        <v>-138209.34535418451</v>
      </c>
      <c r="L33" s="1417">
        <f t="shared" si="4"/>
        <v>-38295287.528369002</v>
      </c>
    </row>
    <row r="34" spans="1:14" ht="13">
      <c r="A34" s="549">
        <f t="shared" si="1"/>
        <v>21</v>
      </c>
      <c r="B34" s="227"/>
      <c r="C34" s="20" t="s">
        <v>191</v>
      </c>
      <c r="D34" s="1434">
        <v>2020</v>
      </c>
      <c r="E34" s="231">
        <f t="shared" si="5"/>
        <v>102796934.83340795</v>
      </c>
      <c r="F34" s="231">
        <f t="shared" si="2"/>
        <v>94827371.109999999</v>
      </c>
      <c r="G34" s="358"/>
      <c r="H34" s="231">
        <f t="shared" si="3"/>
        <v>7969563.723407954</v>
      </c>
      <c r="I34" s="1368">
        <v>2.7000000000000001E-3</v>
      </c>
      <c r="J34" s="1417">
        <f t="shared" si="6"/>
        <v>-30325723.804961048</v>
      </c>
      <c r="K34" s="1417">
        <f t="shared" si="7"/>
        <v>-92638.365299995567</v>
      </c>
      <c r="L34" s="1417">
        <f t="shared" si="4"/>
        <v>-30418362.170261044</v>
      </c>
    </row>
    <row r="35" spans="1:14" ht="13">
      <c r="A35" s="549">
        <f t="shared" si="1"/>
        <v>22</v>
      </c>
      <c r="B35" s="227"/>
      <c r="C35" s="20" t="s">
        <v>190</v>
      </c>
      <c r="D35" s="1434">
        <v>2020</v>
      </c>
      <c r="E35" s="231">
        <f t="shared" si="5"/>
        <v>102796934.83340795</v>
      </c>
      <c r="F35" s="231">
        <f t="shared" si="2"/>
        <v>50886192.009999998</v>
      </c>
      <c r="G35" s="358"/>
      <c r="H35" s="231">
        <f t="shared" si="3"/>
        <v>51910742.823407955</v>
      </c>
      <c r="I35" s="1368">
        <v>2.7000000000000001E-3</v>
      </c>
      <c r="J35" s="1417">
        <f t="shared" si="6"/>
        <v>21492380.653146911</v>
      </c>
      <c r="K35" s="1417">
        <f t="shared" si="7"/>
        <v>-12050.07504810408</v>
      </c>
      <c r="L35" s="1417">
        <f t="shared" si="4"/>
        <v>21480330.578098807</v>
      </c>
    </row>
    <row r="36" spans="1:14" ht="13">
      <c r="A36" s="549">
        <f t="shared" si="1"/>
        <v>23</v>
      </c>
      <c r="B36" s="227"/>
      <c r="C36" s="21" t="s">
        <v>180</v>
      </c>
      <c r="D36" s="1434">
        <v>2020</v>
      </c>
      <c r="E36" s="231">
        <f t="shared" si="5"/>
        <v>102796934.83340795</v>
      </c>
      <c r="F36" s="231">
        <f t="shared" si="2"/>
        <v>92160892.420000002</v>
      </c>
      <c r="G36" s="1495">
        <v>-764025.35818299197</v>
      </c>
      <c r="H36" s="231">
        <f>E36-F36+G36</f>
        <v>9872017.0552249588</v>
      </c>
      <c r="I36" s="1368">
        <v>2.7000000000000001E-3</v>
      </c>
      <c r="J36" s="1417">
        <f>L35+H36</f>
        <v>31352347.633323766</v>
      </c>
      <c r="K36" s="1417">
        <f t="shared" si="7"/>
        <v>71324.115585420484</v>
      </c>
      <c r="L36" s="1417">
        <f>J36+K36</f>
        <v>31423671.748909187</v>
      </c>
      <c r="N36" s="1492"/>
    </row>
    <row r="37" spans="1:14" ht="13">
      <c r="A37" s="109"/>
      <c r="B37" s="227"/>
      <c r="C37" s="21"/>
      <c r="D37" s="24"/>
      <c r="E37" s="227"/>
      <c r="F37" s="239"/>
      <c r="G37" s="231"/>
      <c r="H37" s="370"/>
      <c r="I37" s="227"/>
      <c r="J37" s="227"/>
      <c r="K37" s="227"/>
      <c r="L37" s="227"/>
    </row>
    <row r="38" spans="1:14" s="14" customFormat="1" ht="13">
      <c r="A38" s="109">
        <f>A36+1</f>
        <v>24</v>
      </c>
      <c r="B38" s="44" t="s">
        <v>2675</v>
      </c>
      <c r="C38" s="21"/>
      <c r="D38" s="24"/>
      <c r="E38" s="235"/>
      <c r="F38" s="462"/>
      <c r="G38" s="231"/>
      <c r="H38" s="876"/>
      <c r="I38" s="235"/>
      <c r="J38" s="235"/>
      <c r="K38" s="235"/>
      <c r="L38" s="235"/>
    </row>
    <row r="39" spans="1:14" ht="13">
      <c r="A39" s="109">
        <f t="shared" si="0"/>
        <v>25</v>
      </c>
      <c r="B39" s="1"/>
      <c r="C39" s="21"/>
      <c r="D39" s="24"/>
      <c r="E39" s="227"/>
      <c r="F39" s="491" t="s">
        <v>230</v>
      </c>
      <c r="G39" s="231"/>
      <c r="H39" s="239"/>
      <c r="I39" s="227"/>
      <c r="J39" s="227"/>
      <c r="K39" s="227"/>
      <c r="L39" s="227"/>
    </row>
    <row r="40" spans="1:14" ht="13">
      <c r="A40" s="109">
        <f t="shared" si="0"/>
        <v>26</v>
      </c>
      <c r="B40" s="227"/>
      <c r="C40" s="21"/>
      <c r="D40" s="228" t="s">
        <v>1056</v>
      </c>
      <c r="E40" s="231">
        <f>L36</f>
        <v>31423671.748909187</v>
      </c>
      <c r="F40" s="462" t="str">
        <f>"Line "&amp;A36&amp;", Column 9"</f>
        <v>Line 23, Column 9</v>
      </c>
      <c r="G40" s="236"/>
      <c r="H40" s="239"/>
      <c r="I40" s="227"/>
      <c r="J40" s="227"/>
      <c r="K40" s="227"/>
      <c r="L40" s="227"/>
    </row>
    <row r="41" spans="1:14" s="955" customFormat="1" ht="13">
      <c r="A41" s="109">
        <f t="shared" si="0"/>
        <v>27</v>
      </c>
      <c r="B41" s="227"/>
      <c r="C41" s="21"/>
      <c r="D41" s="461" t="s">
        <v>2246</v>
      </c>
      <c r="E41" s="978">
        <v>-58566195.467823118</v>
      </c>
      <c r="F41" s="462" t="str">
        <f>"Previous Annual Update Schedule 3, Line "&amp;A44&amp;""</f>
        <v>Previous Annual Update Schedule 3, Line 30</v>
      </c>
      <c r="G41" s="236"/>
      <c r="H41" s="876"/>
      <c r="J41" s="228" t="s">
        <v>2414</v>
      </c>
      <c r="K41" s="958" t="s">
        <v>2814</v>
      </c>
      <c r="L41" s="958"/>
    </row>
    <row r="42" spans="1:14" s="955" customFormat="1" ht="13">
      <c r="A42" s="109">
        <f t="shared" si="0"/>
        <v>28</v>
      </c>
      <c r="B42" s="227"/>
      <c r="C42" s="21"/>
      <c r="D42" s="461" t="s">
        <v>2247</v>
      </c>
      <c r="E42" s="1415">
        <f>E40-E41</f>
        <v>89989867.216732308</v>
      </c>
      <c r="F42" s="462" t="str">
        <f>"Line "&amp;A40&amp;" - Line "&amp;A41&amp;""</f>
        <v>Line 26 - Line 27</v>
      </c>
      <c r="G42" s="236"/>
      <c r="H42" s="239"/>
      <c r="J42" s="462"/>
      <c r="K42" s="958"/>
      <c r="L42" s="958"/>
    </row>
    <row r="43" spans="1:14" s="955" customFormat="1" ht="14">
      <c r="A43" s="109">
        <f t="shared" si="0"/>
        <v>29</v>
      </c>
      <c r="B43" s="227"/>
      <c r="C43" s="21"/>
      <c r="D43" s="461" t="s">
        <v>2248</v>
      </c>
      <c r="E43" s="1418">
        <f>E42*I36*18</f>
        <v>4373507.5467331903</v>
      </c>
      <c r="F43" s="462" t="str">
        <f>"Line "&amp;A42&amp;" * (Line "&amp;A36&amp;", Column 6) * 18 months"</f>
        <v>Line 28 * (Line 23, Column 6) * 18 months</v>
      </c>
      <c r="G43" s="236"/>
      <c r="H43" s="876"/>
      <c r="I43" s="462"/>
      <c r="J43" s="227"/>
      <c r="K43" s="227"/>
      <c r="L43" s="227"/>
    </row>
    <row r="44" spans="1:14" s="14" customFormat="1" ht="13">
      <c r="A44" s="109">
        <f t="shared" si="0"/>
        <v>30</v>
      </c>
      <c r="B44" s="235"/>
      <c r="C44" s="21"/>
      <c r="D44" s="85" t="s">
        <v>32</v>
      </c>
      <c r="E44" s="231">
        <f>E42+E43</f>
        <v>94363374.763465494</v>
      </c>
      <c r="F44" s="1028" t="str">
        <f>"Line "&amp;A42&amp;" + Line "&amp;A43&amp;".  Positive amount is to be collected by SCE (included in Base TRR as a positive amount)."</f>
        <v>Line 28 + Line 29.  Positive amount is to be collected by SCE (included in Base TRR as a positive amount).</v>
      </c>
      <c r="G44" s="236"/>
      <c r="H44" s="876"/>
      <c r="I44" s="235"/>
      <c r="J44" s="235"/>
      <c r="K44" s="235"/>
      <c r="L44" s="235"/>
    </row>
    <row r="45" spans="1:14" ht="13">
      <c r="A45" s="109">
        <f t="shared" si="0"/>
        <v>31</v>
      </c>
      <c r="B45" s="227"/>
      <c r="C45" s="227"/>
      <c r="D45" s="227"/>
      <c r="E45" s="227"/>
      <c r="F45" s="490" t="s">
        <v>1524</v>
      </c>
      <c r="G45" s="227"/>
      <c r="H45" s="227"/>
      <c r="I45" s="227"/>
      <c r="J45" s="227"/>
      <c r="K45" s="227"/>
      <c r="L45" s="227"/>
    </row>
    <row r="46" spans="1:14" ht="13">
      <c r="A46" s="109">
        <f t="shared" si="0"/>
        <v>32</v>
      </c>
      <c r="B46" s="1" t="s">
        <v>2676</v>
      </c>
      <c r="C46" s="227"/>
      <c r="D46" s="227"/>
      <c r="E46" s="227"/>
      <c r="F46" s="241"/>
      <c r="G46" s="227"/>
      <c r="H46" s="227"/>
      <c r="I46" s="227"/>
      <c r="J46" s="227"/>
      <c r="K46" s="227"/>
      <c r="L46" s="227"/>
    </row>
    <row r="47" spans="1:14" ht="13">
      <c r="A47" s="109">
        <f t="shared" si="0"/>
        <v>33</v>
      </c>
      <c r="B47" s="13" t="s">
        <v>366</v>
      </c>
      <c r="C47" s="227"/>
      <c r="D47" s="227"/>
      <c r="E47" s="227"/>
      <c r="F47" s="227"/>
      <c r="G47" s="227"/>
      <c r="H47" s="227"/>
      <c r="I47" s="227"/>
      <c r="J47" s="227"/>
      <c r="K47" s="227"/>
      <c r="L47" s="227"/>
    </row>
    <row r="48" spans="1:14" ht="13">
      <c r="A48" s="109">
        <f t="shared" si="0"/>
        <v>34</v>
      </c>
      <c r="B48" s="13" t="s">
        <v>367</v>
      </c>
      <c r="C48" s="227"/>
      <c r="D48" s="227"/>
      <c r="E48" s="227"/>
      <c r="F48" s="227"/>
      <c r="G48" s="227"/>
      <c r="H48" s="227"/>
      <c r="I48" s="227"/>
      <c r="J48" s="227"/>
      <c r="K48" s="227"/>
      <c r="L48" s="227"/>
    </row>
    <row r="49" spans="1:12" ht="13">
      <c r="A49" s="109">
        <f t="shared" si="0"/>
        <v>35</v>
      </c>
      <c r="B49" s="13" t="s">
        <v>368</v>
      </c>
      <c r="C49" s="227"/>
      <c r="D49" s="227"/>
      <c r="E49" s="227"/>
      <c r="F49" s="227"/>
      <c r="G49" s="227"/>
      <c r="H49" s="227"/>
      <c r="I49" s="227"/>
      <c r="J49" s="227"/>
      <c r="K49" s="227"/>
      <c r="L49" s="227"/>
    </row>
    <row r="50" spans="1:12" ht="13">
      <c r="A50" s="109">
        <f t="shared" si="0"/>
        <v>36</v>
      </c>
      <c r="B50" s="227"/>
      <c r="C50" s="227"/>
      <c r="D50" s="227"/>
      <c r="E50" s="227"/>
      <c r="F50" s="227"/>
      <c r="G50" s="227"/>
      <c r="H50" s="227"/>
      <c r="I50" s="227"/>
      <c r="J50" s="227"/>
      <c r="K50" s="227"/>
      <c r="L50" s="227"/>
    </row>
    <row r="51" spans="1:12" ht="13">
      <c r="A51" s="109">
        <f t="shared" ref="A51:A91" si="8">A50+1</f>
        <v>37</v>
      </c>
      <c r="B51" s="1" t="s">
        <v>1194</v>
      </c>
      <c r="C51" s="227"/>
      <c r="D51" s="227"/>
      <c r="E51" s="227"/>
      <c r="F51" s="227"/>
      <c r="G51" s="227"/>
      <c r="H51" s="227"/>
      <c r="I51" s="227"/>
      <c r="J51" s="227"/>
      <c r="K51" s="227"/>
      <c r="L51" s="227"/>
    </row>
    <row r="52" spans="1:12" ht="13">
      <c r="A52" s="109">
        <f t="shared" si="8"/>
        <v>38</v>
      </c>
      <c r="B52" s="227"/>
      <c r="C52" s="227"/>
      <c r="D52" s="230" t="s">
        <v>1147</v>
      </c>
      <c r="E52" s="227"/>
      <c r="G52" s="227"/>
      <c r="H52" s="227"/>
      <c r="I52" s="227"/>
      <c r="J52" s="227"/>
      <c r="K52" s="227"/>
      <c r="L52" s="227"/>
    </row>
    <row r="53" spans="1:12" ht="13">
      <c r="A53" s="109">
        <f t="shared" si="8"/>
        <v>39</v>
      </c>
      <c r="B53" s="227"/>
      <c r="C53" s="25" t="s">
        <v>192</v>
      </c>
      <c r="D53" s="3" t="s">
        <v>1057</v>
      </c>
      <c r="E53" s="3" t="s">
        <v>236</v>
      </c>
      <c r="G53" s="235"/>
      <c r="H53" s="235"/>
      <c r="I53" s="235"/>
      <c r="J53" s="235"/>
      <c r="K53" s="235"/>
      <c r="L53" s="235"/>
    </row>
    <row r="54" spans="1:12" ht="13">
      <c r="A54" s="109">
        <f t="shared" si="8"/>
        <v>40</v>
      </c>
      <c r="B54" s="227"/>
      <c r="C54" s="20" t="s">
        <v>181</v>
      </c>
      <c r="D54" s="123">
        <v>6.3763211440757639E-2</v>
      </c>
      <c r="E54" s="13" t="s">
        <v>1200</v>
      </c>
      <c r="G54" s="235"/>
      <c r="H54" s="235"/>
      <c r="I54" s="235"/>
      <c r="J54" s="235"/>
      <c r="K54" s="235"/>
      <c r="L54" s="235"/>
    </row>
    <row r="55" spans="1:12" ht="13">
      <c r="A55" s="109">
        <f t="shared" si="8"/>
        <v>41</v>
      </c>
      <c r="B55" s="227"/>
      <c r="C55" s="21" t="s">
        <v>182</v>
      </c>
      <c r="D55" s="123">
        <v>5.6553289888256801E-2</v>
      </c>
      <c r="G55" s="235"/>
      <c r="H55" s="235"/>
      <c r="I55" s="235"/>
      <c r="J55" s="235"/>
      <c r="K55" s="235"/>
      <c r="L55" s="235"/>
    </row>
    <row r="56" spans="1:12" ht="13">
      <c r="A56" s="109">
        <f t="shared" si="8"/>
        <v>42</v>
      </c>
      <c r="B56" s="227"/>
      <c r="C56" s="21" t="s">
        <v>195</v>
      </c>
      <c r="D56" s="123">
        <v>7.1828142218240867E-2</v>
      </c>
      <c r="E56" s="13"/>
      <c r="G56" s="235"/>
      <c r="H56" s="235"/>
      <c r="I56" s="235"/>
      <c r="J56" s="235"/>
      <c r="K56" s="235"/>
      <c r="L56" s="235"/>
    </row>
    <row r="57" spans="1:12" ht="13">
      <c r="A57" s="109">
        <f t="shared" si="8"/>
        <v>43</v>
      </c>
      <c r="B57" s="227"/>
      <c r="C57" s="20" t="s">
        <v>183</v>
      </c>
      <c r="D57" s="123">
        <v>8.2236801934806855E-2</v>
      </c>
      <c r="E57" s="146"/>
      <c r="G57" s="235"/>
      <c r="H57" s="235"/>
      <c r="I57" s="235"/>
      <c r="J57" s="235"/>
      <c r="K57" s="235"/>
      <c r="L57" s="235"/>
    </row>
    <row r="58" spans="1:12" ht="13">
      <c r="A58" s="109">
        <f t="shared" si="8"/>
        <v>44</v>
      </c>
      <c r="B58" s="227"/>
      <c r="C58" s="21" t="s">
        <v>184</v>
      </c>
      <c r="D58" s="123">
        <v>8.01837425905748E-2</v>
      </c>
      <c r="E58" s="242"/>
      <c r="G58" s="235"/>
      <c r="H58" s="235"/>
      <c r="I58" s="235"/>
      <c r="J58" s="235"/>
      <c r="K58" s="235"/>
      <c r="L58" s="235"/>
    </row>
    <row r="59" spans="1:12" ht="13">
      <c r="A59" s="109">
        <f t="shared" si="8"/>
        <v>45</v>
      </c>
      <c r="B59" s="227"/>
      <c r="C59" s="21" t="s">
        <v>185</v>
      </c>
      <c r="D59" s="123">
        <v>8.9450501877561497E-2</v>
      </c>
      <c r="E59" s="242"/>
      <c r="G59" s="235"/>
      <c r="H59" s="235"/>
      <c r="I59" s="235"/>
      <c r="J59" s="235"/>
      <c r="K59" s="235"/>
      <c r="L59" s="235"/>
    </row>
    <row r="60" spans="1:12" ht="13">
      <c r="A60" s="109">
        <f t="shared" si="8"/>
        <v>46</v>
      </c>
      <c r="B60" s="227"/>
      <c r="C60" s="20" t="s">
        <v>186</v>
      </c>
      <c r="D60" s="123">
        <v>9.8908415854749826E-2</v>
      </c>
      <c r="E60" s="242"/>
      <c r="G60" s="235"/>
      <c r="H60" s="235"/>
      <c r="I60" s="235"/>
      <c r="J60" s="235"/>
      <c r="K60" s="235"/>
      <c r="L60" s="235"/>
    </row>
    <row r="61" spans="1:12" ht="13">
      <c r="A61" s="109">
        <f t="shared" si="8"/>
        <v>47</v>
      </c>
      <c r="B61" s="227"/>
      <c r="C61" s="21" t="s">
        <v>187</v>
      </c>
      <c r="D61" s="123">
        <v>0.10141004323318151</v>
      </c>
      <c r="E61" s="242"/>
      <c r="G61" s="235"/>
      <c r="H61" s="235"/>
      <c r="I61" s="235"/>
      <c r="J61" s="235"/>
      <c r="K61" s="235"/>
      <c r="L61" s="235"/>
    </row>
    <row r="62" spans="1:12" ht="13">
      <c r="A62" s="109">
        <f t="shared" si="8"/>
        <v>48</v>
      </c>
      <c r="B62" s="227"/>
      <c r="C62" s="21" t="s">
        <v>188</v>
      </c>
      <c r="D62" s="123">
        <v>0.10217900008822713</v>
      </c>
      <c r="E62" s="242"/>
      <c r="G62" s="235"/>
      <c r="H62" s="235"/>
      <c r="I62" s="235"/>
      <c r="J62" s="235"/>
      <c r="K62" s="235"/>
      <c r="L62" s="235"/>
    </row>
    <row r="63" spans="1:12" ht="13">
      <c r="A63" s="109">
        <f t="shared" si="8"/>
        <v>49</v>
      </c>
      <c r="B63" s="227"/>
      <c r="C63" s="20" t="s">
        <v>191</v>
      </c>
      <c r="D63" s="123">
        <v>9.1787269171678454E-2</v>
      </c>
      <c r="E63" s="242"/>
      <c r="G63" s="235"/>
      <c r="H63" s="235"/>
      <c r="I63" s="235"/>
      <c r="J63" s="235"/>
      <c r="K63" s="235"/>
      <c r="L63" s="235"/>
    </row>
    <row r="64" spans="1:12" ht="13">
      <c r="A64" s="109">
        <f t="shared" si="8"/>
        <v>50</v>
      </c>
      <c r="B64" s="227"/>
      <c r="C64" s="20" t="s">
        <v>190</v>
      </c>
      <c r="D64" s="123">
        <v>7.5296938318149625E-2</v>
      </c>
      <c r="E64" s="242"/>
      <c r="G64" s="227"/>
      <c r="H64" s="227"/>
      <c r="I64" s="227"/>
      <c r="J64" s="227"/>
      <c r="K64" s="227"/>
      <c r="L64" s="227"/>
    </row>
    <row r="65" spans="1:16" ht="13">
      <c r="A65" s="109">
        <f t="shared" si="8"/>
        <v>51</v>
      </c>
      <c r="B65" s="227"/>
      <c r="C65" s="21" t="s">
        <v>180</v>
      </c>
      <c r="D65" s="371">
        <v>8.640264338381512E-2</v>
      </c>
      <c r="E65" s="150"/>
      <c r="G65" s="227"/>
      <c r="H65" s="227"/>
      <c r="I65" s="227"/>
      <c r="J65" s="227"/>
      <c r="K65" s="227"/>
      <c r="L65" s="227"/>
    </row>
    <row r="66" spans="1:16" ht="13">
      <c r="A66" s="109">
        <f t="shared" si="8"/>
        <v>52</v>
      </c>
      <c r="B66" s="227"/>
      <c r="C66" s="34" t="s">
        <v>4</v>
      </c>
      <c r="D66" s="380">
        <f>SUM(D54:D65)</f>
        <v>1.0000000000000002</v>
      </c>
      <c r="E66" s="227"/>
      <c r="G66" s="227"/>
      <c r="H66" s="227"/>
      <c r="I66" s="227"/>
      <c r="J66" s="227"/>
      <c r="K66" s="227"/>
      <c r="L66" s="227"/>
    </row>
    <row r="67" spans="1:16" s="14" customFormat="1" ht="13">
      <c r="A67" s="109">
        <f t="shared" si="8"/>
        <v>53</v>
      </c>
      <c r="B67" s="235"/>
      <c r="C67" s="235"/>
      <c r="D67" s="235"/>
      <c r="E67" s="235"/>
      <c r="F67" s="109"/>
      <c r="G67" s="235"/>
      <c r="H67" s="235"/>
      <c r="I67" s="235"/>
      <c r="J67" s="235"/>
      <c r="K67" s="235"/>
      <c r="L67" s="235"/>
    </row>
    <row r="68" spans="1:16" ht="13">
      <c r="A68" s="109">
        <f t="shared" si="8"/>
        <v>54</v>
      </c>
      <c r="B68" s="1" t="s">
        <v>2249</v>
      </c>
      <c r="C68" s="227"/>
      <c r="D68" s="227"/>
      <c r="E68" s="227"/>
      <c r="F68" s="2"/>
      <c r="G68" s="227"/>
      <c r="H68" s="227"/>
      <c r="I68" s="227"/>
      <c r="J68" s="227"/>
      <c r="K68" s="227"/>
      <c r="L68" s="227"/>
    </row>
    <row r="69" spans="1:16" ht="13">
      <c r="A69" s="109">
        <f t="shared" si="8"/>
        <v>55</v>
      </c>
      <c r="B69" s="227"/>
      <c r="C69" s="227"/>
      <c r="D69" s="227"/>
      <c r="E69" s="227"/>
      <c r="F69" s="2"/>
      <c r="G69" s="227"/>
      <c r="H69" s="227"/>
      <c r="I69" s="227"/>
      <c r="J69" s="227"/>
      <c r="K69" s="227"/>
      <c r="L69" s="227"/>
    </row>
    <row r="70" spans="1:16" ht="13">
      <c r="A70" s="109">
        <f t="shared" si="8"/>
        <v>56</v>
      </c>
      <c r="B70" s="227"/>
      <c r="C70" s="84" t="s">
        <v>358</v>
      </c>
      <c r="D70" s="84" t="s">
        <v>342</v>
      </c>
      <c r="E70" s="84" t="s">
        <v>343</v>
      </c>
      <c r="F70" s="84" t="s">
        <v>344</v>
      </c>
      <c r="G70" s="84" t="s">
        <v>345</v>
      </c>
      <c r="H70" s="84" t="s">
        <v>346</v>
      </c>
      <c r="I70" s="84" t="s">
        <v>347</v>
      </c>
      <c r="J70" s="227"/>
    </row>
    <row r="71" spans="1:16" ht="13">
      <c r="A71" s="109">
        <f t="shared" si="8"/>
        <v>57</v>
      </c>
      <c r="B71" s="227"/>
      <c r="C71" s="464" t="s">
        <v>1054</v>
      </c>
      <c r="D71" s="464" t="s">
        <v>1055</v>
      </c>
      <c r="E71" s="84"/>
      <c r="F71" s="84"/>
      <c r="G71" s="84"/>
      <c r="H71" s="84"/>
      <c r="I71" s="87" t="s">
        <v>525</v>
      </c>
      <c r="J71" s="227"/>
      <c r="K71" s="227"/>
      <c r="L71" s="227"/>
    </row>
    <row r="72" spans="1:16" ht="13">
      <c r="A72" s="109">
        <f t="shared" si="8"/>
        <v>58</v>
      </c>
      <c r="B72" s="227"/>
      <c r="C72" s="227"/>
      <c r="D72" s="227"/>
      <c r="E72" s="227"/>
      <c r="F72" s="2"/>
      <c r="G72" s="227"/>
      <c r="H72" s="227"/>
      <c r="I72" s="227"/>
      <c r="J72" s="227"/>
      <c r="K72" s="382"/>
      <c r="L72" s="227"/>
    </row>
    <row r="73" spans="1:16" ht="13">
      <c r="A73" s="109">
        <f t="shared" si="8"/>
        <v>59</v>
      </c>
      <c r="B73" s="227"/>
      <c r="C73" s="2" t="s">
        <v>501</v>
      </c>
      <c r="D73" s="227"/>
      <c r="E73" s="227"/>
      <c r="F73" s="2"/>
      <c r="G73" s="227"/>
      <c r="H73" s="227"/>
      <c r="I73" s="2" t="s">
        <v>19</v>
      </c>
      <c r="J73" s="227"/>
      <c r="K73" s="478"/>
      <c r="L73" s="227"/>
    </row>
    <row r="74" spans="1:16" ht="13">
      <c r="A74" s="109">
        <f t="shared" si="8"/>
        <v>60</v>
      </c>
      <c r="B74" s="230" t="s">
        <v>402</v>
      </c>
      <c r="C74" s="2" t="s">
        <v>520</v>
      </c>
      <c r="D74" s="227"/>
      <c r="E74" s="227"/>
      <c r="F74" s="84"/>
      <c r="G74" s="227"/>
      <c r="H74" s="227"/>
      <c r="I74" s="2" t="s">
        <v>196</v>
      </c>
      <c r="J74" s="227"/>
    </row>
    <row r="75" spans="1:16" ht="14.5">
      <c r="A75" s="109">
        <f t="shared" si="8"/>
        <v>61</v>
      </c>
      <c r="B75" s="230" t="s">
        <v>193</v>
      </c>
      <c r="C75" s="2" t="s">
        <v>306</v>
      </c>
      <c r="D75" s="2" t="s">
        <v>356</v>
      </c>
      <c r="E75" s="2"/>
      <c r="F75" s="2"/>
      <c r="G75" s="2" t="s">
        <v>518</v>
      </c>
      <c r="H75" s="2"/>
      <c r="I75" s="2" t="s">
        <v>20</v>
      </c>
      <c r="J75" s="227"/>
      <c r="P75" s="237"/>
    </row>
    <row r="76" spans="1:16" ht="14.5">
      <c r="A76" s="109">
        <f t="shared" si="8"/>
        <v>62</v>
      </c>
      <c r="B76" s="3" t="s">
        <v>192</v>
      </c>
      <c r="C76" s="3" t="s">
        <v>21</v>
      </c>
      <c r="D76" s="3" t="s">
        <v>306</v>
      </c>
      <c r="E76" s="3" t="s">
        <v>305</v>
      </c>
      <c r="F76" s="3" t="s">
        <v>517</v>
      </c>
      <c r="G76" s="3" t="s">
        <v>519</v>
      </c>
      <c r="H76" s="3" t="s">
        <v>356</v>
      </c>
      <c r="I76" s="3" t="s">
        <v>77</v>
      </c>
      <c r="J76" s="227"/>
      <c r="K76" s="238"/>
      <c r="L76" s="238"/>
      <c r="M76" s="238"/>
      <c r="N76" s="238"/>
      <c r="O76" s="238"/>
      <c r="P76" s="238"/>
    </row>
    <row r="77" spans="1:16" ht="13">
      <c r="A77" s="109">
        <f t="shared" si="8"/>
        <v>63</v>
      </c>
      <c r="B77" s="243" t="s">
        <v>64</v>
      </c>
      <c r="C77" s="240">
        <v>83435001.659999996</v>
      </c>
      <c r="D77" s="240">
        <v>-1568456.24</v>
      </c>
      <c r="E77" s="240">
        <v>354640425.03999996</v>
      </c>
      <c r="F77" s="240">
        <v>384424886.75999999</v>
      </c>
      <c r="G77" s="240">
        <v>23289434.41</v>
      </c>
      <c r="H77" s="963">
        <v>37603359.039999999</v>
      </c>
      <c r="I77" s="229">
        <f t="shared" ref="I77:I82" si="9">SUM(C77:H77)</f>
        <v>881824650.66999996</v>
      </c>
      <c r="J77" s="227"/>
      <c r="K77" s="52"/>
      <c r="M77" s="7"/>
      <c r="N77" s="7"/>
      <c r="O77" s="7"/>
      <c r="P77" s="7"/>
    </row>
    <row r="78" spans="1:16" ht="13">
      <c r="A78" s="109">
        <f t="shared" si="8"/>
        <v>64</v>
      </c>
      <c r="B78" s="243" t="s">
        <v>65</v>
      </c>
      <c r="C78" s="240">
        <v>50821205.640000001</v>
      </c>
      <c r="D78" s="240">
        <v>-808716.40000000014</v>
      </c>
      <c r="E78" s="240">
        <v>232147364.53999999</v>
      </c>
      <c r="F78" s="240">
        <v>240394884.44999999</v>
      </c>
      <c r="G78" s="240">
        <v>11396102.91</v>
      </c>
      <c r="H78" s="240">
        <v>25334391.190000001</v>
      </c>
      <c r="I78" s="229">
        <f t="shared" si="9"/>
        <v>559285232.33000004</v>
      </c>
      <c r="J78" s="227"/>
      <c r="K78" s="52"/>
      <c r="M78" s="7"/>
      <c r="N78" s="7"/>
      <c r="O78" s="7"/>
      <c r="P78" s="7"/>
    </row>
    <row r="79" spans="1:16" ht="13">
      <c r="A79" s="109">
        <f t="shared" si="8"/>
        <v>65</v>
      </c>
      <c r="B79" s="243" t="s">
        <v>66</v>
      </c>
      <c r="C79" s="240">
        <v>75625059.620000005</v>
      </c>
      <c r="D79" s="240">
        <v>-1335075.8499999994</v>
      </c>
      <c r="E79" s="240">
        <v>327223242</v>
      </c>
      <c r="F79" s="240">
        <v>358859653.74000001</v>
      </c>
      <c r="G79" s="240">
        <v>18067397.759999998</v>
      </c>
      <c r="H79" s="240">
        <v>35295242.030000001</v>
      </c>
      <c r="I79" s="229">
        <f t="shared" si="9"/>
        <v>813735519.29999995</v>
      </c>
      <c r="J79" s="227"/>
      <c r="K79" s="52"/>
      <c r="M79" s="7"/>
      <c r="N79" s="7"/>
      <c r="O79" s="7"/>
      <c r="P79" s="7"/>
    </row>
    <row r="80" spans="1:16" ht="13">
      <c r="A80" s="109">
        <f t="shared" si="8"/>
        <v>66</v>
      </c>
      <c r="B80" s="243" t="s">
        <v>67</v>
      </c>
      <c r="C80" s="240">
        <v>65258290.909999996</v>
      </c>
      <c r="D80" s="240">
        <v>-1089220.5900000003</v>
      </c>
      <c r="E80" s="240">
        <v>104929446.64999998</v>
      </c>
      <c r="F80" s="240">
        <v>283299597.10999995</v>
      </c>
      <c r="G80" s="240">
        <v>14493502.889999999</v>
      </c>
      <c r="H80" s="240">
        <v>34225533.299999997</v>
      </c>
      <c r="I80" s="229">
        <f t="shared" si="9"/>
        <v>501117150.26999992</v>
      </c>
      <c r="J80" s="227"/>
      <c r="K80" s="52"/>
      <c r="M80" s="7"/>
      <c r="N80" s="7"/>
      <c r="O80" s="7"/>
      <c r="P80" s="7"/>
    </row>
    <row r="81" spans="1:16" ht="13">
      <c r="A81" s="109">
        <f t="shared" si="8"/>
        <v>67</v>
      </c>
      <c r="B81" s="87" t="s">
        <v>184</v>
      </c>
      <c r="C81" s="240">
        <v>78262572.730000004</v>
      </c>
      <c r="D81" s="240">
        <v>-1375454.92</v>
      </c>
      <c r="E81" s="240">
        <v>338849760.55000001</v>
      </c>
      <c r="F81" s="240">
        <v>371574924.58999997</v>
      </c>
      <c r="G81" s="240">
        <v>31667425.289999999</v>
      </c>
      <c r="H81" s="240">
        <v>67836364.790000007</v>
      </c>
      <c r="I81" s="229">
        <f t="shared" si="9"/>
        <v>886815593.02999997</v>
      </c>
      <c r="J81" s="227"/>
      <c r="K81" s="52"/>
      <c r="M81" s="7"/>
      <c r="N81" s="7"/>
      <c r="O81" s="7"/>
      <c r="P81" s="7"/>
    </row>
    <row r="82" spans="1:16" ht="13">
      <c r="A82" s="109">
        <f t="shared" si="8"/>
        <v>68</v>
      </c>
      <c r="B82" s="243" t="s">
        <v>68</v>
      </c>
      <c r="C82" s="240">
        <v>88567647.340000004</v>
      </c>
      <c r="D82" s="240">
        <v>13847051.329999998</v>
      </c>
      <c r="E82" s="240">
        <v>409417732.79000002</v>
      </c>
      <c r="F82" s="240">
        <v>480792464.64999998</v>
      </c>
      <c r="G82" s="240">
        <v>20608833.280000001</v>
      </c>
      <c r="H82" s="240">
        <v>71569228.789999992</v>
      </c>
      <c r="I82" s="229">
        <f t="shared" si="9"/>
        <v>1084802958.1800001</v>
      </c>
      <c r="J82" s="227"/>
      <c r="K82" s="52"/>
      <c r="M82" s="7"/>
      <c r="N82" s="7"/>
      <c r="O82" s="7"/>
      <c r="P82" s="7"/>
    </row>
    <row r="83" spans="1:16" ht="13">
      <c r="A83" s="109">
        <f t="shared" si="8"/>
        <v>69</v>
      </c>
      <c r="B83" s="243" t="s">
        <v>69</v>
      </c>
      <c r="C83" s="240">
        <v>112223450.8</v>
      </c>
      <c r="D83" s="240">
        <v>41533796.159999996</v>
      </c>
      <c r="E83" s="240">
        <v>592998553.47000003</v>
      </c>
      <c r="F83" s="240">
        <v>739148164.19999993</v>
      </c>
      <c r="G83" s="240">
        <v>17819354.109999999</v>
      </c>
      <c r="H83" s="240">
        <v>93118038.090000004</v>
      </c>
      <c r="I83" s="229">
        <f t="shared" ref="I83:I87" si="10">SUM(C83:H83)</f>
        <v>1596841356.8299999</v>
      </c>
      <c r="J83" s="227"/>
      <c r="K83" s="52"/>
      <c r="M83" s="7"/>
      <c r="N83" s="7"/>
      <c r="O83" s="7"/>
      <c r="P83" s="7"/>
    </row>
    <row r="84" spans="1:16" ht="13">
      <c r="A84" s="109">
        <f t="shared" si="8"/>
        <v>70</v>
      </c>
      <c r="B84" s="243" t="s">
        <v>70</v>
      </c>
      <c r="C84" s="240">
        <v>92859068.230000004</v>
      </c>
      <c r="D84" s="240">
        <v>25090396.390000001</v>
      </c>
      <c r="E84" s="240">
        <v>519326628.23999995</v>
      </c>
      <c r="F84" s="240">
        <v>549972544.8599999</v>
      </c>
      <c r="G84" s="240">
        <v>27764431.030000001</v>
      </c>
      <c r="H84" s="240">
        <v>72556080.720000014</v>
      </c>
      <c r="I84" s="229">
        <f t="shared" si="10"/>
        <v>1287569149.4699998</v>
      </c>
      <c r="J84" s="227"/>
      <c r="K84" s="52"/>
      <c r="M84" s="7"/>
      <c r="N84" s="7"/>
      <c r="O84" s="7"/>
      <c r="P84" s="7"/>
    </row>
    <row r="85" spans="1:16" ht="13">
      <c r="A85" s="109">
        <f t="shared" si="8"/>
        <v>71</v>
      </c>
      <c r="B85" s="243" t="s">
        <v>71</v>
      </c>
      <c r="C85" s="240">
        <v>83794301.299999997</v>
      </c>
      <c r="D85" s="240">
        <v>23443353.219999999</v>
      </c>
      <c r="E85" s="240">
        <v>469061177.09999996</v>
      </c>
      <c r="F85" s="240">
        <v>504325267.3599999</v>
      </c>
      <c r="G85" s="240">
        <v>18747321.129999999</v>
      </c>
      <c r="H85" s="240">
        <v>67429086.710000008</v>
      </c>
      <c r="I85" s="229">
        <f t="shared" si="10"/>
        <v>1166800506.8200002</v>
      </c>
      <c r="J85" s="227"/>
      <c r="K85" s="52"/>
      <c r="M85" s="7"/>
      <c r="N85" s="7"/>
      <c r="O85" s="7"/>
      <c r="P85" s="7"/>
    </row>
    <row r="86" spans="1:16" ht="13">
      <c r="A86" s="109">
        <f t="shared" si="8"/>
        <v>72</v>
      </c>
      <c r="B86" s="243" t="s">
        <v>72</v>
      </c>
      <c r="C86" s="240">
        <v>94827371.109999999</v>
      </c>
      <c r="D86" s="240">
        <v>27180014.320000004</v>
      </c>
      <c r="E86" s="240">
        <v>517274262.21000004</v>
      </c>
      <c r="F86" s="240">
        <v>481594426.92999995</v>
      </c>
      <c r="G86" s="240">
        <v>16222378.360000001</v>
      </c>
      <c r="H86" s="240">
        <v>76999486.980000004</v>
      </c>
      <c r="I86" s="229">
        <f t="shared" si="10"/>
        <v>1214097939.9100001</v>
      </c>
      <c r="J86" s="227"/>
      <c r="K86" s="52"/>
      <c r="M86" s="7"/>
      <c r="N86" s="7"/>
      <c r="O86" s="7"/>
      <c r="P86" s="7"/>
    </row>
    <row r="87" spans="1:16" ht="13">
      <c r="A87" s="109">
        <f t="shared" si="8"/>
        <v>73</v>
      </c>
      <c r="B87" s="243" t="s">
        <v>73</v>
      </c>
      <c r="C87" s="240">
        <v>50886192.009999998</v>
      </c>
      <c r="D87" s="240">
        <v>14785793.129999999</v>
      </c>
      <c r="E87" s="240">
        <v>253747664.29999998</v>
      </c>
      <c r="F87" s="240">
        <v>189626352.80000001</v>
      </c>
      <c r="G87" s="240">
        <v>1738984.3400000008</v>
      </c>
      <c r="H87" s="240">
        <v>39810969.899999999</v>
      </c>
      <c r="I87" s="229">
        <f t="shared" si="10"/>
        <v>550595956.48000002</v>
      </c>
      <c r="J87" s="227"/>
      <c r="K87" s="52"/>
      <c r="M87" s="7"/>
      <c r="N87" s="7"/>
      <c r="O87" s="7"/>
      <c r="P87" s="7"/>
    </row>
    <row r="88" spans="1:16" ht="13">
      <c r="A88" s="109">
        <f t="shared" si="8"/>
        <v>74</v>
      </c>
      <c r="B88" s="243" t="s">
        <v>74</v>
      </c>
      <c r="C88" s="107">
        <v>92160892.420000002</v>
      </c>
      <c r="D88" s="107">
        <v>27510943.129999999</v>
      </c>
      <c r="E88" s="107">
        <v>486659194.31</v>
      </c>
      <c r="F88" s="107">
        <v>426769011.64999998</v>
      </c>
      <c r="G88" s="107">
        <v>17690672.890000001</v>
      </c>
      <c r="H88" s="107">
        <v>76884717.320000008</v>
      </c>
      <c r="I88" s="91">
        <f>SUM(C88:H88)</f>
        <v>1127675431.72</v>
      </c>
      <c r="J88" s="227"/>
      <c r="K88" s="52"/>
      <c r="M88" s="7"/>
      <c r="N88" s="7"/>
      <c r="O88" s="7"/>
      <c r="P88" s="91"/>
    </row>
    <row r="89" spans="1:16" ht="13">
      <c r="A89" s="109">
        <f t="shared" si="8"/>
        <v>75</v>
      </c>
      <c r="B89" s="87" t="s">
        <v>197</v>
      </c>
      <c r="C89" s="229">
        <f t="shared" ref="C89:H89" si="11">SUM(C77:C88)</f>
        <v>968721053.76999998</v>
      </c>
      <c r="D89" s="229">
        <f t="shared" si="11"/>
        <v>167214423.68000001</v>
      </c>
      <c r="E89" s="229">
        <f t="shared" si="11"/>
        <v>4606275451.1999998</v>
      </c>
      <c r="F89" s="229">
        <f t="shared" si="11"/>
        <v>5010782179.0999994</v>
      </c>
      <c r="G89" s="229">
        <f t="shared" si="11"/>
        <v>219505838.39999998</v>
      </c>
      <c r="H89" s="229">
        <f t="shared" si="11"/>
        <v>698662498.86000013</v>
      </c>
      <c r="I89" s="229">
        <f>SUM(I77:I88)</f>
        <v>11671161445.009998</v>
      </c>
      <c r="J89" s="227"/>
      <c r="P89" s="7"/>
    </row>
    <row r="90" spans="1:16" ht="13">
      <c r="A90" s="109">
        <f t="shared" si="8"/>
        <v>76</v>
      </c>
      <c r="B90" s="227"/>
      <c r="C90" s="227"/>
      <c r="D90" s="227"/>
      <c r="E90" s="227"/>
      <c r="F90" s="227"/>
      <c r="G90" s="227"/>
      <c r="H90" s="93"/>
      <c r="I90" s="227"/>
      <c r="J90" s="227"/>
      <c r="K90" s="227"/>
      <c r="L90" s="227"/>
    </row>
    <row r="91" spans="1:16" ht="13">
      <c r="A91" s="109">
        <f t="shared" si="8"/>
        <v>77</v>
      </c>
      <c r="B91" s="227"/>
      <c r="C91" s="227"/>
      <c r="D91" s="227"/>
      <c r="E91" s="227"/>
      <c r="F91" s="227"/>
      <c r="G91" s="227"/>
      <c r="H91" s="93" t="s">
        <v>521</v>
      </c>
      <c r="I91" s="963">
        <v>11671161445</v>
      </c>
      <c r="J91" s="227"/>
      <c r="K91" s="227"/>
      <c r="L91" s="227"/>
    </row>
    <row r="92" spans="1:16">
      <c r="A92" s="227"/>
      <c r="B92" s="227"/>
      <c r="C92" s="227"/>
      <c r="D92" s="227"/>
      <c r="E92" s="227"/>
      <c r="F92" s="227"/>
      <c r="G92" s="227"/>
      <c r="H92" s="227"/>
      <c r="I92" s="227"/>
      <c r="J92" s="227"/>
      <c r="K92" s="227"/>
      <c r="L92" s="227"/>
    </row>
    <row r="93" spans="1:16" ht="13">
      <c r="A93" s="2"/>
      <c r="B93" s="44" t="s">
        <v>377</v>
      </c>
      <c r="C93" s="235"/>
      <c r="D93" s="235"/>
      <c r="E93" s="235"/>
      <c r="F93" s="235"/>
      <c r="G93" s="235"/>
      <c r="H93" s="235"/>
      <c r="I93" s="231"/>
      <c r="J93" s="235"/>
      <c r="K93" s="235"/>
      <c r="L93" s="227"/>
    </row>
    <row r="94" spans="1:16" ht="13">
      <c r="A94" s="2"/>
      <c r="B94" s="462" t="str">
        <f>"1) Enter applicable years on Column 1, Lines "&amp;A24&amp;"-"&amp;A36&amp;" (Prior Year and December of the year previous to the Prior Year)."</f>
        <v>1) Enter applicable years on Column 1, Lines 11-23 (Prior Year and December of the year previous to the Prior Year).</v>
      </c>
      <c r="C94" s="235"/>
      <c r="D94" s="235"/>
      <c r="E94" s="235"/>
      <c r="F94" s="235"/>
      <c r="G94" s="235"/>
      <c r="H94" s="235"/>
      <c r="I94" s="235"/>
      <c r="J94" s="235"/>
      <c r="K94" s="235"/>
      <c r="L94" s="227"/>
    </row>
    <row r="95" spans="1:16" ht="13">
      <c r="A95" s="2"/>
      <c r="B95" s="462" t="str">
        <f>"2) Enter Previous Annual Update True Up Adjustment (if any) on Line "&amp;A41&amp;"."</f>
        <v>2) Enter Previous Annual Update True Up Adjustment (if any) on Line 27.</v>
      </c>
      <c r="C95" s="235"/>
      <c r="D95" s="235"/>
      <c r="E95" s="235"/>
      <c r="F95" s="235"/>
      <c r="G95" s="235"/>
      <c r="H95" s="235"/>
      <c r="I95" s="235"/>
      <c r="J95" s="235"/>
      <c r="K95" s="235"/>
      <c r="L95" s="227"/>
    </row>
    <row r="96" spans="1:16" ht="13">
      <c r="A96" s="2"/>
      <c r="B96" s="1030" t="s">
        <v>2250</v>
      </c>
      <c r="C96" s="235"/>
      <c r="D96" s="235"/>
      <c r="E96" s="235"/>
      <c r="F96" s="235"/>
      <c r="G96" s="235"/>
      <c r="H96" s="235"/>
      <c r="I96" s="235"/>
      <c r="J96" s="235"/>
      <c r="K96" s="235"/>
      <c r="L96" s="227"/>
    </row>
    <row r="97" spans="1:12" ht="13">
      <c r="A97" s="2"/>
      <c r="B97" s="462" t="s">
        <v>958</v>
      </c>
      <c r="C97" s="235"/>
      <c r="D97" s="235"/>
      <c r="E97" s="235"/>
      <c r="F97" s="235"/>
      <c r="G97" s="235"/>
      <c r="H97" s="235"/>
      <c r="I97" s="235"/>
      <c r="J97" s="235"/>
      <c r="K97" s="235"/>
      <c r="L97" s="227"/>
    </row>
    <row r="98" spans="1:12" ht="13">
      <c r="A98" s="2"/>
      <c r="B98" s="845" t="str">
        <f>"18 C.F.R. §35.19a on lines "&amp;A25&amp;" to "&amp;A36&amp;", Column 6."</f>
        <v>18 C.F.R. §35.19a on lines 12 to 23, Column 6.</v>
      </c>
      <c r="C98" s="235"/>
      <c r="D98" s="235"/>
      <c r="E98" s="235"/>
      <c r="F98" s="235"/>
      <c r="G98" s="235"/>
      <c r="H98" s="235"/>
      <c r="I98" s="235"/>
      <c r="J98" s="235"/>
      <c r="K98" s="235"/>
      <c r="L98" s="227"/>
    </row>
    <row r="99" spans="1:12" ht="13">
      <c r="A99" s="2"/>
      <c r="B99" s="462" t="s">
        <v>2251</v>
      </c>
      <c r="C99" s="235"/>
      <c r="D99" s="235"/>
      <c r="E99" s="235"/>
      <c r="F99" s="235"/>
      <c r="G99" s="235"/>
      <c r="H99" s="235"/>
      <c r="I99" s="235"/>
      <c r="J99" s="235"/>
      <c r="K99" s="235"/>
      <c r="L99" s="227"/>
    </row>
    <row r="100" spans="1:12" ht="13">
      <c r="A100" s="2"/>
      <c r="B100" s="441" t="s">
        <v>1699</v>
      </c>
      <c r="C100" s="235"/>
      <c r="D100" s="235"/>
      <c r="E100" s="235"/>
      <c r="F100" s="235"/>
      <c r="G100" s="235"/>
      <c r="H100" s="235"/>
      <c r="I100" s="235"/>
      <c r="J100" s="235"/>
      <c r="K100" s="235"/>
      <c r="L100" s="227"/>
    </row>
    <row r="101" spans="1:12" ht="13">
      <c r="A101" s="549"/>
      <c r="B101" s="847" t="s">
        <v>2252</v>
      </c>
      <c r="C101" s="235"/>
      <c r="D101" s="235"/>
      <c r="E101" s="235"/>
      <c r="F101" s="235"/>
      <c r="G101" s="235"/>
      <c r="H101" s="235"/>
      <c r="I101" s="235"/>
      <c r="J101" s="235"/>
      <c r="K101" s="235"/>
    </row>
    <row r="102" spans="1:12" ht="13">
      <c r="A102" s="549"/>
      <c r="B102" s="1031" t="s">
        <v>2253</v>
      </c>
      <c r="C102" s="235"/>
      <c r="D102" s="235"/>
      <c r="E102" s="235"/>
      <c r="F102" s="235"/>
      <c r="G102" s="235"/>
      <c r="H102" s="235"/>
      <c r="I102" s="235"/>
      <c r="J102" s="235"/>
      <c r="K102" s="235"/>
      <c r="L102" s="227"/>
    </row>
    <row r="103" spans="1:12" ht="13">
      <c r="A103" s="549"/>
      <c r="B103" s="1031" t="str">
        <f>"Entering on Line "&amp;A25&amp;" (or other appropriate) ensures these One Time Adjustments are recovered from or returned to customers."</f>
        <v>Entering on Line 12 (or other appropriate) ensures these One Time Adjustments are recovered from or returned to customers.</v>
      </c>
      <c r="C103" s="14"/>
      <c r="D103" s="235"/>
      <c r="E103" s="235"/>
      <c r="F103" s="235"/>
      <c r="G103" s="235"/>
      <c r="H103" s="235"/>
      <c r="I103" s="235"/>
      <c r="J103" s="235"/>
      <c r="K103" s="235"/>
      <c r="L103" s="227"/>
    </row>
    <row r="104" spans="1:12" ht="13">
      <c r="A104" s="2"/>
      <c r="B104" s="847" t="s">
        <v>2254</v>
      </c>
      <c r="C104" s="235"/>
      <c r="D104" s="235"/>
      <c r="E104" s="235"/>
      <c r="F104" s="235"/>
      <c r="G104" s="235"/>
      <c r="H104" s="235"/>
      <c r="I104" s="235"/>
      <c r="J104" s="235"/>
      <c r="K104" s="235"/>
      <c r="L104" s="227"/>
    </row>
    <row r="105" spans="1:12" ht="13">
      <c r="A105" s="2"/>
      <c r="B105" s="847" t="s">
        <v>2255</v>
      </c>
      <c r="C105" s="235"/>
      <c r="D105" s="235"/>
      <c r="E105" s="235"/>
      <c r="F105" s="235"/>
      <c r="G105" s="235"/>
      <c r="H105" s="235"/>
      <c r="I105" s="235"/>
      <c r="J105" s="235"/>
      <c r="K105" s="235"/>
      <c r="L105" s="227"/>
    </row>
    <row r="106" spans="1:12" s="955" customFormat="1" ht="13">
      <c r="A106" s="549"/>
      <c r="B106" s="847"/>
      <c r="C106" s="465" t="s">
        <v>2533</v>
      </c>
      <c r="D106" s="1226"/>
      <c r="E106" s="961" t="s">
        <v>2709</v>
      </c>
      <c r="F106" s="958"/>
      <c r="G106" s="958"/>
      <c r="H106" s="235"/>
      <c r="I106" s="235"/>
      <c r="J106" s="235"/>
      <c r="K106" s="235"/>
      <c r="L106" s="227"/>
    </row>
    <row r="107" spans="1:12" s="955" customFormat="1" ht="13">
      <c r="A107" s="549"/>
      <c r="B107" s="847"/>
      <c r="C107" s="465" t="s">
        <v>2532</v>
      </c>
      <c r="D107" s="1226"/>
      <c r="E107" s="986" t="s">
        <v>2943</v>
      </c>
      <c r="F107" s="1215"/>
      <c r="G107" s="1215"/>
      <c r="H107" s="1215"/>
      <c r="I107" s="235"/>
      <c r="J107" s="235"/>
      <c r="K107" s="235"/>
      <c r="L107" s="227"/>
    </row>
    <row r="108" spans="1:12" ht="13">
      <c r="A108" s="2"/>
      <c r="B108" s="462" t="str">
        <f>"5) Fill in matrix of all retail revenues from Prior Year in table on lines "&amp;A77&amp;" to "&amp;A88&amp;"."</f>
        <v>5) Fill in matrix of all retail revenues from Prior Year in table on lines 63 to 74.</v>
      </c>
      <c r="C108" s="235"/>
      <c r="D108" s="235"/>
      <c r="E108" s="235"/>
      <c r="F108" s="235"/>
      <c r="G108" s="235"/>
      <c r="H108" s="235"/>
      <c r="I108" s="235"/>
      <c r="J108" s="235"/>
      <c r="K108" s="235"/>
      <c r="L108" s="227"/>
    </row>
    <row r="109" spans="1:12" ht="13">
      <c r="A109" s="2"/>
      <c r="B109" s="462" t="str">
        <f>"6) Enter Total Sales to Ultimate Consumers on line "&amp;A91&amp;" and verify that it equals the total on line "&amp;A89&amp;"."</f>
        <v>6) Enter Total Sales to Ultimate Consumers on line 77 and verify that it equals the total on line 75.</v>
      </c>
      <c r="C109" s="235"/>
      <c r="D109" s="235"/>
      <c r="E109" s="235"/>
      <c r="F109" s="235"/>
      <c r="G109" s="235"/>
      <c r="H109" s="235"/>
      <c r="I109" s="235"/>
      <c r="J109" s="235"/>
      <c r="K109" s="235"/>
      <c r="L109" s="227"/>
    </row>
    <row r="110" spans="1:12" ht="13">
      <c r="A110" s="2"/>
      <c r="B110" s="462" t="s">
        <v>2256</v>
      </c>
      <c r="C110" s="235"/>
      <c r="D110" s="235"/>
      <c r="E110" s="235"/>
      <c r="F110" s="235"/>
      <c r="G110" s="235"/>
      <c r="H110" s="235"/>
      <c r="I110" s="235"/>
      <c r="J110" s="235"/>
      <c r="K110" s="235"/>
      <c r="L110" s="227"/>
    </row>
    <row r="111" spans="1:12" s="14" customFormat="1" ht="13">
      <c r="A111" s="109"/>
      <c r="B111" s="845" t="s">
        <v>1058</v>
      </c>
      <c r="C111" s="235"/>
      <c r="D111" s="235"/>
      <c r="E111" s="235"/>
      <c r="F111" s="235"/>
      <c r="G111" s="235"/>
      <c r="H111" s="235"/>
      <c r="I111" s="235"/>
      <c r="J111" s="235"/>
      <c r="K111" s="235"/>
      <c r="L111" s="235"/>
    </row>
    <row r="112" spans="1:12" ht="13">
      <c r="A112" s="2"/>
      <c r="B112" s="833" t="s">
        <v>230</v>
      </c>
      <c r="C112" s="235"/>
      <c r="D112" s="235"/>
      <c r="E112" s="235"/>
      <c r="F112" s="235"/>
      <c r="G112" s="235"/>
      <c r="H112" s="235"/>
      <c r="I112" s="235"/>
      <c r="J112" s="235"/>
      <c r="K112" s="235"/>
      <c r="L112" s="227"/>
    </row>
    <row r="113" spans="1:12" ht="13">
      <c r="A113" s="2"/>
      <c r="B113" s="467" t="s">
        <v>1479</v>
      </c>
      <c r="C113" s="235"/>
      <c r="D113" s="235"/>
      <c r="E113" s="235"/>
      <c r="F113" s="235"/>
      <c r="G113" s="235"/>
      <c r="H113" s="235"/>
      <c r="I113" s="235"/>
      <c r="J113" s="235"/>
      <c r="K113" s="235"/>
      <c r="L113" s="227"/>
    </row>
    <row r="114" spans="1:12" ht="13">
      <c r="A114" s="2"/>
      <c r="B114" s="1032" t="s">
        <v>1480</v>
      </c>
      <c r="C114" s="235"/>
      <c r="D114" s="235"/>
      <c r="E114" s="235"/>
      <c r="F114" s="235"/>
      <c r="G114" s="235"/>
      <c r="H114" s="235"/>
      <c r="I114" s="235"/>
      <c r="J114" s="235"/>
      <c r="K114" s="235"/>
      <c r="L114" s="227"/>
    </row>
    <row r="115" spans="1:12" ht="13">
      <c r="A115" s="2"/>
      <c r="B115" s="1030"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5" s="235"/>
      <c r="D115" s="235"/>
      <c r="E115" s="235"/>
      <c r="F115" s="235"/>
      <c r="G115" s="235"/>
      <c r="H115" s="235"/>
      <c r="I115" s="235"/>
      <c r="J115" s="235"/>
      <c r="K115" s="235"/>
      <c r="L115" s="227"/>
    </row>
    <row r="116" spans="1:12" ht="13">
      <c r="A116" s="489"/>
      <c r="B116" s="1030" t="str">
        <f>"Only enter in the Prior Year, Lines "&amp;A25&amp;" to "&amp;A36&amp;", or portion of year formula was in effect in case of Partial Year True Up."</f>
        <v>Only enter in the Prior Year, Lines 12 to 23, or portion of year formula was in effect in case of Partial Year True Up.</v>
      </c>
      <c r="C116" s="235"/>
      <c r="D116" s="235"/>
      <c r="E116" s="235"/>
      <c r="F116" s="235"/>
      <c r="G116" s="235"/>
      <c r="H116" s="235"/>
      <c r="I116" s="235"/>
      <c r="J116" s="235"/>
      <c r="K116" s="235"/>
      <c r="L116" s="227"/>
    </row>
    <row r="117" spans="1:12" ht="13">
      <c r="A117" s="549"/>
      <c r="B117" s="1030" t="s">
        <v>1811</v>
      </c>
      <c r="C117" s="235"/>
      <c r="D117" s="235"/>
      <c r="E117" s="235"/>
      <c r="F117" s="235"/>
      <c r="G117" s="235"/>
      <c r="H117" s="235"/>
      <c r="I117" s="235"/>
      <c r="J117" s="235"/>
      <c r="K117" s="235"/>
      <c r="L117" s="227"/>
    </row>
    <row r="118" spans="1:12" ht="13">
      <c r="A118" s="2"/>
      <c r="B118" s="1032" t="s">
        <v>1059</v>
      </c>
      <c r="C118" s="235"/>
      <c r="D118" s="235"/>
      <c r="E118" s="235"/>
      <c r="F118" s="235"/>
      <c r="G118" s="235"/>
      <c r="H118" s="235"/>
      <c r="I118" s="235"/>
      <c r="J118" s="235"/>
      <c r="K118" s="235"/>
      <c r="L118" s="227"/>
    </row>
    <row r="119" spans="1:12" ht="13">
      <c r="A119" s="2"/>
      <c r="B119" s="1030" t="str">
        <f>"as shown on Lines "&amp;A77&amp;" to "&amp;A88&amp;", Column 1."</f>
        <v>as shown on Lines 63 to 74, Column 1.</v>
      </c>
      <c r="C119" s="235"/>
      <c r="D119" s="235"/>
      <c r="E119" s="235"/>
      <c r="F119" s="235"/>
      <c r="G119" s="235"/>
      <c r="H119" s="235"/>
      <c r="I119" s="235"/>
      <c r="J119" s="235"/>
      <c r="K119" s="235"/>
      <c r="L119" s="227"/>
    </row>
    <row r="120" spans="1:12" ht="13">
      <c r="A120" s="2"/>
      <c r="B120" s="1032" t="s">
        <v>2400</v>
      </c>
      <c r="C120" s="235"/>
      <c r="D120" s="235"/>
      <c r="E120" s="235"/>
      <c r="F120" s="235"/>
      <c r="G120" s="235"/>
      <c r="H120" s="235"/>
      <c r="I120" s="235"/>
      <c r="J120" s="235"/>
      <c r="K120" s="235"/>
      <c r="L120" s="227"/>
    </row>
    <row r="121" spans="1:12" ht="13">
      <c r="A121" s="2"/>
      <c r="B121" s="1032" t="s">
        <v>1600</v>
      </c>
      <c r="C121" s="235"/>
      <c r="D121" s="235"/>
      <c r="E121" s="235"/>
      <c r="F121" s="235"/>
      <c r="G121" s="235"/>
      <c r="H121" s="235"/>
      <c r="I121" s="235"/>
      <c r="J121" s="235"/>
      <c r="K121" s="235"/>
      <c r="L121" s="227"/>
    </row>
    <row r="122" spans="1:12" ht="13">
      <c r="A122" s="2"/>
      <c r="B122" s="462" t="s">
        <v>2257</v>
      </c>
      <c r="C122" s="235"/>
      <c r="D122" s="235"/>
      <c r="E122" s="235"/>
      <c r="F122" s="235"/>
      <c r="G122" s="235"/>
      <c r="H122" s="235"/>
      <c r="I122" s="235"/>
      <c r="J122" s="235"/>
      <c r="K122" s="235"/>
      <c r="L122" s="227"/>
    </row>
    <row r="123" spans="1:12" ht="13">
      <c r="A123" s="549"/>
      <c r="B123" s="845" t="s">
        <v>2258</v>
      </c>
      <c r="C123" s="235"/>
      <c r="D123" s="235"/>
      <c r="E123" s="235"/>
      <c r="F123" s="235"/>
      <c r="G123" s="235"/>
      <c r="H123" s="235"/>
      <c r="I123" s="235"/>
      <c r="J123" s="235"/>
      <c r="K123" s="235"/>
      <c r="L123" s="227"/>
    </row>
    <row r="124" spans="1:12" ht="13">
      <c r="A124" s="549"/>
      <c r="B124" s="462" t="s">
        <v>1060</v>
      </c>
      <c r="C124" s="235"/>
      <c r="D124" s="235"/>
      <c r="E124" s="235"/>
      <c r="F124" s="235"/>
      <c r="G124" s="235"/>
      <c r="H124" s="235"/>
      <c r="I124" s="235"/>
      <c r="J124" s="235"/>
      <c r="K124" s="235"/>
      <c r="L124" s="235"/>
    </row>
    <row r="125" spans="1:12" ht="13">
      <c r="A125" s="2"/>
      <c r="B125" s="846" t="s">
        <v>2259</v>
      </c>
      <c r="C125" s="235"/>
      <c r="D125" s="235"/>
      <c r="E125" s="235"/>
      <c r="F125" s="235"/>
      <c r="G125" s="235"/>
      <c r="H125" s="235"/>
      <c r="I125" s="235"/>
      <c r="J125" s="235"/>
      <c r="K125" s="235"/>
      <c r="L125" s="235"/>
    </row>
    <row r="126" spans="1:12" ht="13">
      <c r="A126" s="2"/>
      <c r="B126" s="462" t="s">
        <v>2260</v>
      </c>
      <c r="C126" s="235"/>
      <c r="D126" s="235"/>
      <c r="E126" s="235"/>
      <c r="F126" s="235"/>
      <c r="G126" s="235"/>
      <c r="H126" s="235"/>
      <c r="I126" s="235"/>
      <c r="J126" s="235"/>
      <c r="K126" s="235"/>
      <c r="L126" s="227"/>
    </row>
    <row r="127" spans="1:12" ht="13">
      <c r="A127" s="2"/>
      <c r="B127" s="462" t="s">
        <v>2261</v>
      </c>
      <c r="C127" s="235"/>
      <c r="D127" s="235"/>
      <c r="E127" s="235"/>
      <c r="F127" s="235"/>
      <c r="G127" s="235"/>
      <c r="H127" s="235"/>
      <c r="I127" s="235"/>
      <c r="J127" s="235"/>
      <c r="K127" s="235"/>
      <c r="L127" s="227"/>
    </row>
    <row r="128" spans="1:12" ht="13">
      <c r="A128" s="2"/>
      <c r="B128" s="845" t="s">
        <v>2657</v>
      </c>
      <c r="C128" s="235"/>
      <c r="D128" s="235"/>
      <c r="E128" s="235"/>
      <c r="F128" s="235"/>
      <c r="G128" s="235"/>
      <c r="H128" s="235"/>
      <c r="I128" s="235"/>
      <c r="J128" s="235"/>
      <c r="K128" s="235"/>
      <c r="L128" s="227"/>
    </row>
    <row r="129" spans="1:12" ht="13">
      <c r="A129" s="2"/>
      <c r="B129" s="845" t="s">
        <v>1863</v>
      </c>
      <c r="C129" s="235"/>
      <c r="D129" s="235"/>
      <c r="E129" s="235"/>
      <c r="F129" s="235"/>
      <c r="G129" s="235"/>
      <c r="H129" s="235"/>
      <c r="I129" s="235"/>
      <c r="J129" s="235"/>
      <c r="K129" s="235"/>
      <c r="L129" s="227"/>
    </row>
    <row r="130" spans="1:12" ht="13">
      <c r="A130" s="2"/>
      <c r="B130" s="845" t="s">
        <v>1864</v>
      </c>
      <c r="C130" s="235"/>
      <c r="D130" s="235"/>
      <c r="E130" s="235"/>
      <c r="F130" s="235"/>
      <c r="G130" s="235"/>
      <c r="H130" s="235"/>
      <c r="I130" s="235"/>
      <c r="J130" s="235"/>
      <c r="K130" s="235"/>
      <c r="L130" s="227"/>
    </row>
    <row r="131" spans="1:12" ht="13">
      <c r="A131" s="2"/>
      <c r="B131" s="462" t="s">
        <v>2262</v>
      </c>
      <c r="C131" s="235"/>
      <c r="D131" s="235"/>
      <c r="E131" s="235"/>
      <c r="F131" s="235"/>
      <c r="G131" s="235"/>
      <c r="H131" s="235"/>
      <c r="I131" s="235"/>
      <c r="J131" s="235"/>
      <c r="K131" s="235"/>
      <c r="L131" s="227"/>
    </row>
    <row r="132" spans="1:12" ht="13">
      <c r="A132" s="2"/>
      <c r="B132" s="845" t="s">
        <v>2025</v>
      </c>
      <c r="C132" s="235"/>
      <c r="D132" s="235"/>
      <c r="E132" s="235"/>
      <c r="F132" s="235"/>
      <c r="G132" s="235"/>
      <c r="H132" s="235"/>
      <c r="I132" s="235"/>
      <c r="J132" s="235"/>
      <c r="K132" s="235"/>
      <c r="L132" s="227"/>
    </row>
    <row r="133" spans="1:12" ht="13">
      <c r="A133" s="2"/>
      <c r="B133" s="845" t="s">
        <v>2024</v>
      </c>
      <c r="C133" s="235"/>
      <c r="D133" s="235"/>
      <c r="E133" s="235"/>
      <c r="F133" s="235"/>
      <c r="G133" s="235"/>
      <c r="H133" s="235"/>
      <c r="I133" s="235"/>
      <c r="J133" s="235"/>
      <c r="K133" s="235"/>
      <c r="L133" s="227"/>
    </row>
    <row r="134" spans="1:12">
      <c r="A134" s="227"/>
      <c r="B134" s="845" t="s">
        <v>2023</v>
      </c>
      <c r="C134" s="235"/>
      <c r="D134" s="235"/>
      <c r="E134" s="235"/>
      <c r="F134" s="235"/>
      <c r="G134" s="235"/>
      <c r="H134" s="235"/>
      <c r="I134" s="235"/>
      <c r="J134" s="235"/>
      <c r="K134" s="235"/>
      <c r="L134" s="227"/>
    </row>
    <row r="135" spans="1:12">
      <c r="A135" s="227"/>
      <c r="B135" s="845" t="s">
        <v>959</v>
      </c>
      <c r="C135" s="235"/>
      <c r="D135" s="235"/>
      <c r="E135" s="235"/>
      <c r="F135" s="235"/>
      <c r="G135" s="235"/>
      <c r="H135" s="235"/>
      <c r="I135" s="235"/>
      <c r="J135" s="235"/>
      <c r="K135" s="235"/>
      <c r="L135" s="227"/>
    </row>
    <row r="136" spans="1:12">
      <c r="A136" s="227"/>
      <c r="B136" s="46"/>
      <c r="C136" s="235"/>
      <c r="D136" s="235"/>
      <c r="E136" s="235"/>
      <c r="F136" s="235"/>
      <c r="G136" s="235"/>
      <c r="H136" s="235"/>
      <c r="I136" s="235"/>
      <c r="J136" s="235"/>
      <c r="K136" s="235"/>
      <c r="L136" s="227"/>
    </row>
    <row r="137" spans="1:12">
      <c r="A137" s="227"/>
      <c r="B137" s="367"/>
      <c r="C137" s="235"/>
      <c r="D137" s="235"/>
      <c r="E137" s="235"/>
      <c r="F137" s="235"/>
      <c r="G137" s="235"/>
      <c r="H137" s="235"/>
      <c r="I137" s="235"/>
      <c r="J137" s="235"/>
      <c r="K137" s="235"/>
      <c r="L137" s="227"/>
    </row>
    <row r="138" spans="1:12">
      <c r="A138" s="227"/>
      <c r="B138" s="845"/>
      <c r="C138" s="235"/>
      <c r="D138" s="235"/>
      <c r="E138" s="235"/>
      <c r="F138" s="235"/>
      <c r="G138" s="235"/>
      <c r="H138" s="235"/>
      <c r="I138" s="235"/>
      <c r="J138" s="235"/>
      <c r="K138" s="235"/>
      <c r="L138" s="227"/>
    </row>
    <row r="139" spans="1:12">
      <c r="A139" s="227"/>
      <c r="B139" s="845"/>
      <c r="C139" s="235"/>
      <c r="D139" s="235"/>
      <c r="E139" s="235"/>
      <c r="F139" s="235"/>
      <c r="G139" s="235"/>
      <c r="H139" s="235"/>
      <c r="I139" s="235"/>
      <c r="J139" s="235"/>
      <c r="K139" s="235"/>
      <c r="L139" s="227"/>
    </row>
    <row r="140" spans="1:12">
      <c r="A140" s="227"/>
      <c r="B140" s="46"/>
      <c r="C140" s="235"/>
      <c r="D140" s="235"/>
      <c r="E140" s="235"/>
      <c r="F140" s="235"/>
      <c r="G140" s="235"/>
      <c r="H140" s="235"/>
      <c r="I140" s="235"/>
      <c r="J140" s="235"/>
      <c r="K140" s="235"/>
      <c r="L140" s="227"/>
    </row>
    <row r="141" spans="1:12">
      <c r="A141" s="227"/>
      <c r="B141" s="845"/>
      <c r="C141" s="235"/>
      <c r="D141" s="235"/>
      <c r="E141" s="235"/>
      <c r="F141" s="235"/>
      <c r="G141" s="235"/>
      <c r="H141" s="235"/>
      <c r="I141" s="235"/>
      <c r="J141" s="235"/>
      <c r="K141" s="235"/>
      <c r="L141" s="227"/>
    </row>
    <row r="142" spans="1:12">
      <c r="A142" s="227"/>
      <c r="B142" s="845"/>
      <c r="C142" s="235"/>
      <c r="D142" s="235"/>
      <c r="E142" s="235"/>
      <c r="F142" s="235"/>
      <c r="G142" s="235"/>
      <c r="H142" s="235"/>
      <c r="I142" s="235"/>
      <c r="J142" s="235"/>
      <c r="K142" s="235"/>
      <c r="L142" s="227"/>
    </row>
    <row r="143" spans="1:12">
      <c r="A143" s="227"/>
      <c r="B143" s="845"/>
      <c r="C143" s="235"/>
      <c r="D143" s="235"/>
      <c r="E143" s="235"/>
      <c r="F143" s="235"/>
      <c r="G143" s="235"/>
      <c r="H143" s="235"/>
      <c r="I143" s="235"/>
      <c r="J143" s="235"/>
      <c r="K143" s="235"/>
      <c r="L143" s="227"/>
    </row>
    <row r="144" spans="1:12">
      <c r="A144" s="227"/>
      <c r="B144" s="367"/>
      <c r="C144" s="235"/>
      <c r="D144" s="235"/>
      <c r="E144" s="235"/>
      <c r="F144" s="235"/>
      <c r="G144" s="235"/>
      <c r="H144" s="235"/>
      <c r="I144" s="235"/>
      <c r="J144" s="235"/>
      <c r="K144" s="235"/>
      <c r="L144" s="227"/>
    </row>
    <row r="145" spans="1:12">
      <c r="A145" s="227"/>
      <c r="C145" s="227"/>
      <c r="D145" s="227"/>
      <c r="E145" s="227"/>
      <c r="F145" s="227"/>
      <c r="G145" s="227"/>
      <c r="H145" s="227"/>
      <c r="I145" s="227"/>
      <c r="J145" s="227"/>
      <c r="K145" s="227"/>
      <c r="L145" s="227"/>
    </row>
    <row r="146" spans="1:12">
      <c r="A146" s="227"/>
      <c r="B146" s="227"/>
      <c r="C146" s="227"/>
      <c r="D146" s="227"/>
      <c r="E146" s="227"/>
      <c r="F146" s="227"/>
      <c r="G146" s="227"/>
      <c r="H146" s="227"/>
      <c r="I146" s="227"/>
      <c r="J146" s="227"/>
      <c r="K146" s="227"/>
      <c r="L146" s="227"/>
    </row>
    <row r="147" spans="1:12">
      <c r="A147" s="227"/>
      <c r="B147" s="227"/>
      <c r="C147" s="227"/>
      <c r="D147" s="227"/>
      <c r="E147" s="227"/>
      <c r="F147" s="227"/>
      <c r="G147" s="227"/>
      <c r="H147" s="227"/>
      <c r="I147" s="227"/>
      <c r="J147" s="227"/>
      <c r="K147" s="227"/>
      <c r="L147" s="227"/>
    </row>
    <row r="148" spans="1:12">
      <c r="A148" s="227"/>
      <c r="B148" s="227"/>
      <c r="C148" s="227"/>
      <c r="D148" s="227"/>
      <c r="E148" s="227"/>
      <c r="F148" s="227"/>
      <c r="G148" s="227"/>
      <c r="H148" s="227"/>
      <c r="I148" s="227"/>
      <c r="J148" s="227"/>
      <c r="K148" s="227"/>
      <c r="L148" s="227"/>
    </row>
    <row r="149" spans="1:12">
      <c r="A149" s="227"/>
      <c r="B149" s="227"/>
      <c r="C149" s="227"/>
      <c r="D149" s="227"/>
      <c r="E149" s="227"/>
      <c r="F149" s="227"/>
      <c r="G149" s="227"/>
      <c r="H149" s="227"/>
      <c r="I149" s="227"/>
      <c r="J149" s="227"/>
      <c r="K149" s="227"/>
      <c r="L149" s="227"/>
    </row>
    <row r="150" spans="1:12">
      <c r="A150" s="227"/>
      <c r="B150" s="227"/>
      <c r="C150" s="227"/>
      <c r="D150" s="227"/>
      <c r="E150" s="227"/>
      <c r="F150" s="227"/>
      <c r="G150" s="227"/>
      <c r="H150" s="227"/>
      <c r="I150" s="227"/>
      <c r="J150" s="227"/>
      <c r="K150" s="227"/>
      <c r="L150" s="227"/>
    </row>
    <row r="151" spans="1:12">
      <c r="A151" s="227"/>
      <c r="B151" s="227"/>
      <c r="C151" s="227"/>
      <c r="D151" s="227"/>
      <c r="E151" s="227"/>
      <c r="F151" s="227"/>
      <c r="G151" s="227"/>
      <c r="H151" s="227"/>
      <c r="I151" s="227"/>
      <c r="J151" s="227"/>
      <c r="K151" s="227"/>
      <c r="L151" s="227"/>
    </row>
    <row r="152" spans="1:12">
      <c r="A152" s="227"/>
      <c r="B152" s="227"/>
      <c r="C152" s="227"/>
      <c r="D152" s="227"/>
      <c r="E152" s="227"/>
      <c r="F152" s="227"/>
      <c r="G152" s="227"/>
      <c r="H152" s="227"/>
      <c r="I152" s="227"/>
      <c r="J152" s="227"/>
      <c r="K152" s="227"/>
      <c r="L152" s="227"/>
    </row>
    <row r="153" spans="1:12">
      <c r="A153" s="227"/>
      <c r="B153" s="227"/>
      <c r="C153" s="227"/>
      <c r="D153" s="227"/>
      <c r="E153" s="227"/>
      <c r="F153" s="227"/>
      <c r="G153" s="227"/>
      <c r="H153" s="227"/>
      <c r="I153" s="227"/>
      <c r="J153" s="227"/>
      <c r="K153" s="227"/>
      <c r="L153" s="227"/>
    </row>
    <row r="154" spans="1:12">
      <c r="A154" s="227"/>
      <c r="B154" s="227"/>
      <c r="C154" s="227"/>
      <c r="D154" s="227"/>
      <c r="E154" s="227"/>
      <c r="F154" s="227"/>
      <c r="G154" s="227"/>
      <c r="H154" s="227"/>
      <c r="I154" s="227"/>
      <c r="J154" s="227"/>
      <c r="K154" s="227"/>
      <c r="L154" s="227"/>
    </row>
    <row r="155" spans="1:12">
      <c r="A155" s="227"/>
      <c r="B155" s="227"/>
      <c r="C155" s="227"/>
      <c r="D155" s="227"/>
      <c r="E155" s="227"/>
      <c r="F155" s="227"/>
      <c r="G155" s="227"/>
      <c r="H155" s="227"/>
      <c r="I155" s="227"/>
      <c r="J155" s="227"/>
      <c r="K155" s="227"/>
      <c r="L155" s="227"/>
    </row>
    <row r="156" spans="1:12">
      <c r="A156" s="227"/>
      <c r="B156" s="227"/>
      <c r="C156" s="227"/>
      <c r="D156" s="227"/>
      <c r="E156" s="227"/>
      <c r="F156" s="227"/>
      <c r="G156" s="227"/>
      <c r="H156" s="227"/>
      <c r="I156" s="227"/>
      <c r="J156" s="227"/>
      <c r="K156" s="227"/>
      <c r="L156" s="227"/>
    </row>
    <row r="157" spans="1:12">
      <c r="A157" s="227"/>
      <c r="B157" s="227"/>
      <c r="C157" s="227"/>
      <c r="D157" s="227"/>
      <c r="E157" s="227"/>
      <c r="F157" s="227"/>
      <c r="G157" s="227"/>
      <c r="H157" s="227"/>
      <c r="I157" s="227"/>
      <c r="J157" s="227"/>
      <c r="K157" s="227"/>
      <c r="L157" s="227"/>
    </row>
    <row r="158" spans="1:12">
      <c r="A158" s="227"/>
      <c r="B158" s="227"/>
      <c r="C158" s="227"/>
      <c r="D158" s="227"/>
      <c r="E158" s="227"/>
      <c r="F158" s="227"/>
      <c r="G158" s="227"/>
      <c r="H158" s="227"/>
      <c r="I158" s="227"/>
      <c r="J158" s="227"/>
      <c r="K158" s="227"/>
      <c r="L158" s="227"/>
    </row>
    <row r="159" spans="1:12">
      <c r="A159" s="227"/>
      <c r="B159" s="227"/>
      <c r="C159" s="227"/>
      <c r="D159" s="227"/>
      <c r="E159" s="227"/>
      <c r="F159" s="227"/>
      <c r="G159" s="227"/>
      <c r="H159" s="227"/>
      <c r="I159" s="227"/>
      <c r="J159" s="227"/>
      <c r="K159" s="227"/>
      <c r="L159" s="227"/>
    </row>
    <row r="160" spans="1:12">
      <c r="A160" s="227"/>
      <c r="B160" s="227"/>
      <c r="C160" s="227"/>
      <c r="D160" s="227"/>
      <c r="E160" s="227"/>
      <c r="F160" s="227"/>
      <c r="G160" s="227"/>
      <c r="H160" s="227"/>
      <c r="I160" s="227"/>
      <c r="J160" s="227"/>
      <c r="K160" s="227"/>
      <c r="L160" s="227"/>
    </row>
    <row r="161" spans="1:12">
      <c r="A161" s="227"/>
      <c r="B161" s="227"/>
      <c r="C161" s="227"/>
      <c r="D161" s="227"/>
      <c r="E161" s="227"/>
      <c r="F161" s="227"/>
      <c r="G161" s="227"/>
      <c r="H161" s="227"/>
      <c r="I161" s="227"/>
      <c r="J161" s="227"/>
      <c r="K161" s="227"/>
      <c r="L161" s="227"/>
    </row>
    <row r="162" spans="1:12">
      <c r="A162" s="227"/>
      <c r="B162" s="227"/>
      <c r="C162" s="227"/>
      <c r="D162" s="227"/>
      <c r="E162" s="227"/>
      <c r="F162" s="227"/>
      <c r="G162" s="227"/>
      <c r="H162" s="227"/>
      <c r="I162" s="227"/>
      <c r="J162" s="227"/>
      <c r="K162" s="227"/>
      <c r="L162" s="227"/>
    </row>
    <row r="163" spans="1:12">
      <c r="A163" s="227"/>
      <c r="B163" s="227"/>
      <c r="C163" s="227"/>
      <c r="D163" s="227"/>
      <c r="E163" s="227"/>
      <c r="F163" s="227"/>
      <c r="G163" s="227"/>
      <c r="H163" s="227"/>
      <c r="I163" s="227"/>
      <c r="J163" s="227"/>
      <c r="K163" s="227"/>
      <c r="L163" s="227"/>
    </row>
    <row r="164" spans="1:12">
      <c r="A164" s="227"/>
      <c r="B164" s="227"/>
      <c r="C164" s="227"/>
      <c r="D164" s="227"/>
      <c r="E164" s="227"/>
      <c r="F164" s="227"/>
      <c r="G164" s="227"/>
      <c r="H164" s="227"/>
      <c r="I164" s="227"/>
      <c r="J164" s="227"/>
      <c r="K164" s="227"/>
      <c r="L164" s="227"/>
    </row>
    <row r="165" spans="1:12">
      <c r="A165" s="227"/>
      <c r="B165" s="227"/>
      <c r="C165" s="227"/>
      <c r="D165" s="227"/>
      <c r="E165" s="227"/>
      <c r="F165" s="227"/>
      <c r="G165" s="227"/>
      <c r="H165" s="227"/>
      <c r="I165" s="227"/>
      <c r="J165" s="227"/>
      <c r="K165" s="227"/>
      <c r="L165" s="227"/>
    </row>
    <row r="166" spans="1:12">
      <c r="A166" s="227"/>
      <c r="B166" s="227"/>
      <c r="C166" s="227"/>
      <c r="D166" s="227"/>
      <c r="E166" s="227"/>
      <c r="F166" s="227"/>
      <c r="G166" s="227"/>
      <c r="H166" s="227"/>
      <c r="I166" s="227"/>
      <c r="J166" s="227"/>
      <c r="K166" s="227"/>
      <c r="L166" s="227"/>
    </row>
    <row r="167" spans="1:12">
      <c r="A167" s="227"/>
      <c r="B167" s="227"/>
      <c r="C167" s="227"/>
      <c r="D167" s="227"/>
      <c r="E167" s="227"/>
      <c r="F167" s="227"/>
      <c r="G167" s="227"/>
      <c r="H167" s="227"/>
      <c r="I167" s="227"/>
      <c r="J167" s="227"/>
      <c r="K167" s="227"/>
      <c r="L167" s="227"/>
    </row>
    <row r="168" spans="1:12">
      <c r="A168" s="227"/>
      <c r="B168" s="227"/>
      <c r="C168" s="227"/>
      <c r="D168" s="227"/>
      <c r="E168" s="227"/>
      <c r="F168" s="227"/>
      <c r="G168" s="227"/>
      <c r="H168" s="227"/>
      <c r="I168" s="227"/>
      <c r="J168" s="227"/>
      <c r="K168" s="227"/>
      <c r="L168" s="227"/>
    </row>
    <row r="169" spans="1:12">
      <c r="A169" s="227"/>
      <c r="B169" s="227"/>
      <c r="C169" s="227"/>
      <c r="D169" s="227"/>
      <c r="E169" s="227"/>
      <c r="F169" s="227"/>
      <c r="G169" s="227"/>
      <c r="H169" s="227"/>
      <c r="I169" s="227"/>
      <c r="J169" s="227"/>
      <c r="K169" s="227"/>
      <c r="L169" s="227"/>
    </row>
  </sheetData>
  <pageMargins left="0.7" right="0.7" top="0.75" bottom="0.75" header="0.3" footer="0.3"/>
  <pageSetup scale="72" orientation="landscape" cellComments="asDisplayed" r:id="rId1"/>
  <headerFooter>
    <oddHeader>&amp;CSchedule 3
True Up Adjustment
&amp;RTO2022 Annual Update 
Attachment 1</oddHeader>
    <oddFooter>&amp;R3-TrueUpAdjust</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72"/>
  <sheetViews>
    <sheetView zoomScaleNormal="100" workbookViewId="0"/>
  </sheetViews>
  <sheetFormatPr defaultRowHeight="12.5"/>
  <cols>
    <col min="1" max="2" width="4.54296875" customWidth="1"/>
    <col min="3" max="3" width="18.54296875" customWidth="1"/>
    <col min="4" max="4" width="10.453125" bestFit="1" customWidth="1"/>
    <col min="5" max="7" width="15.54296875" customWidth="1"/>
    <col min="8" max="8" width="24.54296875" customWidth="1"/>
    <col min="9" max="9" width="4.54296875" customWidth="1"/>
    <col min="10" max="10" width="15.54296875" customWidth="1"/>
    <col min="11" max="11" width="2.54296875" customWidth="1"/>
    <col min="12" max="12" width="14.453125" customWidth="1"/>
    <col min="13" max="13" width="4.453125" customWidth="1"/>
    <col min="14" max="14" width="15.453125" customWidth="1"/>
    <col min="17" max="17" width="3.54296875" customWidth="1"/>
  </cols>
  <sheetData>
    <row r="1" spans="1:14" ht="13">
      <c r="A1" s="1" t="s">
        <v>1665</v>
      </c>
    </row>
    <row r="2" spans="1:14">
      <c r="H2" s="14"/>
    </row>
    <row r="3" spans="1:14" ht="13">
      <c r="B3" s="83" t="s">
        <v>1473</v>
      </c>
      <c r="L3" s="549"/>
      <c r="M3" s="955"/>
      <c r="N3" s="955"/>
    </row>
    <row r="4" spans="1:14" ht="13">
      <c r="B4" s="70"/>
      <c r="F4" s="2" t="s">
        <v>154</v>
      </c>
      <c r="G4" s="2"/>
      <c r="H4" s="2" t="s">
        <v>169</v>
      </c>
      <c r="L4" s="549"/>
      <c r="M4" s="955"/>
      <c r="N4" s="549"/>
    </row>
    <row r="5" spans="1:14" ht="13">
      <c r="A5" s="53" t="s">
        <v>319</v>
      </c>
      <c r="B5" s="16"/>
      <c r="C5" s="51" t="s">
        <v>152</v>
      </c>
      <c r="F5" s="3" t="s">
        <v>153</v>
      </c>
      <c r="G5" s="3" t="s">
        <v>168</v>
      </c>
      <c r="H5" s="3" t="s">
        <v>170</v>
      </c>
      <c r="J5" s="3" t="s">
        <v>175</v>
      </c>
      <c r="L5" s="3"/>
      <c r="M5" s="955"/>
      <c r="N5" s="3"/>
    </row>
    <row r="6" spans="1:14" ht="13">
      <c r="A6" s="109">
        <v>1</v>
      </c>
      <c r="B6" s="14"/>
      <c r="C6" s="108" t="s">
        <v>1043</v>
      </c>
      <c r="D6" s="14"/>
      <c r="E6" s="14"/>
      <c r="F6" s="14" t="s">
        <v>10</v>
      </c>
      <c r="G6" s="14"/>
      <c r="H6" s="108" t="str">
        <f>"6-PlantInService, Line "&amp;'6-PlantInService'!A43&amp;""</f>
        <v>6-PlantInService, Line 18</v>
      </c>
      <c r="I6" s="14"/>
      <c r="J6" s="63">
        <f>'6-PlantInService'!D43</f>
        <v>9465884220.0723038</v>
      </c>
      <c r="L6" s="7"/>
      <c r="N6" s="7"/>
    </row>
    <row r="7" spans="1:14" ht="13">
      <c r="A7" s="109">
        <f>A6+1</f>
        <v>2</v>
      </c>
      <c r="B7" s="14"/>
      <c r="C7" s="108" t="s">
        <v>1189</v>
      </c>
      <c r="D7" s="14"/>
      <c r="E7" s="14"/>
      <c r="F7" s="14" t="s">
        <v>155</v>
      </c>
      <c r="G7" s="14"/>
      <c r="H7" s="108" t="str">
        <f>"6-PlantInService, Line "&amp;'6-PlantInService'!A59&amp;""</f>
        <v>6-PlantInService, Line 24</v>
      </c>
      <c r="I7" s="14"/>
      <c r="J7" s="63">
        <f>'6-PlantInService'!F59</f>
        <v>332996256.84061587</v>
      </c>
      <c r="L7" s="7"/>
      <c r="N7" s="7"/>
    </row>
    <row r="8" spans="1:14" ht="13">
      <c r="A8" s="109">
        <f>A7+1</f>
        <v>3</v>
      </c>
      <c r="B8" s="14"/>
      <c r="C8" s="108" t="s">
        <v>157</v>
      </c>
      <c r="D8" s="14"/>
      <c r="E8" s="14"/>
      <c r="F8" s="14" t="s">
        <v>155</v>
      </c>
      <c r="G8" s="14"/>
      <c r="H8" s="14" t="str">
        <f>"11-PHFU, Line "&amp;'11-PHFU'!A42&amp;""</f>
        <v>11-PHFU, Line 9</v>
      </c>
      <c r="I8" s="14"/>
      <c r="J8" s="63">
        <f>'11-PHFU'!D42</f>
        <v>9942155</v>
      </c>
      <c r="L8" s="7"/>
      <c r="N8" s="7"/>
    </row>
    <row r="9" spans="1:14" ht="13">
      <c r="A9" s="109">
        <f>A8+1</f>
        <v>4</v>
      </c>
      <c r="B9" s="14"/>
      <c r="C9" s="108" t="s">
        <v>312</v>
      </c>
      <c r="D9" s="14"/>
      <c r="E9" s="14"/>
      <c r="F9" s="14" t="s">
        <v>155</v>
      </c>
      <c r="G9" s="14"/>
      <c r="H9" s="15" t="str">
        <f>"12-AbandonedPlant Line "&amp;'12-AbandonedPlant'!A21&amp;""</f>
        <v>12-AbandonedPlant Line 4</v>
      </c>
      <c r="I9" s="14"/>
      <c r="J9" s="63">
        <f>'12-AbandonedPlant'!G21</f>
        <v>0</v>
      </c>
      <c r="L9" s="7"/>
      <c r="N9" s="7"/>
    </row>
    <row r="10" spans="1:14" ht="13">
      <c r="A10" s="109"/>
      <c r="B10" s="14"/>
      <c r="C10" s="108"/>
      <c r="D10" s="14"/>
      <c r="E10" s="14"/>
      <c r="F10" s="14"/>
      <c r="G10" s="14"/>
      <c r="H10" s="14"/>
      <c r="I10" s="14"/>
      <c r="J10" s="63"/>
      <c r="L10" s="7"/>
      <c r="N10" s="7"/>
    </row>
    <row r="11" spans="1:14" ht="13">
      <c r="A11" s="109"/>
      <c r="B11" s="14"/>
      <c r="C11" s="45" t="s">
        <v>277</v>
      </c>
      <c r="D11" s="14"/>
      <c r="E11" s="14"/>
      <c r="F11" s="14"/>
      <c r="G11" s="14"/>
      <c r="H11" s="14"/>
      <c r="I11" s="14"/>
      <c r="J11" s="63"/>
      <c r="L11" s="7"/>
      <c r="N11" s="7"/>
    </row>
    <row r="12" spans="1:14" ht="13">
      <c r="A12" s="109">
        <f>A9+1</f>
        <v>5</v>
      </c>
      <c r="B12" s="14"/>
      <c r="C12" s="46" t="s">
        <v>91</v>
      </c>
      <c r="D12" s="14"/>
      <c r="E12" s="14"/>
      <c r="F12" s="14" t="s">
        <v>10</v>
      </c>
      <c r="G12" s="14"/>
      <c r="H12" s="108" t="str">
        <f>"13-WorkCap, Line "&amp;'13-WorkCap'!A27&amp;""</f>
        <v>13-WorkCap, Line 17</v>
      </c>
      <c r="I12" s="14"/>
      <c r="J12" s="63">
        <f>'13-WorkCap'!F27</f>
        <v>26347686.132242225</v>
      </c>
      <c r="L12" s="7"/>
      <c r="N12" s="7"/>
    </row>
    <row r="13" spans="1:14" ht="13">
      <c r="A13" s="109">
        <f>A12+1</f>
        <v>6</v>
      </c>
      <c r="B13" s="14"/>
      <c r="C13" s="112" t="s">
        <v>92</v>
      </c>
      <c r="D13" s="14"/>
      <c r="E13" s="14"/>
      <c r="F13" s="14" t="s">
        <v>10</v>
      </c>
      <c r="G13" s="14"/>
      <c r="H13" s="108" t="str">
        <f>"13-WorkCap, Line "&amp;'13-WorkCap'!A51&amp;""</f>
        <v>13-WorkCap, Line 33</v>
      </c>
      <c r="I13" s="14"/>
      <c r="J13" s="63">
        <f>'13-WorkCap'!F51</f>
        <v>17295289.478393741</v>
      </c>
      <c r="L13" s="7"/>
      <c r="N13" s="7"/>
    </row>
    <row r="14" spans="1:14" ht="13">
      <c r="A14" s="109">
        <f>A13+1</f>
        <v>7</v>
      </c>
      <c r="B14" s="14"/>
      <c r="C14" s="46" t="s">
        <v>172</v>
      </c>
      <c r="D14" s="14"/>
      <c r="E14" s="14"/>
      <c r="F14" s="465" t="s">
        <v>2417</v>
      </c>
      <c r="G14" s="14"/>
      <c r="H14" s="14" t="str">
        <f>"1-Base TRR Line "&amp;'1-BaseTRR'!A17&amp;""</f>
        <v>1-Base TRR Line 7</v>
      </c>
      <c r="I14" s="14"/>
      <c r="J14" s="101">
        <f>'1-BaseTRR'!K17</f>
        <v>37569368.855620578</v>
      </c>
      <c r="L14" s="91"/>
      <c r="N14" s="91"/>
    </row>
    <row r="15" spans="1:14" ht="13">
      <c r="A15" s="109">
        <f>A14+1</f>
        <v>8</v>
      </c>
      <c r="B15" s="14"/>
      <c r="C15" s="46" t="s">
        <v>90</v>
      </c>
      <c r="D15" s="14"/>
      <c r="E15" s="14"/>
      <c r="F15" s="14"/>
      <c r="G15" s="14"/>
      <c r="H15" s="14" t="str">
        <f>"Line "&amp;A12&amp;" + Line "&amp;A13&amp;" + Line "&amp;A14&amp;""</f>
        <v>Line 5 + Line 6 + Line 7</v>
      </c>
      <c r="I15" s="14"/>
      <c r="J15" s="63">
        <f>SUM(J12:J14)</f>
        <v>81212344.466256544</v>
      </c>
      <c r="L15" s="7"/>
      <c r="N15" s="7"/>
    </row>
    <row r="16" spans="1:14" ht="13">
      <c r="A16" s="109"/>
      <c r="B16" s="14"/>
      <c r="C16" s="46"/>
      <c r="D16" s="14"/>
      <c r="E16" s="14"/>
      <c r="F16" s="14"/>
      <c r="G16" s="14"/>
      <c r="H16" s="14"/>
      <c r="I16" s="14"/>
      <c r="J16" s="63"/>
      <c r="L16" s="7"/>
      <c r="N16" s="7"/>
    </row>
    <row r="17" spans="1:14" ht="13">
      <c r="A17" s="109"/>
      <c r="B17" s="14"/>
      <c r="C17" s="850" t="s">
        <v>278</v>
      </c>
      <c r="D17" s="14"/>
      <c r="E17" s="14"/>
      <c r="F17" s="14"/>
      <c r="G17" s="14"/>
      <c r="H17" s="14"/>
      <c r="I17" s="14"/>
      <c r="J17" s="63"/>
      <c r="L17" s="7"/>
      <c r="N17" s="7"/>
    </row>
    <row r="18" spans="1:14" ht="13">
      <c r="A18" s="109">
        <f>A15+1</f>
        <v>9</v>
      </c>
      <c r="B18" s="14"/>
      <c r="C18" s="462" t="s">
        <v>1636</v>
      </c>
      <c r="D18" s="14"/>
      <c r="E18" s="14"/>
      <c r="F18" s="14" t="s">
        <v>10</v>
      </c>
      <c r="G18" s="14" t="s">
        <v>151</v>
      </c>
      <c r="H18" s="108" t="str">
        <f>"8-AccDep, Line "&amp;'8-AccDep'!A25&amp;", Col. 12"</f>
        <v>8-AccDep, Line 14, Col. 12</v>
      </c>
      <c r="I18" s="14"/>
      <c r="J18" s="63">
        <f>-'8-AccDep'!N25</f>
        <v>-1985745438.4659734</v>
      </c>
      <c r="L18" s="7"/>
      <c r="N18" s="7"/>
    </row>
    <row r="19" spans="1:14" ht="13">
      <c r="A19" s="109">
        <f>A18+1</f>
        <v>10</v>
      </c>
      <c r="B19" s="14"/>
      <c r="C19" s="462" t="s">
        <v>1637</v>
      </c>
      <c r="D19" s="14"/>
      <c r="E19" s="14"/>
      <c r="F19" s="14" t="s">
        <v>155</v>
      </c>
      <c r="G19" s="14" t="s">
        <v>151</v>
      </c>
      <c r="H19" s="108" t="str">
        <f>"8-AccDep, Line "&amp;'8-AccDep'!A35&amp;", Col. 5"</f>
        <v>8-AccDep, Line 17, Col. 5</v>
      </c>
      <c r="I19" s="14"/>
      <c r="J19" s="63">
        <f>-'8-AccDep'!G35</f>
        <v>0</v>
      </c>
      <c r="L19" s="7"/>
      <c r="N19" s="7"/>
    </row>
    <row r="20" spans="1:14" ht="13">
      <c r="A20" s="109">
        <f>A19+1</f>
        <v>11</v>
      </c>
      <c r="B20" s="14"/>
      <c r="C20" s="46" t="s">
        <v>307</v>
      </c>
      <c r="D20" s="22"/>
      <c r="E20" s="14"/>
      <c r="F20" s="14" t="s">
        <v>155</v>
      </c>
      <c r="G20" s="14" t="s">
        <v>151</v>
      </c>
      <c r="H20" s="108" t="str">
        <f>"8-AccDep, Line "&amp;'8-AccDep'!A53&amp;""</f>
        <v>8-AccDep, Line 23</v>
      </c>
      <c r="I20" s="14"/>
      <c r="J20" s="101">
        <f>-'8-AccDep'!F53</f>
        <v>-123470471.96471</v>
      </c>
      <c r="L20" s="91"/>
      <c r="N20" s="91"/>
    </row>
    <row r="21" spans="1:14" ht="13">
      <c r="A21" s="109">
        <f>A20+1</f>
        <v>12</v>
      </c>
      <c r="B21" s="14"/>
      <c r="C21" s="851" t="s">
        <v>163</v>
      </c>
      <c r="D21" s="22"/>
      <c r="E21" s="14"/>
      <c r="F21" s="14"/>
      <c r="G21" s="14"/>
      <c r="H21" s="14" t="str">
        <f>"Line "&amp;A18&amp;" + Line "&amp;A19&amp;" + Line "&amp;A20&amp;""</f>
        <v>Line 9 + Line 10 + Line 11</v>
      </c>
      <c r="I21" s="14"/>
      <c r="J21" s="63">
        <f>SUM(J18:J20)</f>
        <v>-2109215910.4306834</v>
      </c>
      <c r="L21" s="7"/>
      <c r="N21" s="7"/>
    </row>
    <row r="22" spans="1:14" ht="13">
      <c r="A22" s="109"/>
      <c r="B22" s="14"/>
      <c r="C22" s="15"/>
      <c r="D22" s="14"/>
      <c r="E22" s="14"/>
      <c r="F22" s="14"/>
      <c r="G22" s="14"/>
      <c r="H22" s="14"/>
      <c r="I22" s="14"/>
      <c r="J22" s="63"/>
      <c r="L22" s="7"/>
      <c r="N22" s="7"/>
    </row>
    <row r="23" spans="1:14" ht="13">
      <c r="A23" s="109">
        <f>A21+1</f>
        <v>13</v>
      </c>
      <c r="B23" s="14"/>
      <c r="C23" s="839" t="s">
        <v>164</v>
      </c>
      <c r="D23" s="14"/>
      <c r="E23" s="14"/>
      <c r="F23" s="841" t="s">
        <v>155</v>
      </c>
      <c r="G23" s="14"/>
      <c r="H23" s="108" t="str">
        <f>"9-ADIT-1, Line "&amp;'9-ADIT-1'!A24&amp;""</f>
        <v>9-ADIT-1, Line 15</v>
      </c>
      <c r="I23" s="14"/>
      <c r="J23" s="63">
        <f>'9-ADIT-1'!D24</f>
        <v>-1575979468.9464378</v>
      </c>
      <c r="L23" s="7"/>
      <c r="N23" s="7"/>
    </row>
    <row r="24" spans="1:14" ht="13">
      <c r="A24" s="109">
        <f>A23+1</f>
        <v>14</v>
      </c>
      <c r="B24" s="14"/>
      <c r="C24" s="108" t="s">
        <v>240</v>
      </c>
      <c r="D24" s="14"/>
      <c r="E24" s="14"/>
      <c r="F24" s="14" t="s">
        <v>10</v>
      </c>
      <c r="G24" s="14"/>
      <c r="H24" s="108" t="str">
        <f>"14-IncentivePlant, L "&amp;'14-IncentivePlant'!A38&amp;", C2"</f>
        <v>14-IncentivePlant, L 13, C2</v>
      </c>
      <c r="I24" s="14"/>
      <c r="J24" s="63">
        <f>'14-IncentivePlant'!F38</f>
        <v>792332585.2238462</v>
      </c>
      <c r="L24" s="7"/>
      <c r="N24" s="7"/>
    </row>
    <row r="25" spans="1:14" ht="13">
      <c r="A25" s="109">
        <f>A24+1</f>
        <v>15</v>
      </c>
      <c r="B25" s="14"/>
      <c r="C25" s="839" t="s">
        <v>55</v>
      </c>
      <c r="D25" s="14"/>
      <c r="E25" s="14"/>
      <c r="F25" s="14" t="s">
        <v>155</v>
      </c>
      <c r="G25" s="14" t="s">
        <v>151</v>
      </c>
      <c r="H25" s="108" t="str">
        <f>"22-NUCs, Line "&amp;'22-NUCs'!A15&amp;""</f>
        <v>22-NUCs, Line 7</v>
      </c>
      <c r="I25" s="14"/>
      <c r="J25" s="63">
        <f>-'22-NUCs'!E15</f>
        <v>-27970499.5</v>
      </c>
      <c r="L25" s="7"/>
      <c r="N25" s="7"/>
    </row>
    <row r="26" spans="1:14" ht="13">
      <c r="A26" s="109">
        <f t="shared" ref="A26:A27" si="0">A25+1</f>
        <v>16</v>
      </c>
      <c r="B26" s="14"/>
      <c r="C26" s="841" t="s">
        <v>1953</v>
      </c>
      <c r="D26" s="14"/>
      <c r="E26" s="14"/>
      <c r="F26" s="14"/>
      <c r="G26" s="14"/>
      <c r="H26" s="15" t="str">
        <f>"34-UnfundedReserves, Line "&amp;'34-UnfundedReserves'!A10&amp;""</f>
        <v>34-UnfundedReserves, Line 7</v>
      </c>
      <c r="I26" s="14"/>
      <c r="J26" s="63">
        <f>'34-UnfundedReserves'!K10</f>
        <v>-241192828.59585106</v>
      </c>
      <c r="L26" s="7"/>
      <c r="N26" s="7"/>
    </row>
    <row r="27" spans="1:14" ht="13">
      <c r="A27" s="109">
        <f t="shared" si="0"/>
        <v>17</v>
      </c>
      <c r="B27" s="14"/>
      <c r="C27" s="839" t="s">
        <v>362</v>
      </c>
      <c r="D27" s="14"/>
      <c r="E27" s="14"/>
      <c r="F27" s="14" t="s">
        <v>155</v>
      </c>
      <c r="G27" s="14"/>
      <c r="H27" s="108" t="str">
        <f>"23-RegAssets, Line "&amp;'23-RegAssets'!A18&amp;""</f>
        <v>23-RegAssets, Line 15</v>
      </c>
      <c r="I27" s="14"/>
      <c r="J27" s="63">
        <f>'23-RegAssets'!E18</f>
        <v>0</v>
      </c>
      <c r="L27" s="7"/>
      <c r="N27" s="7"/>
    </row>
    <row r="28" spans="1:14" ht="13">
      <c r="A28" s="109"/>
      <c r="B28" s="14"/>
      <c r="C28" s="839"/>
      <c r="D28" s="14"/>
      <c r="E28" s="14"/>
      <c r="F28" s="14"/>
      <c r="G28" s="14"/>
      <c r="H28" s="14"/>
      <c r="I28" s="14"/>
      <c r="J28" s="14"/>
      <c r="L28" s="955"/>
      <c r="N28" s="7"/>
    </row>
    <row r="29" spans="1:14" ht="13">
      <c r="A29" s="109">
        <f>A27+1</f>
        <v>18</v>
      </c>
      <c r="B29" s="14"/>
      <c r="C29" s="14" t="s">
        <v>173</v>
      </c>
      <c r="D29" s="14"/>
      <c r="E29" s="14"/>
      <c r="F29" s="14"/>
      <c r="G29" s="14"/>
      <c r="H29" s="14" t="str">
        <f>"L"&amp;A6&amp;"+L"&amp;A7&amp;"+L"&amp;A8&amp;"+L"&amp;A9&amp;"+L"&amp;A15&amp;"+L"&amp;A21&amp;"+"</f>
        <v>L1+L2+L3+L4+L8+L12+</v>
      </c>
      <c r="I29" s="14"/>
      <c r="J29" s="63">
        <f>J6+ J7+J8+J9+J15+J21+J23+J24+J25+J26+J27</f>
        <v>6728008854.1300516</v>
      </c>
      <c r="L29" s="7"/>
      <c r="N29" s="7"/>
    </row>
    <row r="30" spans="1:14" ht="13">
      <c r="A30" s="109"/>
      <c r="B30" s="14"/>
      <c r="C30" s="14"/>
      <c r="D30" s="14"/>
      <c r="E30" s="14"/>
      <c r="F30" s="14"/>
      <c r="G30" s="14"/>
      <c r="H30" s="14" t="str">
        <f>"L"&amp;A23&amp;"+L"&amp;A24&amp;"+L"&amp;A25&amp;"+L"&amp;A26&amp;"+L"&amp;A27&amp;""</f>
        <v>L13+L14+L15+L16+L17</v>
      </c>
      <c r="I30" s="14"/>
      <c r="J30" s="63"/>
      <c r="L30" s="7"/>
      <c r="N30" s="7"/>
    </row>
    <row r="31" spans="1:14" ht="13">
      <c r="A31" s="109"/>
      <c r="B31" s="44" t="s">
        <v>2157</v>
      </c>
      <c r="D31" s="14"/>
      <c r="E31" s="14"/>
      <c r="F31" s="14"/>
      <c r="G31" s="14"/>
      <c r="H31" s="14"/>
      <c r="I31" s="14"/>
      <c r="J31" s="63"/>
      <c r="L31" s="7"/>
      <c r="N31" s="7"/>
    </row>
    <row r="32" spans="1:14" ht="13">
      <c r="A32" s="539" t="s">
        <v>319</v>
      </c>
      <c r="B32" s="14"/>
      <c r="C32" s="44"/>
      <c r="D32" s="14"/>
      <c r="E32" s="14"/>
      <c r="F32" s="14"/>
      <c r="G32" s="14"/>
      <c r="H32" s="14"/>
      <c r="I32" s="14"/>
      <c r="J32" s="63"/>
      <c r="L32" s="7"/>
      <c r="N32" s="7"/>
    </row>
    <row r="33" spans="1:14" ht="13">
      <c r="A33" s="109">
        <f>A29+1</f>
        <v>19</v>
      </c>
      <c r="B33" s="465"/>
      <c r="C33" s="465" t="s">
        <v>53</v>
      </c>
      <c r="D33" s="465"/>
      <c r="E33" s="465"/>
      <c r="F33" s="465"/>
      <c r="G33" s="465" t="s">
        <v>1827</v>
      </c>
      <c r="H33" s="465" t="str">
        <f>"Instruction 1, Line "&amp;B98&amp;""</f>
        <v>Instruction 1, Line j</v>
      </c>
      <c r="I33" s="465"/>
      <c r="J33" s="389">
        <f>E98</f>
        <v>7.3079585284127238E-2</v>
      </c>
      <c r="L33" s="1123"/>
      <c r="M33" s="8"/>
      <c r="N33" s="7"/>
    </row>
    <row r="34" spans="1:14" ht="13">
      <c r="A34" s="2">
        <f>A33+1</f>
        <v>20</v>
      </c>
      <c r="C34" s="15" t="s">
        <v>54</v>
      </c>
      <c r="D34" s="15"/>
      <c r="E34" s="15"/>
      <c r="F34" s="15"/>
      <c r="G34" s="15"/>
      <c r="H34" t="str">
        <f>"Line "&amp;A29&amp;" * Line "&amp;A33&amp;""</f>
        <v>Line 18 * Line 19</v>
      </c>
      <c r="J34" s="47">
        <f>J29*J33</f>
        <v>491680096.84776026</v>
      </c>
      <c r="L34" s="470"/>
      <c r="N34" s="7"/>
    </row>
    <row r="35" spans="1:14" ht="13">
      <c r="A35" s="2"/>
      <c r="B35" s="16"/>
      <c r="J35" s="14"/>
      <c r="L35" s="955"/>
      <c r="N35" s="7"/>
    </row>
    <row r="36" spans="1:14" ht="13">
      <c r="A36" s="2"/>
      <c r="B36" s="1" t="s">
        <v>2158</v>
      </c>
      <c r="L36" s="955"/>
      <c r="N36" s="7"/>
    </row>
    <row r="37" spans="1:14" ht="13">
      <c r="A37" s="109"/>
      <c r="B37" s="112"/>
      <c r="C37" s="14"/>
      <c r="D37" s="14"/>
      <c r="E37" s="14"/>
      <c r="F37" s="14"/>
      <c r="G37" s="14"/>
      <c r="H37" s="14"/>
      <c r="I37" s="14"/>
      <c r="J37" s="14"/>
      <c r="L37" s="955"/>
      <c r="N37" s="7"/>
    </row>
    <row r="38" spans="1:14" ht="13">
      <c r="A38" s="109">
        <f>A34+1</f>
        <v>21</v>
      </c>
      <c r="B38" s="14"/>
      <c r="C38" s="465" t="s">
        <v>2144</v>
      </c>
      <c r="D38" s="14"/>
      <c r="E38" s="14"/>
      <c r="F38" s="14"/>
      <c r="G38" s="14"/>
      <c r="H38" s="14"/>
      <c r="I38" s="14"/>
      <c r="J38" s="63">
        <f>(((J29*J42) + J45) *(J43/(1-J43)))+(J44/(1-J43))</f>
        <v>115786927.30043517</v>
      </c>
      <c r="L38" s="7"/>
      <c r="N38" s="7"/>
    </row>
    <row r="39" spans="1:14" ht="13">
      <c r="A39" s="109"/>
      <c r="B39" s="14"/>
      <c r="C39" s="14"/>
      <c r="D39" s="14"/>
      <c r="E39" s="14"/>
      <c r="F39" s="14"/>
      <c r="G39" s="14"/>
      <c r="H39" s="14"/>
      <c r="I39" s="14"/>
      <c r="J39" s="15"/>
      <c r="L39" s="463"/>
      <c r="N39" s="7"/>
    </row>
    <row r="40" spans="1:14" ht="13">
      <c r="A40" s="109"/>
      <c r="B40" s="14"/>
      <c r="C40" s="14"/>
      <c r="D40" s="14" t="s">
        <v>216</v>
      </c>
      <c r="E40" s="14"/>
      <c r="F40" s="14"/>
      <c r="G40" s="14"/>
      <c r="H40" s="14"/>
      <c r="I40" s="14"/>
      <c r="J40" s="14"/>
      <c r="L40" s="955"/>
      <c r="N40" s="7"/>
    </row>
    <row r="41" spans="1:14" ht="13">
      <c r="A41" s="109">
        <f>A38+1</f>
        <v>22</v>
      </c>
      <c r="B41" s="14"/>
      <c r="C41" s="14"/>
      <c r="D41" s="112" t="s">
        <v>217</v>
      </c>
      <c r="E41" s="14"/>
      <c r="F41" s="14"/>
      <c r="G41" s="14"/>
      <c r="H41" s="14" t="str">
        <f>"Line "&amp;A29&amp;""</f>
        <v>Line 18</v>
      </c>
      <c r="I41" s="14"/>
      <c r="J41" s="63">
        <f>J29</f>
        <v>6728008854.1300516</v>
      </c>
      <c r="L41" s="7"/>
      <c r="N41" s="7"/>
    </row>
    <row r="42" spans="1:14" ht="13">
      <c r="A42" s="109">
        <f>A41+1</f>
        <v>23</v>
      </c>
      <c r="B42" s="14"/>
      <c r="C42" s="14"/>
      <c r="D42" s="462" t="s">
        <v>1712</v>
      </c>
      <c r="E42" s="14"/>
      <c r="F42" s="14"/>
      <c r="G42" s="465" t="s">
        <v>1681</v>
      </c>
      <c r="H42" s="465" t="str">
        <f>"Instruction 1, Line "&amp;B103&amp;""</f>
        <v>Instruction 1, Line k</v>
      </c>
      <c r="I42" s="14"/>
      <c r="J42" s="48">
        <f>E103</f>
        <v>5.2391182605339905E-2</v>
      </c>
      <c r="L42" s="1123"/>
      <c r="M42" s="8"/>
      <c r="N42" s="7"/>
    </row>
    <row r="43" spans="1:14" ht="13">
      <c r="A43" s="109">
        <f>A42+1</f>
        <v>24</v>
      </c>
      <c r="B43" s="14"/>
      <c r="C43" s="14"/>
      <c r="D43" s="112" t="s">
        <v>218</v>
      </c>
      <c r="E43" s="14"/>
      <c r="F43" s="14"/>
      <c r="G43" s="14"/>
      <c r="H43" s="14" t="str">
        <f>"1-Base TRR L "&amp;'1-BaseTRR'!A104&amp;""</f>
        <v>1-Base TRR L 59</v>
      </c>
      <c r="I43" s="14"/>
      <c r="J43" s="67">
        <f>'1-BaseTRR'!K104</f>
        <v>0.27983599999999997</v>
      </c>
      <c r="L43" s="8"/>
      <c r="M43" s="8"/>
      <c r="N43" s="7"/>
    </row>
    <row r="44" spans="1:14" ht="13">
      <c r="A44" s="109">
        <f>A43+1</f>
        <v>25</v>
      </c>
      <c r="B44" s="14"/>
      <c r="C44" s="14"/>
      <c r="D44" s="112" t="s">
        <v>219</v>
      </c>
      <c r="E44" s="14"/>
      <c r="F44" s="14"/>
      <c r="G44" s="14"/>
      <c r="H44" s="14" t="str">
        <f>"1-Base TRR L "&amp;'1-BaseTRR'!A110&amp;""</f>
        <v>1-Base TRR L 63</v>
      </c>
      <c r="I44" s="14"/>
      <c r="J44" s="63">
        <f>'1-BaseTRR'!K110</f>
        <v>-16481293</v>
      </c>
      <c r="L44" s="7"/>
      <c r="N44" s="7"/>
    </row>
    <row r="45" spans="1:14" ht="13">
      <c r="A45" s="109">
        <f>A44+1</f>
        <v>26</v>
      </c>
      <c r="B45" s="14"/>
      <c r="C45" s="14"/>
      <c r="D45" s="112" t="s">
        <v>1708</v>
      </c>
      <c r="E45" s="14"/>
      <c r="F45" s="14"/>
      <c r="G45" s="14"/>
      <c r="H45" s="14" t="str">
        <f>"1-Base TRR L "&amp;'1-BaseTRR'!A114&amp;""</f>
        <v>1-Base TRR L 65</v>
      </c>
      <c r="I45" s="14"/>
      <c r="J45" s="477">
        <f>'1-BaseTRR'!K121</f>
        <v>4388079</v>
      </c>
      <c r="L45" s="470"/>
      <c r="N45" s="7"/>
    </row>
    <row r="46" spans="1:14" ht="13">
      <c r="A46" s="109"/>
      <c r="B46" s="112"/>
      <c r="C46" s="14"/>
      <c r="D46" s="14"/>
      <c r="E46" s="14"/>
      <c r="F46" s="14"/>
      <c r="G46" s="14"/>
      <c r="H46" s="14"/>
      <c r="I46" s="14"/>
      <c r="J46" s="14"/>
      <c r="L46" s="955"/>
      <c r="N46" s="7"/>
    </row>
    <row r="47" spans="1:14" ht="13">
      <c r="A47" s="109"/>
      <c r="B47" s="44" t="s">
        <v>2159</v>
      </c>
      <c r="D47" s="14"/>
      <c r="E47" s="14"/>
      <c r="F47" s="14"/>
      <c r="G47" s="14"/>
      <c r="H47" s="14"/>
      <c r="I47" s="14"/>
      <c r="J47" s="14"/>
      <c r="L47" s="955"/>
      <c r="N47" s="7"/>
    </row>
    <row r="48" spans="1:14" ht="13">
      <c r="A48" s="109">
        <f>A45+1</f>
        <v>27</v>
      </c>
      <c r="B48" s="112"/>
      <c r="C48" s="14" t="s">
        <v>101</v>
      </c>
      <c r="D48" s="14"/>
      <c r="E48" s="14"/>
      <c r="F48" s="14"/>
      <c r="G48" s="14"/>
      <c r="H48" s="14" t="str">
        <f>"1-Base TRR L "&amp;'1-BaseTRR'!A126&amp;""</f>
        <v>1-Base TRR L 66</v>
      </c>
      <c r="I48" s="14"/>
      <c r="J48" s="63">
        <f>'1-BaseTRR'!K126</f>
        <v>126658024.02530475</v>
      </c>
      <c r="L48" s="7"/>
      <c r="N48" s="7"/>
    </row>
    <row r="49" spans="1:14" ht="13">
      <c r="A49" s="109">
        <f t="shared" ref="A49:A59" si="1">A48+1</f>
        <v>28</v>
      </c>
      <c r="B49" s="112"/>
      <c r="C49" s="15" t="s">
        <v>264</v>
      </c>
      <c r="D49" s="14"/>
      <c r="E49" s="14"/>
      <c r="F49" s="14"/>
      <c r="G49" s="14"/>
      <c r="H49" s="14" t="str">
        <f>"1-Base TRR L "&amp;'1-BaseTRR'!A127&amp;""</f>
        <v>1-Base TRR L 67</v>
      </c>
      <c r="I49" s="14"/>
      <c r="J49" s="63">
        <f>'1-BaseTRR'!K127</f>
        <v>173896926.81965989</v>
      </c>
      <c r="L49" s="7"/>
      <c r="N49" s="7"/>
    </row>
    <row r="50" spans="1:14" ht="13">
      <c r="A50" s="109">
        <f>A49+1</f>
        <v>29</v>
      </c>
      <c r="B50" s="112"/>
      <c r="C50" s="14" t="s">
        <v>56</v>
      </c>
      <c r="D50" s="14"/>
      <c r="E50" s="14"/>
      <c r="F50" s="14"/>
      <c r="G50" s="14"/>
      <c r="H50" s="14" t="str">
        <f>"1-Base TRR L "&amp;'1-BaseTRR'!A128&amp;""</f>
        <v>1-Base TRR L 68</v>
      </c>
      <c r="I50" s="14"/>
      <c r="J50" s="63">
        <f>'1-BaseTRR'!K128</f>
        <v>2371003</v>
      </c>
      <c r="L50" s="7"/>
      <c r="N50" s="7"/>
    </row>
    <row r="51" spans="1:14" ht="13">
      <c r="A51" s="109">
        <f t="shared" si="1"/>
        <v>30</v>
      </c>
      <c r="B51" s="112"/>
      <c r="C51" s="15" t="s">
        <v>250</v>
      </c>
      <c r="D51" s="14"/>
      <c r="E51" s="14"/>
      <c r="F51" s="14"/>
      <c r="G51" s="14"/>
      <c r="H51" s="14" t="str">
        <f>"1-Base TRR L "&amp;'1-BaseTRR'!A129&amp;""</f>
        <v>1-Base TRR L 69</v>
      </c>
      <c r="I51" s="14"/>
      <c r="J51" s="63">
        <f>'1-BaseTRR'!K129</f>
        <v>274400278.25405085</v>
      </c>
      <c r="L51" s="7"/>
      <c r="N51" s="7"/>
    </row>
    <row r="52" spans="1:14" ht="13">
      <c r="A52" s="109">
        <f t="shared" si="1"/>
        <v>31</v>
      </c>
      <c r="B52" s="112"/>
      <c r="C52" s="15" t="s">
        <v>291</v>
      </c>
      <c r="D52" s="14"/>
      <c r="E52" s="14"/>
      <c r="F52" s="14"/>
      <c r="G52" s="14"/>
      <c r="H52" s="14" t="str">
        <f>"1-Base TRR L "&amp;'1-BaseTRR'!A130&amp;""</f>
        <v>1-Base TRR L 70</v>
      </c>
      <c r="I52" s="14"/>
      <c r="J52" s="63">
        <f>'1-BaseTRR'!K130</f>
        <v>0</v>
      </c>
      <c r="L52" s="7"/>
      <c r="N52" s="7"/>
    </row>
    <row r="53" spans="1:14" ht="13">
      <c r="A53" s="109">
        <f t="shared" si="1"/>
        <v>32</v>
      </c>
      <c r="B53" s="112"/>
      <c r="C53" s="15" t="s">
        <v>79</v>
      </c>
      <c r="D53" s="14"/>
      <c r="E53" s="14"/>
      <c r="F53" s="14"/>
      <c r="G53" s="14"/>
      <c r="H53" s="14" t="str">
        <f>"1-Base TRR L "&amp;'1-BaseTRR'!A131&amp;""</f>
        <v>1-Base TRR L 71</v>
      </c>
      <c r="I53" s="14"/>
      <c r="J53" s="63">
        <f>'1-BaseTRR'!K131</f>
        <v>71871386.440174356</v>
      </c>
      <c r="L53" s="7"/>
      <c r="N53" s="7"/>
    </row>
    <row r="54" spans="1:14" ht="13">
      <c r="A54" s="109">
        <f t="shared" si="1"/>
        <v>33</v>
      </c>
      <c r="B54" s="112"/>
      <c r="C54" s="14" t="s">
        <v>11</v>
      </c>
      <c r="D54" s="14"/>
      <c r="E54" s="14"/>
      <c r="F54" s="14"/>
      <c r="G54" s="15"/>
      <c r="H54" s="14" t="str">
        <f>"1-Base TRR L "&amp;'1-BaseTRR'!A132&amp;""</f>
        <v>1-Base TRR L 72</v>
      </c>
      <c r="I54" s="14"/>
      <c r="J54" s="63">
        <f>'1-BaseTRR'!K132</f>
        <v>-48067624.029856279</v>
      </c>
      <c r="L54" s="7"/>
      <c r="N54" s="7"/>
    </row>
    <row r="55" spans="1:14" ht="13">
      <c r="A55" s="109">
        <f t="shared" si="1"/>
        <v>34</v>
      </c>
      <c r="B55" s="112"/>
      <c r="C55" s="14" t="s">
        <v>87</v>
      </c>
      <c r="D55" s="14"/>
      <c r="E55" s="14"/>
      <c r="F55" s="14"/>
      <c r="G55" s="14"/>
      <c r="H55" s="14" t="str">
        <f>"Line "&amp;A34&amp;""</f>
        <v>Line 20</v>
      </c>
      <c r="I55" s="14"/>
      <c r="J55" s="63">
        <f>J34</f>
        <v>491680096.84776026</v>
      </c>
      <c r="L55" s="7"/>
      <c r="N55" s="7"/>
    </row>
    <row r="56" spans="1:14" ht="13">
      <c r="A56" s="109">
        <f t="shared" si="1"/>
        <v>35</v>
      </c>
      <c r="B56" s="112"/>
      <c r="C56" s="14" t="s">
        <v>5</v>
      </c>
      <c r="D56" s="14"/>
      <c r="E56" s="14"/>
      <c r="F56" s="14"/>
      <c r="G56" s="14"/>
      <c r="H56" s="14" t="str">
        <f>"Line "&amp;A38&amp;""</f>
        <v>Line 21</v>
      </c>
      <c r="I56" s="14"/>
      <c r="J56" s="47">
        <f>J38</f>
        <v>115786927.30043517</v>
      </c>
      <c r="L56" s="470"/>
      <c r="N56" s="7"/>
    </row>
    <row r="57" spans="1:14" ht="13">
      <c r="A57" s="109">
        <f t="shared" si="1"/>
        <v>36</v>
      </c>
      <c r="B57" s="112"/>
      <c r="C57" s="15" t="s">
        <v>357</v>
      </c>
      <c r="D57" s="14"/>
      <c r="E57" s="14"/>
      <c r="F57" s="14"/>
      <c r="G57" s="14"/>
      <c r="H57" s="14" t="str">
        <f>"1-Base TRR L "&amp;'1-BaseTRR'!A135&amp;""</f>
        <v>1-Base TRR L 75</v>
      </c>
      <c r="I57" s="14"/>
      <c r="J57" s="47">
        <f>'1-BaseTRR'!K135</f>
        <v>0</v>
      </c>
      <c r="L57" s="470"/>
      <c r="N57" s="7"/>
    </row>
    <row r="58" spans="1:14" ht="13">
      <c r="A58" s="109">
        <f t="shared" si="1"/>
        <v>37</v>
      </c>
      <c r="B58" s="112"/>
      <c r="C58" s="565" t="s">
        <v>1697</v>
      </c>
      <c r="D58" s="669"/>
      <c r="E58" s="14"/>
      <c r="F58" s="14"/>
      <c r="G58" s="14"/>
      <c r="H58" s="14" t="str">
        <f>"1-Base TRR L "&amp;'1-BaseTRR'!A136&amp;""</f>
        <v>1-Base TRR L 76</v>
      </c>
      <c r="I58" s="14"/>
      <c r="J58" s="101">
        <f>'1-BaseTRR'!K136</f>
        <v>0</v>
      </c>
      <c r="L58" s="91"/>
      <c r="N58" s="91"/>
    </row>
    <row r="59" spans="1:14" ht="13">
      <c r="A59" s="109">
        <f t="shared" si="1"/>
        <v>38</v>
      </c>
      <c r="B59" s="112"/>
      <c r="C59" s="465" t="s">
        <v>1474</v>
      </c>
      <c r="D59" s="14"/>
      <c r="E59" s="14"/>
      <c r="F59" s="14"/>
      <c r="G59" s="14"/>
      <c r="H59" s="14" t="str">
        <f>"Sum Line "&amp;A48&amp;" to Line "&amp;A58&amp;""</f>
        <v>Sum Line 27 to Line 37</v>
      </c>
      <c r="I59" s="14"/>
      <c r="J59" s="698">
        <f>SUM(J48:J58)</f>
        <v>1208597018.6575289</v>
      </c>
      <c r="L59" s="7"/>
      <c r="N59" s="7"/>
    </row>
    <row r="60" spans="1:14" ht="13">
      <c r="A60" s="109"/>
      <c r="B60" s="112"/>
      <c r="C60" s="14"/>
      <c r="D60" s="14"/>
      <c r="E60" s="14"/>
      <c r="F60" s="14"/>
      <c r="G60" s="14"/>
      <c r="H60" s="14"/>
      <c r="I60" s="14"/>
      <c r="J60" s="63"/>
      <c r="L60" s="7"/>
      <c r="N60" s="7"/>
    </row>
    <row r="61" spans="1:14" ht="12.75" customHeight="1">
      <c r="A61" s="109">
        <f>A59+1</f>
        <v>39</v>
      </c>
      <c r="B61" s="112"/>
      <c r="C61" s="465" t="s">
        <v>1451</v>
      </c>
      <c r="D61" s="14"/>
      <c r="E61" s="14"/>
      <c r="F61" s="14"/>
      <c r="G61" s="14"/>
      <c r="H61" s="14" t="str">
        <f>"15-IncentiveAdder L "&amp;'15-IncentiveAdder'!A59&amp;""</f>
        <v>15-IncentiveAdder L 20</v>
      </c>
      <c r="I61" s="14"/>
      <c r="J61" s="63">
        <f>'15-IncentiveAdder'!G59</f>
        <v>25971819.935195774</v>
      </c>
      <c r="L61" s="7"/>
      <c r="N61" s="7"/>
    </row>
    <row r="62" spans="1:14" s="955" customFormat="1" ht="12.75" customHeight="1">
      <c r="A62" s="109" t="s">
        <v>2478</v>
      </c>
      <c r="B62" s="112"/>
      <c r="C62" s="465" t="s">
        <v>2479</v>
      </c>
      <c r="D62" s="14"/>
      <c r="E62" s="14"/>
      <c r="F62" s="14"/>
      <c r="G62" s="14"/>
      <c r="H62" s="465" t="s">
        <v>2480</v>
      </c>
      <c r="I62" s="14"/>
      <c r="J62" s="63">
        <f>-J61</f>
        <v>-25971819.935195774</v>
      </c>
      <c r="L62" s="7"/>
      <c r="N62" s="7"/>
    </row>
    <row r="63" spans="1:14" ht="13">
      <c r="A63" s="109"/>
      <c r="B63" s="112"/>
      <c r="C63" s="15"/>
      <c r="D63" s="14"/>
      <c r="E63" s="14"/>
      <c r="F63" s="14"/>
      <c r="G63" s="14"/>
      <c r="H63" s="14"/>
      <c r="I63" s="14"/>
      <c r="J63" s="63"/>
      <c r="L63" s="7"/>
      <c r="N63" s="7"/>
    </row>
    <row r="64" spans="1:14" ht="13">
      <c r="A64" s="109">
        <f>A61+1</f>
        <v>40</v>
      </c>
      <c r="B64" s="112"/>
      <c r="C64" s="465" t="s">
        <v>2150</v>
      </c>
      <c r="D64" s="14"/>
      <c r="E64" s="14"/>
      <c r="F64" s="14"/>
      <c r="G64" s="14"/>
      <c r="H64" s="14" t="str">
        <f>"Sum of Lines "&amp;A59&amp;" to "&amp;A62&amp;""</f>
        <v>Sum of Lines 38 to 39a</v>
      </c>
      <c r="I64" s="14"/>
      <c r="J64" s="63">
        <f>J59+J61+J62</f>
        <v>1208597018.6575289</v>
      </c>
      <c r="L64" s="7"/>
      <c r="N64" s="7"/>
    </row>
    <row r="65" spans="1:16" ht="13">
      <c r="A65" s="109"/>
      <c r="B65" s="112"/>
      <c r="C65" s="15"/>
      <c r="D65" s="14"/>
      <c r="E65" s="14"/>
      <c r="F65" s="14"/>
      <c r="G65" s="14"/>
      <c r="H65" s="14"/>
      <c r="I65" s="14"/>
      <c r="J65" s="63"/>
    </row>
    <row r="66" spans="1:16" ht="13">
      <c r="A66" s="109"/>
      <c r="B66" s="375" t="s">
        <v>2160</v>
      </c>
      <c r="C66" s="15"/>
      <c r="D66" s="14"/>
      <c r="E66" s="14"/>
      <c r="F66" s="14"/>
      <c r="G66" s="14"/>
      <c r="H66" s="14"/>
      <c r="I66" s="14"/>
      <c r="J66" s="63"/>
      <c r="N66" s="549"/>
    </row>
    <row r="67" spans="1:16" ht="13">
      <c r="A67" s="53" t="s">
        <v>319</v>
      </c>
      <c r="B67" s="65"/>
      <c r="G67" s="51" t="s">
        <v>1122</v>
      </c>
      <c r="J67" s="14"/>
      <c r="N67" s="3"/>
    </row>
    <row r="68" spans="1:16" ht="13">
      <c r="A68" s="109">
        <f>A64+1</f>
        <v>41</v>
      </c>
      <c r="B68" s="839"/>
      <c r="C68" s="14"/>
      <c r="D68" s="842" t="s">
        <v>1475</v>
      </c>
      <c r="E68" s="63">
        <f>J64</f>
        <v>1208597018.6575289</v>
      </c>
      <c r="F68" s="14"/>
      <c r="G68" s="14" t="str">
        <f>"Line "&amp;A64&amp;""</f>
        <v>Line 40</v>
      </c>
      <c r="H68" s="14"/>
      <c r="I68" s="14"/>
      <c r="J68" s="1496"/>
      <c r="K68" s="955"/>
      <c r="N68" s="7"/>
    </row>
    <row r="69" spans="1:16" ht="13">
      <c r="A69" s="109">
        <f>A68+1</f>
        <v>42</v>
      </c>
      <c r="B69" s="839"/>
      <c r="C69" s="14"/>
      <c r="D69" s="356" t="s">
        <v>1121</v>
      </c>
      <c r="E69" s="844">
        <f>'28-FFU'!D22</f>
        <v>9.2480778683301876E-3</v>
      </c>
      <c r="F69" s="14"/>
      <c r="G69" s="14" t="str">
        <f>"28-FFU, L "&amp;'28-FFU'!A22&amp;""</f>
        <v>28-FFU, L 5</v>
      </c>
      <c r="H69" s="14"/>
      <c r="I69" s="14"/>
      <c r="J69" s="1496"/>
      <c r="K69" s="955"/>
      <c r="N69" s="8"/>
    </row>
    <row r="70" spans="1:16" ht="13">
      <c r="A70" s="109">
        <f>A69+1</f>
        <v>43</v>
      </c>
      <c r="B70" s="839"/>
      <c r="C70" s="14"/>
      <c r="D70" s="79" t="s">
        <v>231</v>
      </c>
      <c r="E70" s="63">
        <f>E68*E69</f>
        <v>11177199.33997654</v>
      </c>
      <c r="F70" s="14"/>
      <c r="G70" s="14" t="str">
        <f>"Line "&amp;A68&amp;" * Line "&amp;A69&amp;""</f>
        <v>Line 41 * Line 42</v>
      </c>
      <c r="H70" s="14"/>
      <c r="I70" s="14"/>
      <c r="J70" s="1497"/>
      <c r="K70" s="955"/>
      <c r="N70" s="7"/>
    </row>
    <row r="71" spans="1:16" ht="14">
      <c r="A71" s="109">
        <f>A70+1</f>
        <v>44</v>
      </c>
      <c r="B71" s="839"/>
      <c r="C71" s="14"/>
      <c r="D71" s="842" t="s">
        <v>1705</v>
      </c>
      <c r="E71" s="844">
        <f>'28-FFU'!E22</f>
        <v>1.1409096489999999E-2</v>
      </c>
      <c r="F71" s="14"/>
      <c r="G71" s="14" t="str">
        <f>"28-FFU, L "&amp;'28-FFU'!A22&amp;""</f>
        <v>28-FFU, L 5</v>
      </c>
      <c r="H71" s="14"/>
      <c r="I71" s="14"/>
      <c r="J71" s="1498"/>
      <c r="K71" s="463"/>
      <c r="N71" s="8"/>
    </row>
    <row r="72" spans="1:16" ht="13">
      <c r="A72" s="109">
        <f>A71+1</f>
        <v>45</v>
      </c>
      <c r="B72" s="839"/>
      <c r="C72" s="14"/>
      <c r="D72" s="842" t="s">
        <v>1432</v>
      </c>
      <c r="E72" s="63">
        <f>E68*E71</f>
        <v>13789000.003390076</v>
      </c>
      <c r="F72" s="14"/>
      <c r="G72" s="14" t="str">
        <f>"Line "&amp;A68&amp;" * Line "&amp;A71&amp;""</f>
        <v>Line 41 * Line 44</v>
      </c>
      <c r="H72" s="14"/>
      <c r="I72" s="14"/>
      <c r="J72" s="1490"/>
      <c r="K72" s="955"/>
      <c r="N72" s="7"/>
    </row>
    <row r="73" spans="1:16" ht="13">
      <c r="A73" s="109">
        <f>A72+1</f>
        <v>46</v>
      </c>
      <c r="B73" s="839"/>
      <c r="C73" s="14"/>
      <c r="D73" s="842" t="s">
        <v>1476</v>
      </c>
      <c r="E73" s="63">
        <f>E68+E70+E72</f>
        <v>1233563218.0008955</v>
      </c>
      <c r="F73" s="14"/>
      <c r="G73" s="14" t="str">
        <f>"L "&amp;A68&amp;" + L "&amp;A70&amp;" + L "&amp;A72&amp;""</f>
        <v>L 41 + L 43 + L 45</v>
      </c>
      <c r="H73" s="14"/>
      <c r="I73" s="14"/>
      <c r="J73" s="14"/>
      <c r="L73" s="7"/>
      <c r="N73" s="7"/>
    </row>
    <row r="74" spans="1:16" ht="13">
      <c r="A74" s="14"/>
      <c r="B74" s="852" t="s">
        <v>377</v>
      </c>
      <c r="C74" s="14"/>
      <c r="D74" s="79"/>
      <c r="E74" s="63"/>
      <c r="F74" s="14"/>
      <c r="G74" s="14"/>
      <c r="H74" s="575"/>
      <c r="I74" s="14"/>
      <c r="J74" s="14"/>
      <c r="L74" s="1490"/>
      <c r="M74" s="463"/>
    </row>
    <row r="75" spans="1:16" ht="13">
      <c r="A75" s="109"/>
      <c r="B75" s="465" t="s">
        <v>2401</v>
      </c>
      <c r="C75" s="375"/>
      <c r="D75" s="79"/>
      <c r="E75" s="63"/>
      <c r="F75" s="14"/>
      <c r="G75" s="14"/>
      <c r="H75" s="14"/>
      <c r="I75" s="14"/>
      <c r="J75" s="14"/>
      <c r="L75" s="1477"/>
      <c r="M75" s="463"/>
    </row>
    <row r="76" spans="1:16" ht="13">
      <c r="A76" s="109"/>
      <c r="B76" s="465" t="s">
        <v>2286</v>
      </c>
      <c r="C76" s="375"/>
      <c r="D76" s="79"/>
      <c r="E76" s="63"/>
      <c r="F76" s="14"/>
      <c r="G76" s="14"/>
      <c r="H76" s="14"/>
      <c r="I76" s="14"/>
      <c r="J76" s="14"/>
      <c r="L76" s="1477"/>
      <c r="M76" s="463"/>
      <c r="N76" s="955"/>
      <c r="O76" s="955"/>
    </row>
    <row r="77" spans="1:16" ht="13">
      <c r="A77" s="109"/>
      <c r="B77" s="841" t="s">
        <v>1682</v>
      </c>
      <c r="C77" s="15"/>
      <c r="D77" s="79"/>
      <c r="E77" s="63"/>
      <c r="F77" s="14"/>
      <c r="G77" s="14"/>
      <c r="H77" s="14"/>
      <c r="I77" s="14"/>
      <c r="J77" s="14"/>
      <c r="L77" s="1491"/>
      <c r="M77" s="463"/>
      <c r="N77" s="955"/>
      <c r="O77" s="955"/>
      <c r="P77" s="955"/>
    </row>
    <row r="78" spans="1:16" ht="13">
      <c r="A78" s="109"/>
      <c r="B78" s="841" t="s">
        <v>1736</v>
      </c>
      <c r="C78" s="14"/>
      <c r="D78" s="79"/>
      <c r="E78" s="63"/>
      <c r="F78" s="14"/>
      <c r="G78" s="14"/>
      <c r="H78" s="14"/>
      <c r="I78" s="14"/>
      <c r="J78" s="14"/>
      <c r="L78" s="1411"/>
      <c r="M78" s="463"/>
      <c r="N78" s="955"/>
      <c r="O78" s="75"/>
    </row>
    <row r="79" spans="1:16" ht="13">
      <c r="A79" s="109"/>
      <c r="B79" s="14"/>
      <c r="C79" s="14"/>
      <c r="D79" s="14"/>
      <c r="E79" s="14"/>
      <c r="F79" s="14"/>
      <c r="G79" s="14"/>
      <c r="H79" s="14"/>
      <c r="I79" s="14"/>
      <c r="J79" s="14"/>
      <c r="L79" s="91"/>
      <c r="M79" s="75"/>
      <c r="N79" s="75"/>
    </row>
    <row r="80" spans="1:16" ht="13">
      <c r="A80" s="109"/>
      <c r="B80" s="465" t="s">
        <v>1822</v>
      </c>
      <c r="C80" s="14"/>
      <c r="D80" s="14"/>
      <c r="E80" s="14"/>
      <c r="F80" s="14"/>
      <c r="G80" s="14"/>
      <c r="H80" s="14"/>
      <c r="I80" s="14"/>
      <c r="J80" s="14"/>
      <c r="L80" s="7"/>
      <c r="M80" s="463"/>
    </row>
    <row r="81" spans="1:12" ht="13">
      <c r="A81" s="109"/>
      <c r="B81" s="465"/>
      <c r="C81" s="465" t="s">
        <v>1828</v>
      </c>
      <c r="D81" s="14"/>
      <c r="E81" s="14"/>
      <c r="F81" s="14"/>
      <c r="G81" s="14"/>
      <c r="H81" s="14"/>
      <c r="I81" s="14"/>
      <c r="J81" s="14"/>
    </row>
    <row r="82" spans="1:12" ht="13">
      <c r="A82" s="109"/>
      <c r="B82" s="465"/>
      <c r="C82" s="14"/>
      <c r="D82" s="14"/>
      <c r="E82" s="14"/>
      <c r="F82" s="14"/>
      <c r="G82" s="14"/>
      <c r="H82" s="14"/>
      <c r="I82" s="14"/>
      <c r="J82" s="109" t="s">
        <v>1819</v>
      </c>
    </row>
    <row r="83" spans="1:12" ht="13">
      <c r="A83" s="109"/>
      <c r="B83" s="14"/>
      <c r="C83" s="14"/>
      <c r="D83" s="14"/>
      <c r="E83" s="122" t="s">
        <v>1427</v>
      </c>
      <c r="F83" s="833" t="s">
        <v>1122</v>
      </c>
      <c r="G83" s="122" t="s">
        <v>232</v>
      </c>
      <c r="H83" s="122" t="s">
        <v>233</v>
      </c>
      <c r="I83" s="14"/>
      <c r="J83" s="122" t="s">
        <v>1818</v>
      </c>
    </row>
    <row r="84" spans="1:12" ht="13">
      <c r="B84" s="854" t="s">
        <v>1667</v>
      </c>
      <c r="C84" s="465" t="s">
        <v>1817</v>
      </c>
      <c r="D84" s="14"/>
      <c r="E84" s="1444">
        <v>0.10299999999999999</v>
      </c>
      <c r="F84" s="853" t="s">
        <v>1821</v>
      </c>
      <c r="G84" s="1119">
        <v>43831</v>
      </c>
      <c r="H84" s="1119">
        <v>44196</v>
      </c>
      <c r="I84" s="15"/>
      <c r="J84" s="1405">
        <v>365</v>
      </c>
      <c r="K84" s="15"/>
    </row>
    <row r="85" spans="1:12" ht="13">
      <c r="B85" s="854" t="s">
        <v>1668</v>
      </c>
      <c r="C85" s="465" t="s">
        <v>1841</v>
      </c>
      <c r="D85" s="14"/>
      <c r="E85" s="1406"/>
      <c r="F85" s="853" t="s">
        <v>2402</v>
      </c>
      <c r="G85" s="1119"/>
      <c r="H85" s="1119"/>
      <c r="I85" s="15"/>
      <c r="J85" s="1405"/>
      <c r="K85" s="15"/>
    </row>
    <row r="86" spans="1:12" ht="13">
      <c r="B86" s="854" t="s">
        <v>1669</v>
      </c>
      <c r="C86" s="465"/>
      <c r="D86" s="14"/>
      <c r="E86" s="855"/>
      <c r="F86" s="853"/>
      <c r="G86" s="525"/>
      <c r="H86" s="525"/>
      <c r="I86" s="842" t="s">
        <v>1979</v>
      </c>
      <c r="J86" s="105">
        <f>SUM(J84:J85)</f>
        <v>365</v>
      </c>
      <c r="K86" s="15"/>
    </row>
    <row r="87" spans="1:12" ht="13">
      <c r="A87" s="14"/>
      <c r="B87" s="854" t="s">
        <v>1670</v>
      </c>
      <c r="C87" s="465" t="s">
        <v>1830</v>
      </c>
      <c r="D87" s="14"/>
      <c r="E87" s="78">
        <f>((E84*J84) + (E85* J85)) / J86</f>
        <v>0.10299999999999999</v>
      </c>
      <c r="F87" s="465" t="s">
        <v>1980</v>
      </c>
      <c r="G87" s="14"/>
      <c r="H87" s="15"/>
      <c r="I87" s="15"/>
      <c r="J87" s="15"/>
      <c r="K87" s="15"/>
      <c r="L87" s="15"/>
    </row>
    <row r="88" spans="1:12" ht="13">
      <c r="A88" s="109"/>
      <c r="B88" s="465"/>
      <c r="C88" s="14"/>
      <c r="D88" s="14"/>
      <c r="E88" s="14"/>
      <c r="F88" s="14"/>
      <c r="G88" s="14"/>
      <c r="H88" s="15"/>
      <c r="I88" s="15"/>
      <c r="J88" s="15"/>
      <c r="K88" s="15"/>
      <c r="L88" s="15"/>
    </row>
    <row r="89" spans="1:12" ht="13">
      <c r="A89" s="109"/>
      <c r="B89" s="465" t="s">
        <v>1820</v>
      </c>
      <c r="C89" s="14"/>
      <c r="D89" s="14"/>
      <c r="E89" s="14"/>
      <c r="F89" s="14"/>
      <c r="G89" s="14"/>
      <c r="H89" s="15"/>
      <c r="I89" s="15"/>
      <c r="J89" s="15"/>
      <c r="K89" s="15"/>
      <c r="L89" s="15"/>
    </row>
    <row r="90" spans="1:12" ht="13">
      <c r="A90" s="109"/>
      <c r="B90" s="465"/>
      <c r="C90" s="14"/>
      <c r="D90" s="14"/>
      <c r="E90" s="833" t="s">
        <v>1122</v>
      </c>
      <c r="F90" s="14"/>
      <c r="G90" s="14"/>
      <c r="H90" s="15"/>
      <c r="I90" s="15"/>
      <c r="J90" s="15"/>
      <c r="K90" s="15"/>
      <c r="L90" s="15"/>
    </row>
    <row r="91" spans="1:12" ht="13">
      <c r="A91" s="14"/>
      <c r="B91" s="854" t="s">
        <v>1671</v>
      </c>
      <c r="C91" s="465" t="s">
        <v>1843</v>
      </c>
      <c r="D91" s="14"/>
      <c r="E91" s="958" t="s">
        <v>2815</v>
      </c>
      <c r="F91" s="1216"/>
      <c r="G91" s="96"/>
      <c r="H91" s="114"/>
      <c r="I91" s="114"/>
      <c r="J91" s="114"/>
      <c r="K91" s="15"/>
      <c r="L91" s="15"/>
    </row>
    <row r="92" spans="1:12" ht="13">
      <c r="B92" s="854" t="s">
        <v>1672</v>
      </c>
      <c r="C92" s="465" t="s">
        <v>1842</v>
      </c>
      <c r="D92" s="14"/>
      <c r="E92" s="958" t="s">
        <v>2816</v>
      </c>
      <c r="F92" s="1216"/>
      <c r="G92" s="96"/>
      <c r="H92" s="114"/>
      <c r="I92" s="114"/>
      <c r="J92" s="114"/>
      <c r="K92" s="15"/>
      <c r="L92" s="15"/>
    </row>
    <row r="93" spans="1:12">
      <c r="B93" s="14"/>
      <c r="C93" s="465"/>
      <c r="D93" s="14"/>
      <c r="E93" s="525"/>
      <c r="F93" s="14"/>
      <c r="G93" s="14"/>
      <c r="H93" s="14"/>
      <c r="I93" s="15"/>
      <c r="J93" s="15"/>
      <c r="K93" s="15"/>
      <c r="L93" s="15"/>
    </row>
    <row r="94" spans="1:12" ht="13">
      <c r="B94" s="14"/>
      <c r="C94" s="14"/>
      <c r="D94" s="14"/>
      <c r="E94" s="122" t="s">
        <v>1427</v>
      </c>
      <c r="F94" s="833" t="s">
        <v>1122</v>
      </c>
      <c r="G94" s="14"/>
      <c r="H94" s="15"/>
      <c r="I94" s="15"/>
      <c r="J94" s="14"/>
      <c r="L94" s="15"/>
    </row>
    <row r="95" spans="1:12" ht="13">
      <c r="B95" s="854" t="s">
        <v>1674</v>
      </c>
      <c r="C95" s="465" t="s">
        <v>1831</v>
      </c>
      <c r="D95" s="15"/>
      <c r="E95" s="1407">
        <f>'1-BaseTRR'!K90</f>
        <v>2.0688402678787333E-2</v>
      </c>
      <c r="F95" s="14" t="str">
        <f>"1-Base TRR L "&amp;'1-BaseTRR'!A90&amp;""</f>
        <v>1-Base TRR L 51</v>
      </c>
      <c r="G95" s="14"/>
      <c r="H95" s="15"/>
      <c r="I95" s="15"/>
      <c r="J95" s="14"/>
      <c r="L95" s="15"/>
    </row>
    <row r="96" spans="1:12" ht="13">
      <c r="B96" s="854" t="s">
        <v>1823</v>
      </c>
      <c r="C96" s="465" t="s">
        <v>1832</v>
      </c>
      <c r="D96" s="14"/>
      <c r="E96" s="1407">
        <f>'1-BaseTRR'!K91</f>
        <v>3.4661826053399079E-3</v>
      </c>
      <c r="F96" s="14" t="str">
        <f>"1-Base TRR L "&amp;'1-BaseTRR'!A91&amp;""</f>
        <v>1-Base TRR L 52</v>
      </c>
      <c r="G96" s="14"/>
      <c r="H96" s="15"/>
      <c r="I96" s="15"/>
      <c r="J96" s="14"/>
      <c r="L96" s="15"/>
    </row>
    <row r="97" spans="1:10" ht="13">
      <c r="B97" s="854" t="s">
        <v>1824</v>
      </c>
      <c r="C97" s="465" t="s">
        <v>1833</v>
      </c>
      <c r="D97" s="14"/>
      <c r="E97" s="1408">
        <f>('1-BaseTRR'!K82) * E87</f>
        <v>4.8924999999999996E-2</v>
      </c>
      <c r="F97" s="14" t="str">
        <f>"1-Base TRR L "&amp;'1-BaseTRR'!A82&amp;" * Line d"</f>
        <v>1-Base TRR L 47 * Line d</v>
      </c>
      <c r="G97" s="15"/>
      <c r="H97" s="15"/>
      <c r="I97" s="14"/>
      <c r="J97" s="14"/>
    </row>
    <row r="98" spans="1:10" ht="13">
      <c r="A98" s="14"/>
      <c r="B98" s="109" t="s">
        <v>1825</v>
      </c>
      <c r="C98" s="46" t="s">
        <v>53</v>
      </c>
      <c r="D98" s="14"/>
      <c r="E98" s="1409">
        <f>SUM(E95:E97)</f>
        <v>7.3079585284127238E-2</v>
      </c>
      <c r="F98" s="63" t="str">
        <f>"Sum of Lines "&amp;B95&amp;" to "&amp;B97&amp;""</f>
        <v>Sum of Lines g to i</v>
      </c>
      <c r="G98" s="105"/>
      <c r="H98" s="14"/>
      <c r="I98" s="14"/>
      <c r="J98" s="856"/>
    </row>
    <row r="99" spans="1:10" ht="13">
      <c r="A99" s="109"/>
      <c r="B99" s="14"/>
      <c r="C99" s="21"/>
      <c r="D99" s="24"/>
      <c r="E99" s="63"/>
      <c r="F99" s="63"/>
      <c r="G99" s="105"/>
      <c r="H99" s="63"/>
      <c r="I99" s="14"/>
      <c r="J99" s="856"/>
    </row>
    <row r="100" spans="1:10" ht="13">
      <c r="A100" s="109"/>
      <c r="B100" s="465" t="s">
        <v>1826</v>
      </c>
      <c r="C100" s="14"/>
      <c r="D100" s="14"/>
      <c r="E100" s="14"/>
      <c r="F100" s="14"/>
      <c r="G100" s="14"/>
      <c r="H100" s="14"/>
      <c r="I100" s="14"/>
      <c r="J100" s="14"/>
    </row>
    <row r="101" spans="1:10" ht="13">
      <c r="A101" s="109"/>
      <c r="B101" s="14"/>
      <c r="C101" s="14"/>
      <c r="D101" s="14"/>
      <c r="E101" s="14"/>
      <c r="F101" s="14"/>
      <c r="G101" s="14"/>
      <c r="H101" s="14"/>
      <c r="I101" s="14"/>
      <c r="J101" s="14"/>
    </row>
    <row r="102" spans="1:10" ht="13">
      <c r="A102" s="109"/>
      <c r="B102" s="14"/>
      <c r="C102" s="14"/>
      <c r="D102" s="14"/>
      <c r="E102" s="122" t="s">
        <v>1427</v>
      </c>
      <c r="F102" s="833" t="s">
        <v>1122</v>
      </c>
      <c r="G102" s="14"/>
      <c r="H102" s="14"/>
      <c r="I102" s="14"/>
      <c r="J102" s="14"/>
    </row>
    <row r="103" spans="1:10" ht="13">
      <c r="A103" s="14"/>
      <c r="B103" s="854" t="s">
        <v>2151</v>
      </c>
      <c r="C103" s="14"/>
      <c r="D103" s="14"/>
      <c r="E103" s="1407">
        <f>E96+E97</f>
        <v>5.2391182605339905E-2</v>
      </c>
      <c r="F103" s="63" t="str">
        <f>"Sum of Lines "&amp;B96&amp;" to "&amp;B97&amp;""</f>
        <v>Sum of Lines h to i</v>
      </c>
      <c r="G103" s="14"/>
      <c r="H103" s="14"/>
      <c r="I103" s="14"/>
      <c r="J103" s="14"/>
    </row>
    <row r="104" spans="1:10" ht="13">
      <c r="A104" s="109"/>
      <c r="B104" s="14"/>
      <c r="C104" s="14"/>
      <c r="D104" s="14"/>
      <c r="E104" s="67"/>
      <c r="F104" s="63"/>
      <c r="G104" s="14"/>
      <c r="H104" s="14"/>
      <c r="I104" s="14"/>
      <c r="J104" s="14"/>
    </row>
    <row r="105" spans="1:10" ht="13">
      <c r="A105" s="109"/>
      <c r="B105" s="539" t="s">
        <v>230</v>
      </c>
      <c r="C105" s="14"/>
      <c r="D105" s="14"/>
      <c r="E105" s="105"/>
      <c r="F105" s="105"/>
      <c r="G105" s="105"/>
      <c r="H105" s="63"/>
      <c r="I105" s="14"/>
      <c r="J105" s="14"/>
    </row>
    <row r="106" spans="1:10" ht="13">
      <c r="A106" s="109"/>
      <c r="B106" s="853" t="s">
        <v>2481</v>
      </c>
      <c r="C106" s="14"/>
      <c r="D106" s="14"/>
      <c r="E106" s="14"/>
      <c r="F106" s="14"/>
      <c r="G106" s="14"/>
      <c r="H106" s="14"/>
      <c r="I106" s="14"/>
      <c r="J106" s="14"/>
    </row>
    <row r="107" spans="1:10" ht="13">
      <c r="A107" s="2"/>
      <c r="B107" s="462" t="s">
        <v>2482</v>
      </c>
      <c r="C107" s="14"/>
      <c r="D107" s="109"/>
      <c r="E107" s="109"/>
      <c r="F107" s="109"/>
      <c r="G107" s="109"/>
      <c r="H107" s="109"/>
      <c r="I107" s="14"/>
      <c r="J107" s="14"/>
    </row>
    <row r="108" spans="1:10" ht="13">
      <c r="A108" s="2"/>
      <c r="B108" s="841"/>
      <c r="C108" s="14"/>
      <c r="D108" s="109"/>
      <c r="E108" s="109"/>
      <c r="F108" s="109"/>
      <c r="G108" s="109"/>
      <c r="H108" s="109"/>
      <c r="I108" s="14"/>
      <c r="J108" s="14"/>
    </row>
    <row r="109" spans="1:10" ht="13">
      <c r="A109" s="2"/>
      <c r="B109" s="14"/>
      <c r="C109" s="29"/>
      <c r="D109" s="29"/>
      <c r="E109" s="122"/>
      <c r="F109" s="122"/>
      <c r="G109" s="122"/>
      <c r="H109" s="122"/>
      <c r="I109" s="14"/>
      <c r="J109" s="14"/>
    </row>
    <row r="110" spans="1:10" ht="13">
      <c r="A110" s="2"/>
    </row>
    <row r="111" spans="1:10" ht="13">
      <c r="A111" s="2"/>
    </row>
    <row r="112" spans="1:10" ht="13">
      <c r="A112" s="2"/>
    </row>
    <row r="113" spans="1:10" ht="13">
      <c r="A113" s="2"/>
      <c r="C113" s="21"/>
      <c r="E113" s="63"/>
      <c r="F113" s="63"/>
      <c r="H113" s="7"/>
      <c r="J113" s="82"/>
    </row>
    <row r="114" spans="1:10" ht="13">
      <c r="A114" s="2"/>
      <c r="C114" s="21"/>
      <c r="E114" s="63"/>
      <c r="F114" s="63"/>
      <c r="H114" s="7"/>
      <c r="J114" s="82"/>
    </row>
    <row r="115" spans="1:10" ht="13">
      <c r="A115" s="53"/>
      <c r="C115" s="21"/>
      <c r="E115" s="63"/>
      <c r="F115" s="63"/>
      <c r="H115" s="7"/>
      <c r="J115" s="82"/>
    </row>
    <row r="116" spans="1:10" ht="13">
      <c r="A116" s="2"/>
      <c r="D116" s="34"/>
      <c r="E116" s="63"/>
      <c r="F116" s="63"/>
      <c r="G116" s="12"/>
      <c r="H116" s="7"/>
      <c r="J116" s="82"/>
    </row>
    <row r="117" spans="1:10" ht="13">
      <c r="A117" s="2"/>
      <c r="C117" s="21"/>
      <c r="D117" s="93"/>
      <c r="E117" s="91"/>
      <c r="F117" s="7"/>
      <c r="G117" s="12"/>
      <c r="H117" s="7"/>
      <c r="J117" s="82"/>
    </row>
    <row r="118" spans="1:10" ht="13">
      <c r="A118" s="2"/>
      <c r="C118" s="21"/>
      <c r="D118" s="93"/>
      <c r="E118" s="7"/>
      <c r="F118" s="7"/>
      <c r="G118" s="12"/>
      <c r="H118" s="7"/>
      <c r="J118" s="82"/>
    </row>
    <row r="119" spans="1:10" ht="13">
      <c r="A119" s="2"/>
    </row>
    <row r="120" spans="1:10" ht="13">
      <c r="A120" s="2"/>
      <c r="B120" s="1"/>
    </row>
    <row r="121" spans="1:10" ht="13">
      <c r="A121" s="2"/>
    </row>
    <row r="122" spans="1:10" ht="13">
      <c r="A122" s="2"/>
    </row>
    <row r="123" spans="1:10" ht="13">
      <c r="A123" s="2"/>
      <c r="F123" s="2"/>
    </row>
    <row r="124" spans="1:10" ht="13">
      <c r="A124" s="2"/>
      <c r="F124" s="2"/>
    </row>
    <row r="125" spans="1:10" ht="13">
      <c r="A125" s="2"/>
      <c r="D125" s="2"/>
      <c r="E125" s="2"/>
      <c r="F125" s="2"/>
      <c r="H125" s="2"/>
    </row>
    <row r="126" spans="1:10" ht="13">
      <c r="A126" s="2"/>
      <c r="D126" s="2"/>
      <c r="E126" s="2"/>
      <c r="F126" s="2"/>
      <c r="G126" s="2"/>
      <c r="H126" s="4"/>
    </row>
    <row r="127" spans="1:10" ht="13">
      <c r="A127" s="53"/>
      <c r="C127" s="25"/>
      <c r="D127" s="25"/>
      <c r="E127" s="3"/>
      <c r="F127" s="84"/>
      <c r="G127" s="3"/>
      <c r="H127" s="4"/>
    </row>
    <row r="128" spans="1:10" ht="13">
      <c r="A128" s="2"/>
      <c r="C128" s="20"/>
      <c r="D128" s="24"/>
      <c r="E128" s="63"/>
      <c r="F128" s="63"/>
      <c r="G128" s="78"/>
      <c r="H128" s="7"/>
    </row>
    <row r="129" spans="1:8" ht="13">
      <c r="A129" s="2"/>
      <c r="C129" s="21"/>
      <c r="D129" s="24"/>
      <c r="E129" s="63"/>
      <c r="F129" s="63"/>
      <c r="G129" s="78"/>
      <c r="H129" s="7"/>
    </row>
    <row r="130" spans="1:8" ht="13">
      <c r="A130" s="2"/>
      <c r="C130" s="21"/>
      <c r="D130" s="24"/>
      <c r="E130" s="63"/>
      <c r="F130" s="63"/>
      <c r="G130" s="78"/>
      <c r="H130" s="7"/>
    </row>
    <row r="131" spans="1:8" ht="13">
      <c r="A131" s="2"/>
      <c r="C131" s="20"/>
      <c r="D131" s="24"/>
      <c r="E131" s="63"/>
      <c r="F131" s="63"/>
      <c r="G131" s="78"/>
      <c r="H131" s="7"/>
    </row>
    <row r="132" spans="1:8" ht="13">
      <c r="A132" s="2"/>
      <c r="C132" s="21"/>
      <c r="D132" s="24"/>
      <c r="E132" s="63"/>
      <c r="F132" s="63"/>
      <c r="G132" s="78"/>
      <c r="H132" s="7"/>
    </row>
    <row r="133" spans="1:8" ht="13">
      <c r="A133" s="2"/>
      <c r="C133" s="21"/>
      <c r="D133" s="24"/>
      <c r="E133" s="63"/>
      <c r="F133" s="63"/>
      <c r="G133" s="78"/>
      <c r="H133" s="7"/>
    </row>
    <row r="134" spans="1:8" ht="13">
      <c r="A134" s="2"/>
      <c r="C134" s="20"/>
      <c r="D134" s="24"/>
      <c r="E134" s="63"/>
      <c r="F134" s="63"/>
      <c r="G134" s="78"/>
      <c r="H134" s="7"/>
    </row>
    <row r="135" spans="1:8" ht="13">
      <c r="A135" s="2"/>
      <c r="C135" s="21"/>
      <c r="D135" s="24"/>
      <c r="E135" s="63"/>
      <c r="F135" s="63"/>
      <c r="G135" s="78"/>
      <c r="H135" s="7"/>
    </row>
    <row r="136" spans="1:8" ht="13">
      <c r="A136" s="2"/>
      <c r="C136" s="21"/>
      <c r="D136" s="24"/>
      <c r="E136" s="63"/>
      <c r="F136" s="63"/>
      <c r="G136" s="78"/>
      <c r="H136" s="7"/>
    </row>
    <row r="137" spans="1:8" ht="13">
      <c r="A137" s="2"/>
      <c r="C137" s="20"/>
      <c r="D137" s="24"/>
      <c r="E137" s="63"/>
      <c r="F137" s="63"/>
      <c r="G137" s="78"/>
      <c r="H137" s="7"/>
    </row>
    <row r="138" spans="1:8" ht="13">
      <c r="A138" s="2"/>
      <c r="C138" s="20"/>
      <c r="D138" s="24"/>
      <c r="E138" s="63"/>
      <c r="F138" s="63"/>
      <c r="G138" s="78"/>
      <c r="H138" s="7"/>
    </row>
    <row r="139" spans="1:8" ht="13">
      <c r="A139" s="2"/>
      <c r="C139" s="21"/>
      <c r="D139" s="24"/>
      <c r="E139" s="63"/>
      <c r="F139" s="63"/>
      <c r="G139" s="78"/>
      <c r="H139" s="57"/>
    </row>
    <row r="140" spans="1:8" ht="13">
      <c r="A140" s="2"/>
      <c r="E140" s="14"/>
      <c r="F140" s="14"/>
      <c r="G140" s="14"/>
      <c r="H140" s="7"/>
    </row>
    <row r="141" spans="1:8" ht="13">
      <c r="A141" s="2"/>
      <c r="C141" s="21"/>
      <c r="D141" s="24"/>
      <c r="E141" s="14"/>
      <c r="F141" s="143"/>
      <c r="G141" s="78"/>
      <c r="H141" s="71"/>
    </row>
    <row r="142" spans="1:8" ht="13">
      <c r="A142" s="2"/>
      <c r="B142" s="1"/>
      <c r="C142" s="21"/>
      <c r="D142" s="24"/>
      <c r="E142" s="14"/>
      <c r="F142" s="143"/>
      <c r="G142" s="78"/>
      <c r="H142" s="71"/>
    </row>
    <row r="143" spans="1:8" ht="13">
      <c r="A143" s="53"/>
      <c r="B143" s="1"/>
      <c r="C143" s="21"/>
      <c r="D143" s="24"/>
      <c r="E143" s="14"/>
      <c r="F143" s="143"/>
      <c r="G143" s="78"/>
      <c r="H143" s="71"/>
    </row>
    <row r="144" spans="1:8" ht="13">
      <c r="A144" s="2"/>
      <c r="C144" s="21"/>
      <c r="D144" s="85"/>
      <c r="E144" s="63"/>
      <c r="F144" s="144"/>
      <c r="G144" s="78"/>
      <c r="H144" s="71"/>
    </row>
    <row r="145" spans="1:10" ht="13">
      <c r="A145" s="2"/>
      <c r="C145" s="21"/>
      <c r="D145" s="37"/>
      <c r="E145" s="63"/>
      <c r="F145" s="144"/>
      <c r="G145" s="78"/>
      <c r="H145" s="71"/>
    </row>
    <row r="146" spans="1:10" ht="13">
      <c r="A146" s="2"/>
      <c r="C146" s="21"/>
      <c r="D146" s="37"/>
      <c r="E146" s="57"/>
      <c r="F146" s="116"/>
      <c r="G146" s="78"/>
      <c r="H146" s="71"/>
    </row>
    <row r="147" spans="1:10" ht="13">
      <c r="A147" s="2"/>
      <c r="C147" s="21"/>
      <c r="D147" s="85"/>
      <c r="E147" s="7"/>
      <c r="F147" s="71"/>
      <c r="G147" s="78"/>
      <c r="H147" s="71"/>
    </row>
    <row r="148" spans="1:10" ht="13">
      <c r="A148" s="2"/>
      <c r="C148" s="21"/>
      <c r="D148" s="24"/>
      <c r="F148" s="71"/>
      <c r="G148" s="78"/>
      <c r="H148" s="71"/>
    </row>
    <row r="149" spans="1:10" ht="13">
      <c r="A149" s="2"/>
    </row>
    <row r="150" spans="1:10" ht="13">
      <c r="A150" s="2"/>
    </row>
    <row r="151" spans="1:10" ht="13">
      <c r="A151" s="2"/>
    </row>
    <row r="152" spans="1:10" ht="13">
      <c r="A152" s="2"/>
      <c r="B152" s="1"/>
    </row>
    <row r="153" spans="1:10" ht="13">
      <c r="A153" s="2"/>
      <c r="B153" s="12"/>
    </row>
    <row r="154" spans="1:10" ht="13">
      <c r="A154" s="2"/>
      <c r="B154" s="12"/>
    </row>
    <row r="155" spans="1:10" ht="13">
      <c r="A155" s="2"/>
      <c r="B155" s="12"/>
    </row>
    <row r="156" spans="1:10" ht="13">
      <c r="A156" s="2"/>
    </row>
    <row r="157" spans="1:10" ht="13">
      <c r="A157" s="2"/>
      <c r="B157" s="1"/>
    </row>
    <row r="158" spans="1:10" ht="13">
      <c r="A158" s="2"/>
    </row>
    <row r="159" spans="1:10" ht="13">
      <c r="A159" s="53"/>
      <c r="C159" s="25"/>
      <c r="D159" s="3"/>
      <c r="G159" s="14"/>
      <c r="H159" s="14"/>
      <c r="I159" s="14"/>
      <c r="J159" s="14"/>
    </row>
    <row r="160" spans="1:10" ht="13">
      <c r="A160" s="2"/>
      <c r="C160" s="20"/>
      <c r="D160" s="141"/>
      <c r="F160" s="8"/>
      <c r="G160" s="14"/>
      <c r="H160" s="14"/>
      <c r="I160" s="14"/>
      <c r="J160" s="14"/>
    </row>
    <row r="161" spans="1:10" ht="13">
      <c r="A161" s="2"/>
      <c r="C161" s="21"/>
      <c r="D161" s="141"/>
      <c r="F161" s="8"/>
      <c r="G161" s="14"/>
      <c r="H161" s="14"/>
      <c r="I161" s="14"/>
      <c r="J161" s="14"/>
    </row>
    <row r="162" spans="1:10" ht="13">
      <c r="A162" s="2"/>
      <c r="C162" s="21"/>
      <c r="D162" s="141"/>
      <c r="F162" s="8"/>
      <c r="G162" s="14"/>
      <c r="H162" s="14"/>
      <c r="I162" s="14"/>
      <c r="J162" s="14"/>
    </row>
    <row r="163" spans="1:10" ht="13">
      <c r="A163" s="2"/>
      <c r="C163" s="20"/>
      <c r="D163" s="141"/>
      <c r="F163" s="8"/>
      <c r="G163" s="14"/>
      <c r="H163" s="14"/>
      <c r="I163" s="14"/>
      <c r="J163" s="14"/>
    </row>
    <row r="164" spans="1:10" ht="13">
      <c r="A164" s="2"/>
      <c r="C164" s="21"/>
      <c r="D164" s="141"/>
      <c r="F164" s="8"/>
      <c r="G164" s="14"/>
      <c r="H164" s="14"/>
      <c r="I164" s="14"/>
      <c r="J164" s="14"/>
    </row>
    <row r="165" spans="1:10" ht="13">
      <c r="A165" s="2"/>
      <c r="C165" s="21"/>
      <c r="D165" s="141"/>
      <c r="F165" s="8"/>
      <c r="G165" s="14"/>
      <c r="H165" s="14"/>
      <c r="I165" s="14"/>
      <c r="J165" s="14"/>
    </row>
    <row r="166" spans="1:10" ht="13">
      <c r="A166" s="2"/>
      <c r="C166" s="20"/>
      <c r="D166" s="141"/>
      <c r="F166" s="8"/>
      <c r="G166" s="14"/>
      <c r="H166" s="14"/>
      <c r="I166" s="14"/>
      <c r="J166" s="14"/>
    </row>
    <row r="167" spans="1:10" ht="13">
      <c r="A167" s="2"/>
      <c r="C167" s="21"/>
      <c r="D167" s="141"/>
      <c r="F167" s="8"/>
      <c r="G167" s="14"/>
      <c r="H167" s="14"/>
      <c r="I167" s="14"/>
      <c r="J167" s="14"/>
    </row>
    <row r="168" spans="1:10" ht="13">
      <c r="A168" s="2"/>
      <c r="C168" s="21"/>
      <c r="D168" s="141"/>
      <c r="F168" s="8"/>
      <c r="G168" s="14"/>
      <c r="H168" s="14"/>
      <c r="I168" s="14"/>
      <c r="J168" s="14"/>
    </row>
    <row r="169" spans="1:10" ht="13">
      <c r="A169" s="2"/>
      <c r="C169" s="20"/>
      <c r="D169" s="141"/>
      <c r="F169" s="8"/>
      <c r="G169" s="14"/>
      <c r="H169" s="14"/>
      <c r="I169" s="14"/>
      <c r="J169" s="14"/>
    </row>
    <row r="170" spans="1:10" ht="13">
      <c r="A170" s="2"/>
      <c r="C170" s="20"/>
      <c r="D170" s="141"/>
      <c r="F170" s="8"/>
    </row>
    <row r="171" spans="1:10" ht="13">
      <c r="A171" s="2"/>
      <c r="C171" s="21"/>
      <c r="D171" s="142"/>
      <c r="F171" s="81"/>
    </row>
    <row r="172" spans="1:10" ht="13">
      <c r="A172" s="2"/>
      <c r="C172" s="34"/>
      <c r="D172" s="141"/>
    </row>
  </sheetData>
  <phoneticPr fontId="23" type="noConversion"/>
  <pageMargins left="0.75" right="0.75" top="1" bottom="1" header="0.5" footer="0.5"/>
  <pageSetup scale="64" orientation="landscape" cellComments="asDisplayed" r:id="rId1"/>
  <headerFooter alignWithMargins="0">
    <oddHeader>&amp;CSchedule 4
True Up TRR
&amp;RTO2022 Annual Update 
Attachment 1</oddHeader>
    <oddFooter>&amp;R&amp;A</oddFooter>
  </headerFooter>
  <rowBreaks count="4" manualBreakCount="4">
    <brk id="45" max="16383" man="1"/>
    <brk id="73" max="16383" man="1"/>
    <brk id="119" max="9" man="1"/>
    <brk id="15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6D7C-015C-467D-A95E-076957E0F7FD}">
  <dimension ref="A1:AB54"/>
  <sheetViews>
    <sheetView zoomScaleNormal="100" zoomScalePageLayoutView="80" workbookViewId="0"/>
  </sheetViews>
  <sheetFormatPr defaultColWidth="8.54296875" defaultRowHeight="12.5"/>
  <cols>
    <col min="1" max="1" width="4.54296875" style="955" customWidth="1"/>
    <col min="2" max="2" width="3.54296875" style="955" customWidth="1"/>
    <col min="3" max="3" width="8.54296875" style="955"/>
    <col min="4" max="4" width="13.54296875" style="955" customWidth="1"/>
    <col min="5" max="5" width="8.54296875" style="955"/>
    <col min="6" max="7" width="10.54296875" style="955" customWidth="1"/>
    <col min="8" max="8" width="8.54296875" style="955"/>
    <col min="9" max="9" width="27.54296875" style="955" customWidth="1"/>
    <col min="10" max="10" width="30.54296875" style="955" customWidth="1"/>
    <col min="11" max="11" width="2.54296875" style="955" customWidth="1"/>
    <col min="12" max="12" width="16.54296875" style="955" customWidth="1"/>
    <col min="13" max="13" width="1.54296875" style="955" customWidth="1"/>
    <col min="14" max="14" width="4.54296875" style="955" customWidth="1"/>
    <col min="15" max="28" width="14.54296875" style="955" customWidth="1"/>
    <col min="29" max="16384" width="8.54296875" style="955"/>
  </cols>
  <sheetData>
    <row r="1" spans="1:28" ht="13">
      <c r="A1" s="1" t="s">
        <v>24</v>
      </c>
      <c r="J1" s="96" t="s">
        <v>301</v>
      </c>
    </row>
    <row r="2" spans="1:28" ht="13">
      <c r="B2" s="1"/>
      <c r="I2" s="549"/>
      <c r="J2" s="549" t="s">
        <v>169</v>
      </c>
      <c r="L2" s="244">
        <v>2020</v>
      </c>
    </row>
    <row r="3" spans="1:28" ht="13">
      <c r="I3" s="3" t="s">
        <v>168</v>
      </c>
      <c r="J3" s="3" t="s">
        <v>170</v>
      </c>
      <c r="L3" s="3" t="s">
        <v>171</v>
      </c>
    </row>
    <row r="5" spans="1:28" ht="13">
      <c r="A5" s="10" t="s">
        <v>177</v>
      </c>
      <c r="B5" s="118"/>
      <c r="C5" s="11"/>
      <c r="D5" s="11"/>
      <c r="E5" s="11"/>
      <c r="F5" s="11"/>
      <c r="G5" s="11"/>
      <c r="H5" s="11"/>
      <c r="I5" s="9"/>
      <c r="J5" s="9"/>
      <c r="K5" s="9"/>
      <c r="L5" s="9"/>
      <c r="N5" s="1217"/>
      <c r="O5" s="1218"/>
      <c r="P5" s="1218"/>
      <c r="Q5" s="1218"/>
      <c r="R5" s="1218"/>
      <c r="S5" s="1218"/>
      <c r="T5" s="1218"/>
    </row>
    <row r="6" spans="1:28" ht="13">
      <c r="B6" s="1"/>
      <c r="C6" s="463"/>
      <c r="D6" s="463"/>
      <c r="E6" s="463"/>
      <c r="F6" s="463"/>
      <c r="G6" s="463"/>
      <c r="H6" s="463"/>
      <c r="I6" s="463"/>
      <c r="J6" s="463"/>
      <c r="K6" s="463"/>
      <c r="L6" s="463"/>
      <c r="O6" s="84"/>
      <c r="P6" s="84"/>
      <c r="Q6" s="84"/>
      <c r="R6" s="84"/>
      <c r="S6" s="84"/>
      <c r="T6" s="84"/>
      <c r="U6" s="84"/>
      <c r="V6" s="84"/>
      <c r="W6" s="84"/>
      <c r="X6" s="84"/>
      <c r="Y6" s="84"/>
      <c r="Z6" s="84"/>
      <c r="AA6" s="84"/>
      <c r="AB6" s="84"/>
    </row>
    <row r="7" spans="1:28" ht="13">
      <c r="A7" s="53" t="s">
        <v>319</v>
      </c>
      <c r="B7" s="1"/>
      <c r="C7" s="75" t="s">
        <v>268</v>
      </c>
      <c r="D7" s="463"/>
      <c r="E7" s="463"/>
      <c r="F7" s="463"/>
      <c r="G7" s="463"/>
      <c r="H7" s="463"/>
      <c r="I7" s="463"/>
      <c r="J7" s="463"/>
      <c r="K7" s="463"/>
      <c r="L7" s="463"/>
      <c r="N7" s="53"/>
      <c r="O7" s="37"/>
      <c r="P7" s="479"/>
      <c r="Q7" s="472"/>
      <c r="R7" s="472"/>
      <c r="S7" s="472"/>
      <c r="T7" s="472"/>
      <c r="U7" s="472"/>
      <c r="V7" s="472"/>
      <c r="W7" s="472"/>
      <c r="X7" s="472"/>
      <c r="Y7" s="472"/>
      <c r="Z7" s="472"/>
      <c r="AA7" s="472"/>
      <c r="AB7" s="472"/>
    </row>
    <row r="8" spans="1:28" ht="13">
      <c r="A8" s="549">
        <v>1</v>
      </c>
      <c r="B8" s="1"/>
      <c r="C8" s="463" t="s">
        <v>206</v>
      </c>
      <c r="D8" s="463"/>
      <c r="E8" s="463"/>
      <c r="F8" s="463"/>
      <c r="G8" s="463"/>
      <c r="H8" s="463"/>
      <c r="I8" s="463" t="s">
        <v>1605</v>
      </c>
      <c r="J8" s="467" t="str">
        <f>"5-ROR-2, Line "&amp;'5-ROR-2'!A8&amp;""</f>
        <v>5-ROR-2, Line 1</v>
      </c>
      <c r="K8" s="463"/>
      <c r="L8" s="470">
        <f>'5-ROR-2'!C8</f>
        <v>16871130769.171539</v>
      </c>
      <c r="N8" s="549"/>
      <c r="O8" s="470"/>
      <c r="P8" s="470"/>
      <c r="Q8" s="470"/>
      <c r="R8" s="470"/>
      <c r="S8" s="470"/>
      <c r="T8" s="470"/>
      <c r="U8" s="470"/>
      <c r="V8" s="470"/>
      <c r="W8" s="470"/>
      <c r="X8" s="470"/>
      <c r="Y8" s="470"/>
      <c r="Z8" s="470"/>
      <c r="AA8" s="470"/>
      <c r="AB8" s="470"/>
    </row>
    <row r="9" spans="1:28" ht="13">
      <c r="A9" s="549">
        <f>A8+1</f>
        <v>2</v>
      </c>
      <c r="B9" s="1"/>
      <c r="C9" s="463" t="s">
        <v>207</v>
      </c>
      <c r="D9" s="463"/>
      <c r="E9" s="463"/>
      <c r="F9" s="463"/>
      <c r="G9" s="463"/>
      <c r="H9" s="463"/>
      <c r="I9" s="463" t="s">
        <v>1605</v>
      </c>
      <c r="J9" s="467" t="str">
        <f>"5-ROR-2, Line "&amp;'5-ROR-2'!A10&amp;""</f>
        <v>5-ROR-2, Line 2</v>
      </c>
      <c r="K9" s="463"/>
      <c r="L9" s="470">
        <f>'5-ROR-2'!C10</f>
        <v>-333084615.38461536</v>
      </c>
      <c r="N9" s="549"/>
      <c r="O9" s="470"/>
      <c r="P9" s="470"/>
      <c r="Q9" s="470"/>
      <c r="R9" s="470"/>
      <c r="S9" s="470"/>
      <c r="T9" s="470"/>
      <c r="U9" s="470"/>
      <c r="V9" s="470"/>
      <c r="W9" s="470"/>
      <c r="X9" s="470"/>
      <c r="Y9" s="470"/>
      <c r="Z9" s="470"/>
      <c r="AA9" s="470"/>
      <c r="AB9" s="470"/>
    </row>
    <row r="10" spans="1:28" ht="13">
      <c r="A10" s="549" t="s">
        <v>507</v>
      </c>
      <c r="B10" s="1"/>
      <c r="C10" s="463" t="s">
        <v>1815</v>
      </c>
      <c r="D10" s="1085"/>
      <c r="E10" s="1085"/>
      <c r="F10" s="1085"/>
      <c r="G10" s="1085"/>
      <c r="H10" s="1085"/>
      <c r="I10" s="463" t="s">
        <v>1605</v>
      </c>
      <c r="J10" s="467" t="str">
        <f>"5-ROR-2, Line "&amp;'5-ROR-2'!A12&amp;""</f>
        <v>5-ROR-2, Line 2a</v>
      </c>
      <c r="K10" s="463"/>
      <c r="L10" s="470">
        <f>'5-ROR-2'!C12</f>
        <v>0</v>
      </c>
      <c r="N10" s="549"/>
      <c r="O10" s="470"/>
      <c r="P10" s="470"/>
      <c r="Q10" s="470"/>
      <c r="R10" s="470"/>
      <c r="S10" s="470"/>
      <c r="T10" s="470"/>
      <c r="U10" s="470"/>
      <c r="V10" s="470"/>
      <c r="W10" s="470"/>
      <c r="X10" s="470"/>
      <c r="Y10" s="470"/>
      <c r="Z10" s="470"/>
      <c r="AA10" s="470"/>
      <c r="AB10" s="470"/>
    </row>
    <row r="11" spans="1:28" ht="13">
      <c r="A11" s="549">
        <f>A9+1</f>
        <v>3</v>
      </c>
      <c r="B11" s="1"/>
      <c r="C11" s="463" t="s">
        <v>208</v>
      </c>
      <c r="D11" s="463"/>
      <c r="E11" s="463"/>
      <c r="F11" s="463"/>
      <c r="G11" s="463"/>
      <c r="H11" s="463"/>
      <c r="I11" s="463" t="s">
        <v>1605</v>
      </c>
      <c r="J11" s="467" t="str">
        <f>"5-ROR-2, Line "&amp;'5-ROR-2'!A14&amp;""</f>
        <v>5-ROR-2, Line 3</v>
      </c>
      <c r="K11" s="463"/>
      <c r="L11" s="470">
        <f>'5-ROR-2'!C14</f>
        <v>306382919.30000001</v>
      </c>
      <c r="N11" s="549"/>
      <c r="O11" s="470"/>
      <c r="P11" s="470"/>
      <c r="Q11" s="470"/>
      <c r="R11" s="470"/>
      <c r="S11" s="470"/>
      <c r="T11" s="470"/>
      <c r="U11" s="470"/>
      <c r="V11" s="470"/>
      <c r="W11" s="470"/>
      <c r="X11" s="470"/>
      <c r="Y11" s="470"/>
      <c r="Z11" s="470"/>
      <c r="AA11" s="470"/>
      <c r="AB11" s="470"/>
    </row>
    <row r="12" spans="1:28" ht="13">
      <c r="A12" s="549">
        <v>4</v>
      </c>
      <c r="B12" s="1"/>
      <c r="C12" s="467" t="s">
        <v>209</v>
      </c>
      <c r="D12" s="463"/>
      <c r="E12" s="463"/>
      <c r="F12" s="463"/>
      <c r="G12" s="463"/>
      <c r="H12" s="463"/>
      <c r="J12" s="467" t="str">
        <f>"L"&amp;A8&amp;" + L"&amp;A9&amp;" + L"&amp;A10&amp;" + L"&amp;A11&amp;""</f>
        <v>L1 + L2 + L2a + L3</v>
      </c>
      <c r="K12" s="463"/>
      <c r="L12" s="1219">
        <f>SUM(L8:L11)</f>
        <v>16844429073.086924</v>
      </c>
    </row>
    <row r="13" spans="1:28" ht="13">
      <c r="B13" s="1"/>
      <c r="C13" s="463"/>
      <c r="D13" s="463"/>
      <c r="E13" s="463"/>
      <c r="F13" s="463"/>
      <c r="G13" s="463" t="s">
        <v>328</v>
      </c>
      <c r="H13" s="463"/>
      <c r="I13" s="463"/>
      <c r="J13" s="467"/>
      <c r="K13" s="463"/>
      <c r="L13" s="463"/>
    </row>
    <row r="14" spans="1:28" ht="13">
      <c r="A14" s="549"/>
      <c r="B14" s="1"/>
      <c r="C14" s="75" t="s">
        <v>2484</v>
      </c>
      <c r="D14" s="463"/>
      <c r="E14" s="463"/>
      <c r="F14" s="463"/>
      <c r="G14" s="463"/>
      <c r="H14" s="463"/>
      <c r="I14" s="463"/>
      <c r="J14" s="467"/>
      <c r="K14" s="463"/>
      <c r="L14" s="463"/>
    </row>
    <row r="15" spans="1:28" ht="13">
      <c r="A15" s="549">
        <f>A12+1</f>
        <v>5</v>
      </c>
      <c r="B15" s="1"/>
      <c r="C15" s="463" t="s">
        <v>2485</v>
      </c>
      <c r="D15" s="463"/>
      <c r="E15" s="463"/>
      <c r="F15" s="463"/>
      <c r="G15" s="463"/>
      <c r="H15" s="463"/>
      <c r="I15" s="463"/>
      <c r="J15" s="467" t="s">
        <v>2486</v>
      </c>
      <c r="K15" s="463"/>
      <c r="L15" s="978">
        <v>721798639</v>
      </c>
    </row>
    <row r="16" spans="1:28" ht="13">
      <c r="A16" s="549">
        <f>A15+1</f>
        <v>6</v>
      </c>
      <c r="B16" s="1"/>
      <c r="C16" s="463" t="s">
        <v>2487</v>
      </c>
      <c r="D16" s="463"/>
      <c r="E16" s="463"/>
      <c r="F16" s="463"/>
      <c r="G16" s="463"/>
      <c r="H16" s="463"/>
      <c r="I16" s="463"/>
      <c r="J16" s="467" t="s">
        <v>2488</v>
      </c>
      <c r="K16" s="463"/>
      <c r="L16" s="978">
        <v>18945895</v>
      </c>
    </row>
    <row r="17" spans="1:28" ht="13">
      <c r="A17" s="549">
        <f t="shared" ref="A17:A19" si="0">A16+1</f>
        <v>7</v>
      </c>
      <c r="B17" s="1"/>
      <c r="C17" s="463" t="s">
        <v>2489</v>
      </c>
      <c r="D17" s="463"/>
      <c r="E17" s="463"/>
      <c r="F17" s="463"/>
      <c r="G17" s="463"/>
      <c r="H17" s="463"/>
      <c r="I17" s="463"/>
      <c r="J17" s="467" t="s">
        <v>2452</v>
      </c>
      <c r="K17" s="463"/>
      <c r="L17" s="978">
        <v>12677630</v>
      </c>
    </row>
    <row r="18" spans="1:28" ht="13">
      <c r="A18" s="549">
        <f t="shared" si="0"/>
        <v>8</v>
      </c>
      <c r="B18" s="1"/>
      <c r="C18" s="463" t="s">
        <v>2490</v>
      </c>
      <c r="D18" s="463"/>
      <c r="E18" s="463"/>
      <c r="F18" s="463"/>
      <c r="G18" s="463"/>
      <c r="H18" s="463"/>
      <c r="I18" s="463" t="s">
        <v>2491</v>
      </c>
      <c r="J18" s="467" t="s">
        <v>2492</v>
      </c>
      <c r="K18" s="463"/>
      <c r="L18" s="978">
        <v>-5088559</v>
      </c>
    </row>
    <row r="19" spans="1:28" ht="13">
      <c r="A19" s="549">
        <f t="shared" si="0"/>
        <v>9</v>
      </c>
      <c r="B19" s="1"/>
      <c r="C19" s="463" t="s">
        <v>2493</v>
      </c>
      <c r="D19" s="463"/>
      <c r="E19" s="463"/>
      <c r="F19" s="463"/>
      <c r="G19" s="463"/>
      <c r="H19" s="463"/>
      <c r="I19" s="463" t="s">
        <v>2491</v>
      </c>
      <c r="J19" s="467" t="s">
        <v>2494</v>
      </c>
      <c r="K19" s="463"/>
      <c r="L19" s="978">
        <v>0</v>
      </c>
    </row>
    <row r="20" spans="1:28" ht="13">
      <c r="A20" s="549">
        <v>10</v>
      </c>
      <c r="B20" s="1"/>
      <c r="C20" s="463" t="s">
        <v>2495</v>
      </c>
      <c r="D20" s="463"/>
      <c r="E20" s="463"/>
      <c r="F20" s="463"/>
      <c r="G20" s="463"/>
      <c r="H20" s="463"/>
      <c r="I20" s="463"/>
      <c r="J20" s="467" t="s">
        <v>2496</v>
      </c>
      <c r="K20" s="463"/>
      <c r="L20" s="978">
        <v>0</v>
      </c>
    </row>
    <row r="21" spans="1:28" ht="13">
      <c r="A21" s="549">
        <v>11</v>
      </c>
      <c r="B21" s="1"/>
      <c r="C21" s="467" t="s">
        <v>253</v>
      </c>
      <c r="D21" s="463"/>
      <c r="E21" s="463"/>
      <c r="F21" s="463"/>
      <c r="G21" s="463"/>
      <c r="H21" s="463"/>
      <c r="J21" s="467" t="str">
        <f>"Sum of Lines "&amp;A15&amp;" to "&amp;A20&amp;""</f>
        <v>Sum of Lines 5 to 10</v>
      </c>
      <c r="K21" s="463"/>
      <c r="L21" s="1219">
        <f>SUM(L15:L20)</f>
        <v>748333605</v>
      </c>
    </row>
    <row r="22" spans="1:28" ht="13">
      <c r="B22" s="1"/>
      <c r="C22" s="463"/>
      <c r="D22" s="463"/>
      <c r="E22" s="463"/>
      <c r="F22" s="463"/>
      <c r="G22" s="463"/>
      <c r="H22" s="463"/>
      <c r="I22" s="463"/>
      <c r="J22" s="467"/>
      <c r="K22" s="463"/>
      <c r="L22" s="463"/>
    </row>
    <row r="23" spans="1:28" ht="13">
      <c r="A23" s="549">
        <f>A21+1</f>
        <v>12</v>
      </c>
      <c r="B23" s="1"/>
      <c r="C23" s="463" t="s">
        <v>2497</v>
      </c>
      <c r="D23" s="463"/>
      <c r="E23" s="463"/>
      <c r="F23" s="463"/>
      <c r="G23" s="463"/>
      <c r="H23" s="463"/>
      <c r="J23" s="467" t="str">
        <f>"Line "&amp;A21&amp;" / Line "&amp;A12&amp;""</f>
        <v>Line 11 / Line 4</v>
      </c>
      <c r="K23" s="463"/>
      <c r="L23" s="1123">
        <f>L21/L12</f>
        <v>4.4426178041002594E-2</v>
      </c>
    </row>
    <row r="24" spans="1:28" ht="13">
      <c r="A24" s="549"/>
      <c r="B24" s="1"/>
      <c r="C24" s="463"/>
      <c r="D24" s="463"/>
      <c r="E24" s="463"/>
      <c r="F24" s="463"/>
      <c r="G24" s="463"/>
      <c r="H24" s="463"/>
      <c r="J24" s="467"/>
      <c r="K24" s="463"/>
      <c r="L24" s="1123"/>
    </row>
    <row r="25" spans="1:28" ht="13">
      <c r="B25" s="1"/>
      <c r="C25" s="75" t="s">
        <v>1457</v>
      </c>
      <c r="D25" s="463"/>
      <c r="E25" s="463"/>
      <c r="F25" s="463"/>
      <c r="G25" s="463"/>
      <c r="H25" s="463"/>
      <c r="I25" s="463"/>
      <c r="J25" s="467"/>
      <c r="K25" s="463"/>
      <c r="L25" s="463"/>
    </row>
    <row r="26" spans="1:28" ht="13">
      <c r="A26" s="549">
        <f>A23+1</f>
        <v>13</v>
      </c>
      <c r="B26" s="1"/>
      <c r="C26" s="463" t="s">
        <v>42</v>
      </c>
      <c r="D26" s="463"/>
      <c r="E26" s="463"/>
      <c r="F26" s="463"/>
      <c r="G26" s="463"/>
      <c r="H26" s="463"/>
      <c r="I26" s="463" t="s">
        <v>1605</v>
      </c>
      <c r="J26" s="467" t="str">
        <f>"5-ROR-2, Line "&amp;'5-ROR-2'!A16&amp;""</f>
        <v>5-ROR-2, Line 4</v>
      </c>
      <c r="K26" s="463"/>
      <c r="L26" s="470">
        <f>'5-ROR-2'!C16</f>
        <v>2143514584.6153846</v>
      </c>
      <c r="N26" s="549"/>
      <c r="O26" s="470"/>
      <c r="P26" s="470"/>
      <c r="Q26" s="470"/>
      <c r="R26" s="470"/>
      <c r="S26" s="470"/>
      <c r="T26" s="470"/>
      <c r="U26" s="470"/>
      <c r="V26" s="470"/>
      <c r="W26" s="470"/>
      <c r="X26" s="470"/>
      <c r="Y26" s="470"/>
      <c r="Z26" s="470"/>
      <c r="AA26" s="470"/>
      <c r="AB26" s="470"/>
    </row>
    <row r="27" spans="1:28" ht="13">
      <c r="A27" s="549">
        <f t="shared" ref="A27:A28" si="1">A26+1</f>
        <v>14</v>
      </c>
      <c r="B27" s="1"/>
      <c r="C27" s="463" t="s">
        <v>1453</v>
      </c>
      <c r="D27" s="463"/>
      <c r="E27" s="463"/>
      <c r="F27" s="463"/>
      <c r="G27" s="463"/>
      <c r="H27" s="463"/>
      <c r="I27" s="463" t="s">
        <v>1605</v>
      </c>
      <c r="J27" s="467" t="str">
        <f>"5-ROR-2, Line "&amp;'5-ROR-2'!A18&amp;""</f>
        <v>5-ROR-2, Line 5</v>
      </c>
      <c r="K27" s="463"/>
      <c r="L27" s="470">
        <f>'5-ROR-2'!C18</f>
        <v>-30116206.966666643</v>
      </c>
      <c r="N27" s="549"/>
      <c r="O27" s="470"/>
      <c r="P27" s="470"/>
      <c r="Q27" s="470"/>
      <c r="R27" s="470"/>
      <c r="S27" s="470"/>
      <c r="T27" s="470"/>
      <c r="U27" s="470"/>
      <c r="V27" s="470"/>
      <c r="W27" s="470"/>
      <c r="X27" s="470"/>
      <c r="Y27" s="470"/>
      <c r="Z27" s="470"/>
      <c r="AA27" s="470"/>
      <c r="AB27" s="470"/>
    </row>
    <row r="28" spans="1:28" ht="13">
      <c r="A28" s="549">
        <f t="shared" si="1"/>
        <v>15</v>
      </c>
      <c r="B28" s="1"/>
      <c r="C28" s="463" t="s">
        <v>1148</v>
      </c>
      <c r="D28" s="463"/>
      <c r="E28" s="463"/>
      <c r="F28" s="463"/>
      <c r="G28" s="463"/>
      <c r="H28" s="463"/>
      <c r="I28" s="463" t="s">
        <v>1605</v>
      </c>
      <c r="J28" s="467" t="str">
        <f>"5-ROR-2, Line "&amp;'5-ROR-2'!A20&amp;""</f>
        <v>5-ROR-2, Line 6</v>
      </c>
      <c r="K28" s="463"/>
      <c r="L28" s="1220">
        <f>'5-ROR-2'!C20</f>
        <v>-21436251.980334602</v>
      </c>
      <c r="N28" s="549"/>
      <c r="O28" s="470"/>
      <c r="P28" s="470"/>
      <c r="Q28" s="470"/>
      <c r="R28" s="470"/>
      <c r="S28" s="470"/>
      <c r="T28" s="470"/>
      <c r="U28" s="470"/>
      <c r="V28" s="470"/>
      <c r="W28" s="470"/>
      <c r="X28" s="470"/>
      <c r="Y28" s="470"/>
      <c r="Z28" s="470"/>
      <c r="AA28" s="470"/>
      <c r="AB28" s="470"/>
    </row>
    <row r="29" spans="1:28" ht="13">
      <c r="A29" s="549">
        <f>A28+1</f>
        <v>16</v>
      </c>
      <c r="B29" s="1"/>
      <c r="C29" s="467" t="s">
        <v>47</v>
      </c>
      <c r="D29" s="463"/>
      <c r="E29" s="463"/>
      <c r="F29" s="463"/>
      <c r="G29" s="463"/>
      <c r="H29" s="463"/>
      <c r="I29" s="463"/>
      <c r="J29" s="467" t="str">
        <f>"Sum of Lines "&amp;A26&amp;" to "&amp;A28&amp;""</f>
        <v>Sum of Lines 13 to 15</v>
      </c>
      <c r="K29" s="463"/>
      <c r="L29" s="470">
        <f>SUM(L26:L28)</f>
        <v>2091962125.6683834</v>
      </c>
    </row>
    <row r="30" spans="1:28" ht="13">
      <c r="A30" s="549"/>
      <c r="B30" s="1"/>
      <c r="C30" s="463"/>
      <c r="D30" s="463"/>
      <c r="E30" s="463"/>
      <c r="F30" s="463"/>
      <c r="G30" s="463"/>
      <c r="H30" s="463"/>
      <c r="I30" s="463"/>
      <c r="J30" s="467"/>
      <c r="K30" s="463"/>
      <c r="L30" s="470"/>
    </row>
    <row r="31" spans="1:28" ht="13">
      <c r="A31" s="549"/>
      <c r="B31" s="1"/>
      <c r="C31" s="75" t="s">
        <v>2498</v>
      </c>
      <c r="D31" s="463"/>
      <c r="E31" s="463"/>
      <c r="F31" s="463"/>
      <c r="G31" s="463"/>
      <c r="H31" s="463"/>
      <c r="I31" s="463"/>
      <c r="J31" s="467"/>
      <c r="K31" s="463"/>
      <c r="L31" s="470"/>
    </row>
    <row r="32" spans="1:28" ht="13">
      <c r="A32" s="549">
        <f>A29+1</f>
        <v>17</v>
      </c>
      <c r="B32" s="1"/>
      <c r="C32" s="463" t="s">
        <v>2499</v>
      </c>
      <c r="D32" s="463"/>
      <c r="E32" s="463"/>
      <c r="F32" s="463"/>
      <c r="G32" s="463"/>
      <c r="H32" s="463"/>
      <c r="I32" s="463" t="s">
        <v>2500</v>
      </c>
      <c r="J32" s="467" t="s">
        <v>2501</v>
      </c>
      <c r="K32" s="463"/>
      <c r="L32" s="978">
        <v>117193589</v>
      </c>
    </row>
    <row r="33" spans="1:28" ht="13">
      <c r="A33" s="549">
        <f>A32+1</f>
        <v>18</v>
      </c>
      <c r="B33" s="1"/>
      <c r="C33" s="463" t="s">
        <v>2502</v>
      </c>
      <c r="D33" s="463"/>
      <c r="E33" s="463"/>
      <c r="F33" s="463"/>
      <c r="G33" s="463"/>
      <c r="H33" s="463"/>
      <c r="I33" s="463"/>
      <c r="J33" s="467" t="s">
        <v>212</v>
      </c>
      <c r="K33" s="463"/>
      <c r="L33" s="470">
        <f>'5-ROR-2'!H65</f>
        <v>1819324.5717344894</v>
      </c>
    </row>
    <row r="34" spans="1:28" ht="13">
      <c r="A34" s="549">
        <f>A33+1</f>
        <v>19</v>
      </c>
      <c r="B34" s="1"/>
      <c r="C34" s="463" t="s">
        <v>2503</v>
      </c>
      <c r="D34" s="463"/>
      <c r="E34" s="463"/>
      <c r="F34" s="463"/>
      <c r="G34" s="463"/>
      <c r="H34" s="463"/>
      <c r="I34" s="463"/>
      <c r="J34" s="467" t="s">
        <v>211</v>
      </c>
      <c r="K34" s="463"/>
      <c r="L34" s="470">
        <f>'5-ROR-2'!I50</f>
        <v>3225420.9666666673</v>
      </c>
    </row>
    <row r="35" spans="1:28" ht="13">
      <c r="A35" s="549">
        <f t="shared" ref="A35" si="2">A34+1</f>
        <v>20</v>
      </c>
      <c r="B35" s="1"/>
      <c r="C35" s="467" t="s">
        <v>2499</v>
      </c>
      <c r="D35" s="463"/>
      <c r="E35" s="463"/>
      <c r="F35" s="463"/>
      <c r="G35" s="463"/>
      <c r="H35" s="463"/>
      <c r="J35" s="467" t="str">
        <f>"Sum of Lines "&amp;A32&amp;" to "&amp;A34&amp;""</f>
        <v>Sum of Lines 17 to 19</v>
      </c>
      <c r="K35" s="463"/>
      <c r="L35" s="1219">
        <f>SUM(L32:L34)</f>
        <v>122238334.53840116</v>
      </c>
    </row>
    <row r="36" spans="1:28" ht="13">
      <c r="B36" s="1"/>
      <c r="C36" s="463"/>
      <c r="D36" s="463"/>
      <c r="E36" s="463"/>
      <c r="F36" s="463"/>
      <c r="G36" s="463"/>
      <c r="H36" s="463"/>
      <c r="I36" s="463"/>
      <c r="J36" s="467"/>
      <c r="K36" s="463"/>
      <c r="L36" s="470"/>
    </row>
    <row r="37" spans="1:28" ht="13">
      <c r="A37" s="549">
        <f>A35+1</f>
        <v>21</v>
      </c>
      <c r="B37" s="1"/>
      <c r="C37" s="463" t="s">
        <v>43</v>
      </c>
      <c r="D37" s="463"/>
      <c r="E37" s="463"/>
      <c r="F37" s="463"/>
      <c r="G37" s="463"/>
      <c r="H37" s="463"/>
      <c r="J37" s="467" t="str">
        <f>"Line "&amp;A35&amp;" / Line "&amp;A29&amp;""</f>
        <v>Line 20 / Line 16</v>
      </c>
      <c r="K37" s="463"/>
      <c r="L37" s="1123">
        <f>L35/L29</f>
        <v>5.8432384142397376E-2</v>
      </c>
    </row>
    <row r="38" spans="1:28" ht="13">
      <c r="B38" s="1"/>
      <c r="C38" s="463"/>
      <c r="D38" s="463"/>
      <c r="E38" s="463"/>
      <c r="F38" s="463"/>
      <c r="G38" s="463"/>
      <c r="H38" s="463"/>
      <c r="I38" s="463"/>
      <c r="J38" s="467"/>
      <c r="K38" s="463"/>
      <c r="L38" s="463"/>
    </row>
    <row r="39" spans="1:28" ht="13">
      <c r="B39" s="1"/>
      <c r="C39" s="75" t="s">
        <v>269</v>
      </c>
      <c r="D39" s="463"/>
      <c r="E39" s="463"/>
      <c r="F39" s="463"/>
      <c r="G39" s="463"/>
      <c r="H39" s="463"/>
      <c r="I39" s="1107"/>
      <c r="J39" s="467"/>
      <c r="K39" s="463"/>
      <c r="L39" s="463"/>
    </row>
    <row r="40" spans="1:28" ht="13">
      <c r="A40" s="549">
        <f>A37+1</f>
        <v>22</v>
      </c>
      <c r="B40" s="1"/>
      <c r="C40" s="463" t="s">
        <v>210</v>
      </c>
      <c r="D40" s="463"/>
      <c r="E40" s="463"/>
      <c r="F40" s="463"/>
      <c r="G40" s="463"/>
      <c r="H40" s="463"/>
      <c r="I40" s="463" t="s">
        <v>1605</v>
      </c>
      <c r="J40" s="467" t="str">
        <f>"5-ROR-2, Line "&amp;'5-ROR-2'!A22&amp;""</f>
        <v>5-ROR-2, Line 7</v>
      </c>
      <c r="K40" s="463"/>
      <c r="L40" s="470">
        <f>'5-ROR-2'!C22</f>
        <v>18412587510.481541</v>
      </c>
      <c r="N40" s="549"/>
      <c r="O40" s="470"/>
      <c r="P40" s="470"/>
      <c r="Q40" s="470"/>
      <c r="R40" s="470"/>
      <c r="S40" s="470"/>
      <c r="T40" s="470"/>
      <c r="U40" s="470"/>
      <c r="V40" s="470"/>
      <c r="W40" s="470"/>
      <c r="X40" s="470"/>
      <c r="Y40" s="470"/>
      <c r="Z40" s="470"/>
      <c r="AA40" s="470"/>
      <c r="AB40" s="470"/>
    </row>
    <row r="41" spans="1:28" ht="13">
      <c r="A41" s="549">
        <f>A40+1</f>
        <v>23</v>
      </c>
      <c r="B41" s="1"/>
      <c r="C41" s="463" t="s">
        <v>45</v>
      </c>
      <c r="D41" s="463"/>
      <c r="E41" s="463"/>
      <c r="F41" s="463"/>
      <c r="G41" s="463"/>
      <c r="H41" s="463"/>
      <c r="I41" s="463" t="str">
        <f>"Same as L "&amp;A26&amp;", but negative"</f>
        <v>Same as L 13, but negative</v>
      </c>
      <c r="J41" s="467" t="str">
        <f>"5-ROR-2, Line "&amp;'5-ROR-2'!A16&amp;""</f>
        <v>5-ROR-2, Line 4</v>
      </c>
      <c r="K41" s="463"/>
      <c r="L41" s="470">
        <f>-'5-ROR-2'!C16</f>
        <v>-2143514584.6153846</v>
      </c>
      <c r="N41" s="549"/>
      <c r="O41" s="470"/>
      <c r="P41" s="470"/>
      <c r="Q41" s="470"/>
      <c r="R41" s="470"/>
      <c r="S41" s="470"/>
      <c r="T41" s="470"/>
      <c r="U41" s="470"/>
      <c r="V41" s="470"/>
      <c r="W41" s="470"/>
      <c r="X41" s="470"/>
      <c r="Y41" s="470"/>
      <c r="Z41" s="470"/>
      <c r="AA41" s="470"/>
      <c r="AB41" s="470"/>
    </row>
    <row r="42" spans="1:28" ht="13">
      <c r="A42" s="549">
        <f t="shared" ref="A42:A44" si="3">A41+1</f>
        <v>24</v>
      </c>
      <c r="B42" s="1"/>
      <c r="C42" s="463" t="s">
        <v>1454</v>
      </c>
      <c r="D42" s="463"/>
      <c r="E42" s="463"/>
      <c r="F42" s="463"/>
      <c r="G42" s="463"/>
      <c r="H42" s="463"/>
      <c r="I42" s="463" t="str">
        <f>"Same as L "&amp;A28&amp;", but reverse sign"</f>
        <v>Same as L 15, but reverse sign</v>
      </c>
      <c r="J42" s="467" t="s">
        <v>281</v>
      </c>
      <c r="K42" s="463"/>
      <c r="L42" s="470">
        <f>-L28</f>
        <v>21436251.980334602</v>
      </c>
      <c r="N42" s="549"/>
      <c r="O42" s="470"/>
      <c r="P42" s="470"/>
      <c r="Q42" s="470"/>
      <c r="R42" s="470"/>
      <c r="S42" s="470"/>
      <c r="T42" s="470"/>
      <c r="U42" s="470"/>
      <c r="V42" s="470"/>
      <c r="W42" s="470"/>
      <c r="X42" s="470"/>
      <c r="Y42" s="470"/>
      <c r="Z42" s="470"/>
      <c r="AA42" s="470"/>
      <c r="AB42" s="470"/>
    </row>
    <row r="43" spans="1:28" ht="13">
      <c r="A43" s="549">
        <f t="shared" si="3"/>
        <v>25</v>
      </c>
      <c r="B43" s="1"/>
      <c r="C43" s="463" t="s">
        <v>1455</v>
      </c>
      <c r="D43" s="463"/>
      <c r="E43" s="463"/>
      <c r="F43" s="463"/>
      <c r="G43" s="463"/>
      <c r="H43" s="463"/>
      <c r="I43" s="463" t="s">
        <v>1605</v>
      </c>
      <c r="J43" s="467" t="str">
        <f>"5-ROR-2, Line "&amp;'5-ROR-2'!A24&amp;""</f>
        <v>5-ROR-2, Line 8</v>
      </c>
      <c r="K43" s="463"/>
      <c r="L43" s="477">
        <f>'5-ROR-2'!C24</f>
        <v>2605402.5384615385</v>
      </c>
      <c r="N43" s="549"/>
      <c r="O43" s="470"/>
      <c r="P43" s="470"/>
      <c r="Q43" s="470"/>
      <c r="R43" s="470"/>
      <c r="S43" s="470"/>
      <c r="T43" s="470"/>
      <c r="U43" s="470"/>
      <c r="V43" s="470"/>
      <c r="W43" s="470"/>
      <c r="X43" s="470"/>
      <c r="Y43" s="470"/>
      <c r="Z43" s="470"/>
      <c r="AA43" s="470"/>
      <c r="AB43" s="470"/>
    </row>
    <row r="44" spans="1:28" ht="13">
      <c r="A44" s="549">
        <f t="shared" si="3"/>
        <v>26</v>
      </c>
      <c r="B44" s="1"/>
      <c r="C44" s="463" t="s">
        <v>1456</v>
      </c>
      <c r="D44" s="463"/>
      <c r="E44" s="463"/>
      <c r="F44" s="463"/>
      <c r="G44" s="463"/>
      <c r="H44" s="463"/>
      <c r="I44" s="463" t="s">
        <v>1605</v>
      </c>
      <c r="J44" s="467" t="str">
        <f>"5-ROR-2, Line "&amp;'5-ROR-2'!A26&amp;""</f>
        <v>5-ROR-2, Line 9</v>
      </c>
      <c r="K44" s="463"/>
      <c r="L44" s="477">
        <f>'5-ROR-2'!C26</f>
        <v>36476558.340769231</v>
      </c>
      <c r="N44" s="549"/>
      <c r="O44" s="470"/>
      <c r="P44" s="470"/>
      <c r="Q44" s="470"/>
      <c r="R44" s="470"/>
      <c r="S44" s="470"/>
      <c r="T44" s="470"/>
      <c r="U44" s="470"/>
      <c r="V44" s="470"/>
      <c r="W44" s="470"/>
      <c r="X44" s="470"/>
      <c r="Y44" s="470"/>
      <c r="Z44" s="470"/>
      <c r="AA44" s="470"/>
      <c r="AB44" s="470"/>
    </row>
    <row r="45" spans="1:28" ht="13">
      <c r="A45" s="549">
        <f>A44+1</f>
        <v>27</v>
      </c>
      <c r="B45" s="1"/>
      <c r="C45" s="463" t="s">
        <v>44</v>
      </c>
      <c r="D45" s="463"/>
      <c r="E45" s="463"/>
      <c r="F45" s="463"/>
      <c r="G45" s="463"/>
      <c r="H45" s="463"/>
      <c r="I45" s="463"/>
      <c r="J45" s="467" t="str">
        <f>"Sum of Lines "&amp;A40&amp;" to "&amp;A44&amp;""</f>
        <v>Sum of Lines 22 to 26</v>
      </c>
      <c r="K45" s="463"/>
      <c r="L45" s="1419">
        <f>SUM(L40:L44)</f>
        <v>16329591138.725721</v>
      </c>
    </row>
    <row r="46" spans="1:28" ht="13">
      <c r="A46" s="549"/>
      <c r="B46" s="1"/>
      <c r="C46" s="463"/>
      <c r="D46" s="463"/>
      <c r="E46" s="463"/>
      <c r="F46" s="463"/>
      <c r="G46" s="463"/>
      <c r="H46" s="463"/>
      <c r="I46" s="463"/>
      <c r="J46" s="467"/>
      <c r="K46" s="463"/>
      <c r="L46" s="466"/>
    </row>
    <row r="47" spans="1:28" ht="13">
      <c r="B47" s="51" t="s">
        <v>230</v>
      </c>
      <c r="C47" s="463"/>
      <c r="D47" s="463"/>
      <c r="E47" s="463"/>
      <c r="F47" s="463"/>
      <c r="G47" s="463"/>
      <c r="H47" s="463"/>
      <c r="I47" s="463"/>
      <c r="J47" s="463"/>
      <c r="K47" s="463"/>
      <c r="L47" s="463"/>
    </row>
    <row r="48" spans="1:28">
      <c r="B48" s="463" t="s">
        <v>2701</v>
      </c>
      <c r="J48" s="463"/>
    </row>
    <row r="49" spans="2:2">
      <c r="B49" s="463" t="s">
        <v>2702</v>
      </c>
    </row>
    <row r="50" spans="2:2">
      <c r="B50" s="478" t="str">
        <f>"3) Negative of Line "&amp;A28&amp;""&amp;", charge to common equity reversed for ratemaking."</f>
        <v>3) Negative of Line 15, charge to common equity reversed for ratemaking.</v>
      </c>
    </row>
    <row r="51" spans="2:2">
      <c r="B51" s="463"/>
    </row>
    <row r="52" spans="2:2">
      <c r="B52" s="467"/>
    </row>
    <row r="53" spans="2:2">
      <c r="B53" s="463"/>
    </row>
    <row r="54" spans="2:2">
      <c r="B54" s="467"/>
    </row>
  </sheetData>
  <pageMargins left="0.7" right="0.7" top="0.75" bottom="0.75" header="0.3" footer="0.3"/>
  <pageSetup scale="55" orientation="landscape" r:id="rId1"/>
  <headerFooter>
    <oddHeader>&amp;CSchedule 5 ROR-1
Return and Capitalization&amp;RTO2022 Annual Update 
Attachment 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79"/>
  <sheetViews>
    <sheetView zoomScaleNormal="100" zoomScalePageLayoutView="80" workbookViewId="0"/>
  </sheetViews>
  <sheetFormatPr defaultColWidth="8.54296875" defaultRowHeight="12.5"/>
  <cols>
    <col min="1" max="1" width="4.54296875" style="955" customWidth="1"/>
    <col min="2" max="2" width="6.453125" style="955" customWidth="1"/>
    <col min="3" max="3" width="15.54296875" style="955" customWidth="1"/>
    <col min="4" max="4" width="16.453125" style="955" customWidth="1"/>
    <col min="5" max="15" width="14.54296875" style="955" customWidth="1"/>
    <col min="16" max="16" width="15.453125" style="955" bestFit="1" customWidth="1"/>
    <col min="17" max="16384" width="8.54296875" style="955"/>
  </cols>
  <sheetData>
    <row r="1" spans="1:17" ht="13">
      <c r="A1" s="1" t="s">
        <v>1625</v>
      </c>
      <c r="B1" s="1"/>
    </row>
    <row r="2" spans="1:17" ht="13">
      <c r="A2" s="549" t="s">
        <v>2162</v>
      </c>
      <c r="B2" s="989">
        <v>2020</v>
      </c>
      <c r="D2" s="68" t="s">
        <v>2531</v>
      </c>
      <c r="E2" s="1480" t="s">
        <v>2882</v>
      </c>
      <c r="F2" s="374"/>
    </row>
    <row r="3" spans="1:17" ht="13">
      <c r="C3" s="84" t="s">
        <v>358</v>
      </c>
      <c r="D3" s="84" t="s">
        <v>342</v>
      </c>
      <c r="E3" s="84" t="s">
        <v>343</v>
      </c>
      <c r="F3" s="84" t="s">
        <v>344</v>
      </c>
      <c r="G3" s="84" t="s">
        <v>345</v>
      </c>
      <c r="H3" s="84" t="s">
        <v>346</v>
      </c>
      <c r="I3" s="84" t="s">
        <v>347</v>
      </c>
      <c r="J3" s="84" t="s">
        <v>534</v>
      </c>
      <c r="K3" s="84" t="s">
        <v>949</v>
      </c>
      <c r="L3" s="84" t="s">
        <v>961</v>
      </c>
      <c r="M3" s="84" t="s">
        <v>964</v>
      </c>
      <c r="N3" s="84" t="s">
        <v>982</v>
      </c>
      <c r="O3" s="84" t="s">
        <v>1459</v>
      </c>
      <c r="P3" s="84" t="s">
        <v>1460</v>
      </c>
    </row>
    <row r="4" spans="1:17" ht="13">
      <c r="A4" s="3" t="s">
        <v>319</v>
      </c>
      <c r="B4" s="3" t="s">
        <v>1626</v>
      </c>
      <c r="C4" s="37" t="s">
        <v>10</v>
      </c>
      <c r="D4" s="479" t="s">
        <v>180</v>
      </c>
      <c r="E4" s="472" t="s">
        <v>181</v>
      </c>
      <c r="F4" s="472" t="s">
        <v>182</v>
      </c>
      <c r="G4" s="472" t="s">
        <v>195</v>
      </c>
      <c r="H4" s="472" t="s">
        <v>183</v>
      </c>
      <c r="I4" s="472" t="s">
        <v>184</v>
      </c>
      <c r="J4" s="472" t="s">
        <v>1458</v>
      </c>
      <c r="K4" s="472" t="s">
        <v>186</v>
      </c>
      <c r="L4" s="472" t="s">
        <v>187</v>
      </c>
      <c r="M4" s="472" t="s">
        <v>188</v>
      </c>
      <c r="N4" s="472" t="s">
        <v>191</v>
      </c>
      <c r="O4" s="472" t="s">
        <v>190</v>
      </c>
      <c r="P4" s="472" t="s">
        <v>180</v>
      </c>
    </row>
    <row r="5" spans="1:17" ht="13">
      <c r="A5" s="3"/>
      <c r="B5" s="3"/>
      <c r="C5" s="472" t="s">
        <v>2163</v>
      </c>
      <c r="D5" s="479"/>
      <c r="E5" s="472"/>
      <c r="F5" s="472"/>
      <c r="G5" s="472"/>
      <c r="H5" s="472"/>
      <c r="I5" s="472"/>
      <c r="J5" s="472"/>
      <c r="K5" s="472"/>
      <c r="L5" s="472"/>
      <c r="M5" s="472"/>
      <c r="N5" s="472"/>
      <c r="O5" s="472"/>
      <c r="P5" s="472"/>
    </row>
    <row r="6" spans="1:17" ht="13">
      <c r="A6" s="53"/>
      <c r="B6" s="53"/>
      <c r="C6" s="37"/>
      <c r="D6" s="479"/>
      <c r="E6" s="472"/>
      <c r="F6" s="472"/>
      <c r="G6" s="472"/>
      <c r="H6" s="472"/>
      <c r="I6" s="472"/>
      <c r="J6" s="472"/>
      <c r="K6" s="472"/>
      <c r="L6" s="472"/>
      <c r="M6" s="472"/>
      <c r="N6" s="472"/>
      <c r="O6" s="472"/>
      <c r="P6" s="472"/>
    </row>
    <row r="7" spans="1:17" ht="13">
      <c r="B7" s="1" t="s">
        <v>1627</v>
      </c>
      <c r="D7" s="479"/>
      <c r="E7" s="472"/>
      <c r="F7" s="472"/>
      <c r="G7" s="472"/>
      <c r="H7" s="472"/>
      <c r="I7" s="472"/>
      <c r="J7" s="472"/>
      <c r="K7" s="472"/>
      <c r="L7" s="472"/>
      <c r="M7" s="472"/>
      <c r="N7" s="472"/>
      <c r="O7" s="472"/>
      <c r="P7" s="472"/>
    </row>
    <row r="8" spans="1:17" ht="13">
      <c r="A8" s="549">
        <v>1</v>
      </c>
      <c r="B8" s="549"/>
      <c r="C8" s="470">
        <f>SUM(D8:P8)/13</f>
        <v>16871130769.171539</v>
      </c>
      <c r="D8" s="978">
        <v>15023328571</v>
      </c>
      <c r="E8" s="978">
        <v>15623328571.389999</v>
      </c>
      <c r="F8" s="978">
        <v>15584042857.1</v>
      </c>
      <c r="G8" s="978">
        <v>16684042857.1</v>
      </c>
      <c r="H8" s="978">
        <v>17284042857.099998</v>
      </c>
      <c r="I8" s="978">
        <v>17284042857.099998</v>
      </c>
      <c r="J8" s="978">
        <v>17284042857.099998</v>
      </c>
      <c r="K8" s="978">
        <v>17284042857.099998</v>
      </c>
      <c r="L8" s="978">
        <v>17244757142.810001</v>
      </c>
      <c r="M8" s="978">
        <v>17244757142.810001</v>
      </c>
      <c r="N8" s="978">
        <v>17594757142.810001</v>
      </c>
      <c r="O8" s="978">
        <v>17594757142.810001</v>
      </c>
      <c r="P8" s="978">
        <v>17594757143</v>
      </c>
      <c r="Q8" s="463"/>
    </row>
    <row r="9" spans="1:17" ht="13">
      <c r="A9" s="549"/>
      <c r="B9" s="1" t="s">
        <v>2164</v>
      </c>
      <c r="C9" s="7"/>
      <c r="D9" s="470"/>
      <c r="E9" s="470"/>
      <c r="F9" s="470"/>
      <c r="G9" s="470"/>
      <c r="H9" s="470"/>
      <c r="I9" s="470"/>
      <c r="J9" s="470"/>
      <c r="K9" s="470"/>
      <c r="L9" s="470"/>
      <c r="M9" s="470"/>
      <c r="N9" s="470"/>
      <c r="O9" s="470"/>
      <c r="P9" s="470"/>
    </row>
    <row r="10" spans="1:17" ht="13">
      <c r="A10" s="549">
        <f>A8+1</f>
        <v>2</v>
      </c>
      <c r="B10" s="549"/>
      <c r="C10" s="470">
        <f t="shared" ref="C10:C14" si="0">SUM(D10:P10)/13</f>
        <v>-333084615.38461536</v>
      </c>
      <c r="D10" s="978">
        <v>0</v>
      </c>
      <c r="E10" s="978">
        <v>0</v>
      </c>
      <c r="F10" s="978">
        <v>0</v>
      </c>
      <c r="G10" s="978">
        <v>0</v>
      </c>
      <c r="H10" s="978">
        <v>-372500000</v>
      </c>
      <c r="I10" s="978">
        <v>-372500000</v>
      </c>
      <c r="J10" s="978">
        <v>-372500000</v>
      </c>
      <c r="K10" s="978">
        <v>-372500000</v>
      </c>
      <c r="L10" s="978">
        <v>-372500000</v>
      </c>
      <c r="M10" s="978">
        <v>-616900000</v>
      </c>
      <c r="N10" s="978">
        <v>-616900000</v>
      </c>
      <c r="O10" s="978">
        <v>-616900000</v>
      </c>
      <c r="P10" s="978">
        <v>-616900000</v>
      </c>
      <c r="Q10" s="463"/>
    </row>
    <row r="11" spans="1:17" ht="13">
      <c r="A11" s="549"/>
      <c r="B11" s="1" t="s">
        <v>2504</v>
      </c>
      <c r="D11" s="470"/>
      <c r="E11" s="470"/>
      <c r="F11" s="470"/>
      <c r="G11" s="470"/>
      <c r="H11" s="470"/>
      <c r="I11" s="470"/>
      <c r="J11" s="470"/>
      <c r="K11" s="470"/>
      <c r="L11" s="470"/>
      <c r="M11" s="470"/>
      <c r="N11" s="470"/>
      <c r="O11" s="470"/>
      <c r="P11" s="470"/>
    </row>
    <row r="12" spans="1:17" ht="13">
      <c r="A12" s="549" t="s">
        <v>507</v>
      </c>
      <c r="B12" s="1"/>
      <c r="C12" s="470">
        <f>SUM(D12:P12)/13</f>
        <v>0</v>
      </c>
      <c r="D12" s="493">
        <v>0</v>
      </c>
      <c r="E12" s="493">
        <v>0</v>
      </c>
      <c r="F12" s="493">
        <v>0</v>
      </c>
      <c r="G12" s="493">
        <v>0</v>
      </c>
      <c r="H12" s="493">
        <v>0</v>
      </c>
      <c r="I12" s="493">
        <v>0</v>
      </c>
      <c r="J12" s="493">
        <v>0</v>
      </c>
      <c r="K12" s="493">
        <v>0</v>
      </c>
      <c r="L12" s="493">
        <v>0</v>
      </c>
      <c r="M12" s="493">
        <v>0</v>
      </c>
      <c r="N12" s="493">
        <v>0</v>
      </c>
      <c r="O12" s="493">
        <v>0</v>
      </c>
      <c r="P12" s="493">
        <v>0</v>
      </c>
      <c r="Q12" s="463"/>
    </row>
    <row r="13" spans="1:17" ht="13">
      <c r="A13" s="549"/>
      <c r="B13" s="1" t="s">
        <v>2505</v>
      </c>
      <c r="D13" s="470"/>
      <c r="E13" s="470"/>
      <c r="F13" s="470"/>
      <c r="G13" s="470"/>
      <c r="H13" s="470"/>
      <c r="I13" s="470"/>
      <c r="J13" s="470"/>
      <c r="K13" s="470"/>
      <c r="L13" s="470"/>
      <c r="M13" s="470"/>
      <c r="N13" s="470"/>
      <c r="O13" s="470"/>
      <c r="P13" s="470"/>
    </row>
    <row r="14" spans="1:17" ht="13">
      <c r="A14" s="549">
        <f>A10+1</f>
        <v>3</v>
      </c>
      <c r="B14" s="549"/>
      <c r="C14" s="470">
        <f t="shared" si="0"/>
        <v>306382919.30000001</v>
      </c>
      <c r="D14" s="978">
        <v>306419792</v>
      </c>
      <c r="E14" s="978">
        <v>306413741.49000001</v>
      </c>
      <c r="F14" s="978">
        <v>306407665</v>
      </c>
      <c r="G14" s="978">
        <v>306401562.88999999</v>
      </c>
      <c r="H14" s="978">
        <v>306395435.05000001</v>
      </c>
      <c r="I14" s="978">
        <v>306389281.37</v>
      </c>
      <c r="J14" s="978">
        <v>306383101.74000001</v>
      </c>
      <c r="K14" s="978">
        <v>306376896.05000001</v>
      </c>
      <c r="L14" s="978">
        <v>306370664.19</v>
      </c>
      <c r="M14" s="978">
        <v>306364406.06</v>
      </c>
      <c r="N14" s="978">
        <v>306358121.54000002</v>
      </c>
      <c r="O14" s="978">
        <v>306351810.51999998</v>
      </c>
      <c r="P14" s="978">
        <v>306345473</v>
      </c>
      <c r="Q14" s="463"/>
    </row>
    <row r="15" spans="1:17" ht="13">
      <c r="B15" s="1" t="s">
        <v>2688</v>
      </c>
    </row>
    <row r="16" spans="1:17" ht="13">
      <c r="A16" s="549">
        <v>4</v>
      </c>
      <c r="B16" s="549"/>
      <c r="C16" s="470">
        <f t="shared" ref="C16:C22" si="1">SUM(D16:P16)/13</f>
        <v>2143514584.6153846</v>
      </c>
      <c r="D16" s="978">
        <v>2245054950</v>
      </c>
      <c r="E16" s="978">
        <v>2245054950</v>
      </c>
      <c r="F16" s="978">
        <v>2245054950</v>
      </c>
      <c r="G16" s="978">
        <v>2245054950</v>
      </c>
      <c r="H16" s="978">
        <v>2245054950</v>
      </c>
      <c r="I16" s="978">
        <v>2245054950</v>
      </c>
      <c r="J16" s="978">
        <v>2245054950</v>
      </c>
      <c r="K16" s="978">
        <v>2245054950</v>
      </c>
      <c r="L16" s="978">
        <v>2125050000</v>
      </c>
      <c r="M16" s="978">
        <v>1945050000</v>
      </c>
      <c r="N16" s="978">
        <v>1945050000</v>
      </c>
      <c r="O16" s="978">
        <v>1945050000</v>
      </c>
      <c r="P16" s="978">
        <v>1945050000</v>
      </c>
      <c r="Q16" s="463"/>
    </row>
    <row r="17" spans="1:17" ht="13">
      <c r="A17" s="549"/>
      <c r="B17" s="1" t="s">
        <v>2689</v>
      </c>
      <c r="D17" s="470"/>
      <c r="E17" s="470"/>
      <c r="F17" s="470"/>
      <c r="G17" s="470"/>
      <c r="H17" s="470"/>
      <c r="I17" s="470"/>
      <c r="J17" s="470"/>
      <c r="K17" s="470"/>
      <c r="L17" s="470"/>
      <c r="M17" s="470"/>
      <c r="N17" s="470"/>
      <c r="O17" s="470"/>
      <c r="P17" s="470"/>
    </row>
    <row r="18" spans="1:17" ht="13">
      <c r="A18" s="549">
        <f>A16+1</f>
        <v>5</v>
      </c>
      <c r="B18" s="549"/>
      <c r="C18" s="470">
        <f t="shared" si="1"/>
        <v>-30116206.966666643</v>
      </c>
      <c r="D18" s="493">
        <v>-33609851.972222194</v>
      </c>
      <c r="E18" s="493">
        <v>-33324851.938888859</v>
      </c>
      <c r="F18" s="493">
        <v>-33039851.905555531</v>
      </c>
      <c r="G18" s="493">
        <v>-32754851.872222193</v>
      </c>
      <c r="H18" s="493">
        <v>-32469851.838888861</v>
      </c>
      <c r="I18" s="493">
        <v>-32184851.805555526</v>
      </c>
      <c r="J18" s="493">
        <v>-31899851.772222195</v>
      </c>
      <c r="K18" s="493">
        <v>-31614851.738888856</v>
      </c>
      <c r="L18" s="493">
        <v>-31329851.705555521</v>
      </c>
      <c r="M18" s="493">
        <v>-25223683.62499997</v>
      </c>
      <c r="N18" s="493">
        <v>-24954898.544444412</v>
      </c>
      <c r="O18" s="493">
        <v>-24686113.463888854</v>
      </c>
      <c r="P18" s="493">
        <v>-24417328.383333299</v>
      </c>
    </row>
    <row r="19" spans="1:17" ht="13">
      <c r="A19" s="549"/>
      <c r="B19" s="1" t="s">
        <v>2690</v>
      </c>
      <c r="D19" s="470"/>
      <c r="E19" s="470"/>
      <c r="F19" s="470"/>
      <c r="G19" s="470"/>
      <c r="H19" s="470"/>
      <c r="I19" s="470"/>
      <c r="J19" s="470"/>
      <c r="K19" s="470"/>
      <c r="L19" s="470"/>
      <c r="M19" s="470"/>
      <c r="N19" s="470"/>
      <c r="O19" s="470"/>
      <c r="P19" s="470"/>
    </row>
    <row r="20" spans="1:17" ht="13">
      <c r="A20" s="549">
        <f>A18+1</f>
        <v>6</v>
      </c>
      <c r="B20" s="549"/>
      <c r="C20" s="470">
        <f t="shared" si="1"/>
        <v>-21436251.980334602</v>
      </c>
      <c r="D20" s="978">
        <v>-17308906.872633502</v>
      </c>
      <c r="E20" s="493">
        <v>-17222565.98496148</v>
      </c>
      <c r="F20" s="493">
        <v>-17154049.852191415</v>
      </c>
      <c r="G20" s="493">
        <v>-17085533.719421402</v>
      </c>
      <c r="H20" s="493">
        <v>-17017017.586651299</v>
      </c>
      <c r="I20" s="493">
        <v>-16948501.45388123</v>
      </c>
      <c r="J20" s="493">
        <v>-16879985.321111169</v>
      </c>
      <c r="K20" s="493">
        <v>-16811469.188341103</v>
      </c>
      <c r="L20" s="493">
        <v>-25265727.005571045</v>
      </c>
      <c r="M20" s="493">
        <v>-29471795.261363361</v>
      </c>
      <c r="N20" s="493">
        <v>-29320184.880385485</v>
      </c>
      <c r="O20" s="493">
        <v>-29168574.499407612</v>
      </c>
      <c r="P20" s="493">
        <v>-29016964.118429739</v>
      </c>
    </row>
    <row r="21" spans="1:17" ht="13">
      <c r="B21" s="1" t="s">
        <v>2691</v>
      </c>
    </row>
    <row r="22" spans="1:17" ht="13">
      <c r="A22" s="549">
        <v>7</v>
      </c>
      <c r="B22" s="549"/>
      <c r="C22" s="470">
        <f t="shared" si="1"/>
        <v>18412587510.481541</v>
      </c>
      <c r="D22" s="978">
        <v>17827270409</v>
      </c>
      <c r="E22" s="493">
        <v>17935280162.099998</v>
      </c>
      <c r="F22" s="493">
        <v>17983786149.330002</v>
      </c>
      <c r="G22" s="493">
        <v>18045491055.849998</v>
      </c>
      <c r="H22" s="493">
        <v>18321589874.139999</v>
      </c>
      <c r="I22" s="493">
        <v>18753704256.439999</v>
      </c>
      <c r="J22" s="493">
        <v>18781491225.799999</v>
      </c>
      <c r="K22" s="493">
        <v>18998519668.509998</v>
      </c>
      <c r="L22" s="493">
        <v>19036193740.25</v>
      </c>
      <c r="M22" s="493">
        <v>18179040211.919998</v>
      </c>
      <c r="N22" s="493">
        <v>18334369365.880001</v>
      </c>
      <c r="O22" s="493">
        <v>18516424448.040001</v>
      </c>
      <c r="P22" s="493">
        <v>18650477069</v>
      </c>
      <c r="Q22" s="463"/>
    </row>
    <row r="23" spans="1:17" ht="13">
      <c r="A23" s="549"/>
      <c r="B23" s="1" t="s">
        <v>2692</v>
      </c>
      <c r="D23" s="470"/>
      <c r="E23" s="470"/>
      <c r="F23" s="470"/>
      <c r="G23" s="470"/>
      <c r="H23" s="470"/>
      <c r="I23" s="470"/>
      <c r="J23" s="470"/>
      <c r="K23" s="470"/>
      <c r="L23" s="470"/>
      <c r="M23" s="470"/>
      <c r="N23" s="470"/>
      <c r="O23" s="470"/>
      <c r="P23" s="470"/>
    </row>
    <row r="24" spans="1:17" ht="13">
      <c r="A24" s="549">
        <v>8</v>
      </c>
      <c r="B24" s="549"/>
      <c r="C24" s="477">
        <f t="shared" ref="C24:C26" si="2">SUM(D24:P24)/13</f>
        <v>2605402.5384615385</v>
      </c>
      <c r="D24" s="1420">
        <v>2605169</v>
      </c>
      <c r="E24" s="1420">
        <v>2605169</v>
      </c>
      <c r="F24" s="1420">
        <v>2605169</v>
      </c>
      <c r="G24" s="1420">
        <v>2605169</v>
      </c>
      <c r="H24" s="1420">
        <v>2605169</v>
      </c>
      <c r="I24" s="1420">
        <v>2605169</v>
      </c>
      <c r="J24" s="1420">
        <v>2605169</v>
      </c>
      <c r="K24" s="1420">
        <v>2605671</v>
      </c>
      <c r="L24" s="978">
        <v>2605671</v>
      </c>
      <c r="M24" s="978">
        <v>2605671</v>
      </c>
      <c r="N24" s="978">
        <v>2605671</v>
      </c>
      <c r="O24" s="978">
        <v>2605671</v>
      </c>
      <c r="P24" s="978">
        <v>2605695</v>
      </c>
      <c r="Q24" s="463"/>
    </row>
    <row r="25" spans="1:17" ht="13">
      <c r="A25" s="549"/>
      <c r="B25" s="1" t="s">
        <v>2693</v>
      </c>
      <c r="C25" s="14"/>
      <c r="D25" s="1404"/>
      <c r="E25" s="1404"/>
      <c r="F25" s="1404"/>
      <c r="G25" s="1404"/>
      <c r="H25" s="1404"/>
      <c r="I25" s="1404"/>
      <c r="J25" s="1404"/>
      <c r="K25" s="1404"/>
      <c r="L25" s="1404"/>
      <c r="M25" s="1404"/>
      <c r="N25" s="1404"/>
      <c r="O25" s="1404"/>
      <c r="P25" s="1404"/>
    </row>
    <row r="26" spans="1:17" ht="13">
      <c r="A26" s="549">
        <f>A24+1</f>
        <v>9</v>
      </c>
      <c r="B26" s="549"/>
      <c r="C26" s="477">
        <f t="shared" si="2"/>
        <v>36476558.340769231</v>
      </c>
      <c r="D26" s="1420">
        <v>38811870</v>
      </c>
      <c r="E26" s="1420">
        <v>38176386.32</v>
      </c>
      <c r="F26" s="1420">
        <v>37540902.490000002</v>
      </c>
      <c r="G26" s="1420">
        <v>37438912.399999999</v>
      </c>
      <c r="H26" s="1420">
        <v>36803428.57</v>
      </c>
      <c r="I26" s="1420">
        <v>36167944.740000002</v>
      </c>
      <c r="J26" s="1420">
        <v>36065954.68</v>
      </c>
      <c r="K26" s="1420">
        <v>35430470.850000001</v>
      </c>
      <c r="L26" s="1420">
        <v>34794987.020000003</v>
      </c>
      <c r="M26" s="1420">
        <v>34692996.950000003</v>
      </c>
      <c r="N26" s="1420">
        <v>34057513.119999997</v>
      </c>
      <c r="O26" s="1420">
        <v>33422029.289999999</v>
      </c>
      <c r="P26" s="1420">
        <v>40791862</v>
      </c>
      <c r="Q26" s="463"/>
    </row>
    <row r="27" spans="1:17" ht="13">
      <c r="A27" s="549"/>
      <c r="B27" s="549"/>
      <c r="C27" s="470"/>
      <c r="D27" s="470"/>
      <c r="E27" s="470"/>
      <c r="F27" s="470"/>
      <c r="G27" s="470"/>
      <c r="H27" s="470"/>
      <c r="I27" s="470"/>
      <c r="J27" s="470"/>
      <c r="K27" s="470"/>
      <c r="L27" s="470"/>
      <c r="M27" s="470"/>
      <c r="N27" s="470"/>
      <c r="O27" s="470"/>
      <c r="P27" s="470"/>
    </row>
    <row r="28" spans="1:17" ht="13">
      <c r="A28" s="549"/>
      <c r="B28" s="51" t="s">
        <v>377</v>
      </c>
      <c r="C28" s="470"/>
      <c r="D28" s="470"/>
      <c r="E28" s="470"/>
      <c r="F28" s="470"/>
      <c r="G28" s="470"/>
      <c r="H28" s="470"/>
      <c r="I28" s="470"/>
      <c r="J28" s="470"/>
      <c r="K28" s="470"/>
      <c r="L28" s="470"/>
      <c r="M28" s="470"/>
      <c r="N28" s="470"/>
      <c r="O28" s="470"/>
      <c r="P28" s="470"/>
    </row>
    <row r="29" spans="1:17" ht="13">
      <c r="A29" s="549"/>
      <c r="B29" s="463" t="s">
        <v>1628</v>
      </c>
      <c r="C29" s="470"/>
      <c r="D29" s="470"/>
      <c r="E29" s="470"/>
      <c r="F29" s="470"/>
      <c r="G29" s="470"/>
      <c r="H29" s="470"/>
      <c r="I29" s="470"/>
      <c r="J29" s="470"/>
      <c r="K29" s="470"/>
      <c r="L29" s="470"/>
      <c r="M29" s="470"/>
      <c r="N29" s="470"/>
      <c r="O29" s="470"/>
      <c r="P29" s="470"/>
    </row>
    <row r="30" spans="1:17" ht="13">
      <c r="A30" s="549"/>
      <c r="B30" s="467" t="s">
        <v>1638</v>
      </c>
      <c r="C30" s="470"/>
      <c r="D30" s="470"/>
      <c r="E30" s="470"/>
      <c r="F30" s="470"/>
      <c r="G30" s="470"/>
      <c r="H30" s="470"/>
      <c r="I30" s="470"/>
      <c r="J30" s="470"/>
      <c r="K30" s="470"/>
      <c r="L30" s="470"/>
      <c r="M30" s="470"/>
      <c r="N30" s="470"/>
      <c r="O30" s="470"/>
      <c r="P30" s="470"/>
    </row>
    <row r="31" spans="1:17">
      <c r="B31" s="463" t="s">
        <v>2700</v>
      </c>
    </row>
    <row r="32" spans="1:17">
      <c r="B32" s="467"/>
    </row>
    <row r="33" spans="2:13" ht="13">
      <c r="B33" s="51" t="s">
        <v>230</v>
      </c>
    </row>
    <row r="34" spans="2:13">
      <c r="B34" s="463" t="s">
        <v>1745</v>
      </c>
    </row>
    <row r="35" spans="2:13">
      <c r="B35" s="463" t="s">
        <v>1746</v>
      </c>
    </row>
    <row r="36" spans="2:13">
      <c r="B36" s="463" t="s">
        <v>2506</v>
      </c>
    </row>
    <row r="37" spans="2:13">
      <c r="B37" s="463" t="s">
        <v>2507</v>
      </c>
    </row>
    <row r="38" spans="2:13">
      <c r="B38" s="463" t="s">
        <v>2694</v>
      </c>
    </row>
    <row r="39" spans="2:13">
      <c r="B39" s="463" t="s">
        <v>2695</v>
      </c>
    </row>
    <row r="40" spans="2:13">
      <c r="B40" s="467" t="s">
        <v>2508</v>
      </c>
    </row>
    <row r="41" spans="2:13" ht="13">
      <c r="H41" s="549" t="s">
        <v>2509</v>
      </c>
    </row>
    <row r="42" spans="2:13" ht="13">
      <c r="C42" s="549"/>
      <c r="E42" s="549" t="s">
        <v>2510</v>
      </c>
      <c r="F42" s="549" t="s">
        <v>2511</v>
      </c>
      <c r="G42" s="549" t="s">
        <v>2511</v>
      </c>
      <c r="H42" s="549" t="s">
        <v>199</v>
      </c>
      <c r="I42" s="549" t="s">
        <v>1333</v>
      </c>
    </row>
    <row r="43" spans="2:13" ht="13">
      <c r="C43" s="3" t="s">
        <v>2512</v>
      </c>
      <c r="E43" s="3" t="s">
        <v>175</v>
      </c>
      <c r="F43" s="3" t="s">
        <v>2513</v>
      </c>
      <c r="G43" s="3" t="s">
        <v>2514</v>
      </c>
      <c r="H43" s="84" t="s">
        <v>2515</v>
      </c>
      <c r="I43" s="3" t="s">
        <v>2509</v>
      </c>
      <c r="J43" s="3" t="s">
        <v>168</v>
      </c>
    </row>
    <row r="44" spans="2:13">
      <c r="C44" s="1352" t="s">
        <v>2868</v>
      </c>
      <c r="D44" s="932"/>
      <c r="E44" s="977">
        <v>350000000</v>
      </c>
      <c r="F44" s="1221">
        <v>40925</v>
      </c>
      <c r="G44" s="1410">
        <v>5957289</v>
      </c>
      <c r="H44" s="1045">
        <v>10</v>
      </c>
      <c r="I44" s="510">
        <v>595728.9</v>
      </c>
      <c r="J44" s="96"/>
      <c r="K44" s="96"/>
      <c r="L44" s="96"/>
      <c r="M44" s="96"/>
    </row>
    <row r="45" spans="2:13">
      <c r="C45" s="1352" t="s">
        <v>2869</v>
      </c>
      <c r="D45" s="932"/>
      <c r="E45" s="977">
        <v>220010000</v>
      </c>
      <c r="F45" s="1221">
        <v>41303</v>
      </c>
      <c r="G45" s="1410">
        <v>7134904</v>
      </c>
      <c r="H45" s="1045">
        <v>30</v>
      </c>
      <c r="I45" s="510">
        <v>237830.13333333333</v>
      </c>
      <c r="J45" s="961" t="s">
        <v>2933</v>
      </c>
      <c r="K45" s="96"/>
      <c r="L45" s="96"/>
      <c r="M45" s="96"/>
    </row>
    <row r="46" spans="2:13">
      <c r="C46" s="1353" t="s">
        <v>2870</v>
      </c>
      <c r="D46" s="932"/>
      <c r="E46" s="977">
        <v>275010000</v>
      </c>
      <c r="F46" s="1221">
        <v>41704</v>
      </c>
      <c r="G46" s="1410">
        <v>6272358</v>
      </c>
      <c r="H46" s="1045">
        <v>10</v>
      </c>
      <c r="I46" s="510">
        <v>627235.80000000005</v>
      </c>
      <c r="J46" s="96"/>
      <c r="K46" s="96"/>
      <c r="L46" s="96"/>
      <c r="M46" s="96"/>
    </row>
    <row r="47" spans="2:13">
      <c r="C47" s="1354" t="s">
        <v>2871</v>
      </c>
      <c r="D47" s="1222"/>
      <c r="E47" s="977">
        <v>325010000</v>
      </c>
      <c r="F47" s="1221">
        <v>42240</v>
      </c>
      <c r="G47" s="1410">
        <v>6419578</v>
      </c>
      <c r="H47" s="1045">
        <v>10</v>
      </c>
      <c r="I47" s="510">
        <v>641957.80000000005</v>
      </c>
      <c r="J47" s="96"/>
      <c r="K47" s="96"/>
      <c r="L47" s="96"/>
      <c r="M47" s="96"/>
    </row>
    <row r="48" spans="2:13">
      <c r="C48" s="1354" t="s">
        <v>2872</v>
      </c>
      <c r="D48" s="1222"/>
      <c r="E48" s="977">
        <v>300010000</v>
      </c>
      <c r="F48" s="1221">
        <v>42437</v>
      </c>
      <c r="G48" s="1410">
        <v>6959810</v>
      </c>
      <c r="H48" s="1045">
        <v>10</v>
      </c>
      <c r="I48" s="510">
        <v>695981</v>
      </c>
      <c r="J48" s="961"/>
      <c r="K48" s="96"/>
      <c r="L48" s="96"/>
      <c r="M48" s="96"/>
    </row>
    <row r="49" spans="2:14">
      <c r="C49" s="1355" t="s">
        <v>2873</v>
      </c>
      <c r="D49" s="1222"/>
      <c r="E49" s="977">
        <v>475010000</v>
      </c>
      <c r="F49" s="1221">
        <v>42912</v>
      </c>
      <c r="G49" s="980">
        <v>12800620</v>
      </c>
      <c r="H49" s="1045">
        <v>30</v>
      </c>
      <c r="I49" s="977">
        <v>426687.33333333331</v>
      </c>
      <c r="J49" s="512" t="s">
        <v>2936</v>
      </c>
      <c r="K49" s="96"/>
      <c r="L49" s="96"/>
      <c r="M49" s="96"/>
    </row>
    <row r="50" spans="2:14">
      <c r="C50" s="478"/>
      <c r="D50" s="478"/>
      <c r="I50" s="7">
        <f>SUM(I44:I49)</f>
        <v>3225420.9666666673</v>
      </c>
      <c r="J50" s="463" t="s">
        <v>2516</v>
      </c>
    </row>
    <row r="51" spans="2:14">
      <c r="B51" s="463" t="s">
        <v>2696</v>
      </c>
    </row>
    <row r="52" spans="2:14">
      <c r="B52" s="467" t="s">
        <v>2517</v>
      </c>
      <c r="I52" s="71"/>
    </row>
    <row r="53" spans="2:14" ht="13">
      <c r="G53" s="549" t="s">
        <v>2509</v>
      </c>
    </row>
    <row r="54" spans="2:14" ht="13">
      <c r="C54" s="549"/>
      <c r="E54" s="549" t="s">
        <v>2518</v>
      </c>
      <c r="F54" s="549" t="s">
        <v>2509</v>
      </c>
      <c r="G54" s="549" t="s">
        <v>199</v>
      </c>
      <c r="H54" s="549" t="s">
        <v>1333</v>
      </c>
      <c r="I54" s="549"/>
    </row>
    <row r="55" spans="2:14" ht="13">
      <c r="C55" s="3" t="s">
        <v>2519</v>
      </c>
      <c r="E55" s="3" t="s">
        <v>2513</v>
      </c>
      <c r="F55" s="3" t="s">
        <v>175</v>
      </c>
      <c r="G55" s="84" t="s">
        <v>2515</v>
      </c>
      <c r="H55" s="3" t="s">
        <v>2509</v>
      </c>
      <c r="I55" s="3" t="s">
        <v>168</v>
      </c>
    </row>
    <row r="56" spans="2:14" ht="13">
      <c r="C56" s="1353" t="s">
        <v>2874</v>
      </c>
      <c r="D56" s="1350"/>
      <c r="E56" s="1221">
        <v>31444</v>
      </c>
      <c r="F56" s="977">
        <v>0</v>
      </c>
      <c r="G56" s="1045">
        <v>34</v>
      </c>
      <c r="H56" s="977">
        <v>0</v>
      </c>
      <c r="I56" s="1351"/>
      <c r="J56" s="96"/>
      <c r="K56" s="96"/>
      <c r="L56" s="96"/>
      <c r="M56" s="96"/>
      <c r="N56" s="96"/>
    </row>
    <row r="57" spans="2:14" ht="13">
      <c r="C57" s="1353" t="s">
        <v>2874</v>
      </c>
      <c r="D57" s="1350"/>
      <c r="E57" s="1221">
        <v>31444</v>
      </c>
      <c r="F57" s="977">
        <v>0</v>
      </c>
      <c r="G57" s="1045">
        <v>34</v>
      </c>
      <c r="H57" s="977">
        <v>0</v>
      </c>
      <c r="I57" s="1351"/>
      <c r="J57" s="96"/>
      <c r="K57" s="96"/>
      <c r="L57" s="96"/>
      <c r="M57" s="96"/>
      <c r="N57" s="96"/>
    </row>
    <row r="58" spans="2:14" ht="13">
      <c r="C58" s="1353" t="s">
        <v>2875</v>
      </c>
      <c r="D58" s="1350"/>
      <c r="E58" s="1221">
        <v>41333</v>
      </c>
      <c r="F58" s="1410">
        <v>2586350.9805555502</v>
      </c>
      <c r="G58" s="1045">
        <v>30</v>
      </c>
      <c r="H58" s="1410">
        <v>86211.699351851668</v>
      </c>
      <c r="I58" s="1351" t="s">
        <v>2880</v>
      </c>
      <c r="J58" s="1351"/>
      <c r="K58" s="1351"/>
      <c r="L58" s="96"/>
      <c r="M58" s="96"/>
      <c r="N58" s="96"/>
    </row>
    <row r="59" spans="2:14" ht="13">
      <c r="C59" s="1353" t="s">
        <v>2876</v>
      </c>
      <c r="D59" s="1350"/>
      <c r="E59" s="1221">
        <v>41333</v>
      </c>
      <c r="F59" s="1410">
        <v>2886865.9722222402</v>
      </c>
      <c r="G59" s="1045">
        <v>30</v>
      </c>
      <c r="H59" s="1410">
        <v>96228.865740741341</v>
      </c>
      <c r="I59" s="1351" t="s">
        <v>2880</v>
      </c>
      <c r="J59" s="1351"/>
      <c r="K59" s="1351"/>
      <c r="L59" s="96"/>
      <c r="M59" s="96"/>
      <c r="N59" s="96"/>
    </row>
    <row r="60" spans="2:14" ht="13">
      <c r="C60" s="1353" t="s">
        <v>2877</v>
      </c>
      <c r="D60" s="1350"/>
      <c r="E60" s="1221">
        <v>42460</v>
      </c>
      <c r="F60" s="1410">
        <v>2147802.5000000112</v>
      </c>
      <c r="G60" s="1045">
        <v>10</v>
      </c>
      <c r="H60" s="1410">
        <v>214780.25000000111</v>
      </c>
      <c r="I60" s="1351" t="s">
        <v>2881</v>
      </c>
      <c r="J60" s="1351"/>
      <c r="K60" s="1351"/>
      <c r="L60" s="96"/>
      <c r="M60" s="96"/>
      <c r="N60" s="96"/>
    </row>
    <row r="61" spans="2:14" ht="13">
      <c r="C61" s="1353" t="s">
        <v>2878</v>
      </c>
      <c r="D61" s="1350"/>
      <c r="E61" s="1221">
        <v>42935</v>
      </c>
      <c r="F61" s="1410">
        <v>12749183.344444489</v>
      </c>
      <c r="G61" s="1045">
        <v>30</v>
      </c>
      <c r="H61" s="1410">
        <v>424972.77814814966</v>
      </c>
      <c r="I61" s="1510"/>
      <c r="J61" s="1510"/>
      <c r="K61" s="1510"/>
      <c r="L61" s="96"/>
      <c r="M61" s="96"/>
      <c r="N61" s="96"/>
    </row>
    <row r="62" spans="2:14">
      <c r="C62" s="932" t="s">
        <v>2879</v>
      </c>
      <c r="D62" s="932"/>
      <c r="E62" s="1223">
        <v>44074</v>
      </c>
      <c r="F62" s="493">
        <v>8522773.9499999993</v>
      </c>
      <c r="G62" s="1045">
        <v>10</v>
      </c>
      <c r="H62" s="493">
        <v>852277.3949999999</v>
      </c>
      <c r="I62" s="961" t="s">
        <v>2931</v>
      </c>
      <c r="J62" s="961"/>
      <c r="K62" s="96"/>
      <c r="L62" s="96"/>
      <c r="M62" s="96"/>
      <c r="N62" s="96"/>
    </row>
    <row r="63" spans="2:14">
      <c r="C63" s="932" t="s">
        <v>2932</v>
      </c>
      <c r="D63" s="932"/>
      <c r="E63" s="1223">
        <v>44104</v>
      </c>
      <c r="F63" s="493">
        <v>4345607.5048123803</v>
      </c>
      <c r="G63" s="1045">
        <v>30</v>
      </c>
      <c r="H63" s="493">
        <f t="shared" ref="H63" si="3">F63/G63</f>
        <v>144853.583493746</v>
      </c>
      <c r="I63" s="961" t="s">
        <v>2934</v>
      </c>
      <c r="J63" s="961"/>
      <c r="K63" s="96"/>
      <c r="L63" s="96"/>
      <c r="M63" s="96"/>
      <c r="N63" s="96"/>
    </row>
    <row r="64" spans="2:14">
      <c r="C64" s="932"/>
      <c r="D64" s="932"/>
      <c r="E64" s="1223"/>
      <c r="F64" s="493"/>
      <c r="G64" s="1045"/>
      <c r="H64" s="493"/>
      <c r="I64" s="961" t="s">
        <v>2935</v>
      </c>
      <c r="J64" s="961"/>
      <c r="K64" s="96"/>
      <c r="L64" s="96"/>
      <c r="M64" s="96"/>
      <c r="N64" s="96"/>
    </row>
    <row r="65" spans="2:9">
      <c r="C65" s="478"/>
      <c r="D65" s="478"/>
      <c r="H65" s="7">
        <f>SUM(H56:H63)</f>
        <v>1819324.5717344894</v>
      </c>
      <c r="I65" s="463" t="s">
        <v>2520</v>
      </c>
    </row>
    <row r="67" spans="2:9">
      <c r="B67" s="463" t="s">
        <v>2697</v>
      </c>
    </row>
    <row r="68" spans="2:9">
      <c r="B68" s="463" t="s">
        <v>2698</v>
      </c>
    </row>
    <row r="69" spans="2:9">
      <c r="B69" s="463" t="s">
        <v>2699</v>
      </c>
    </row>
    <row r="78" spans="2:9">
      <c r="F78" s="7"/>
    </row>
    <row r="79" spans="2:9">
      <c r="F79" s="7"/>
    </row>
  </sheetData>
  <mergeCells count="1">
    <mergeCell ref="I61:K61"/>
  </mergeCells>
  <pageMargins left="0.7" right="0.7" top="0.75" bottom="0.75" header="0.3" footer="0.3"/>
  <pageSetup scale="54" fitToHeight="0" orientation="landscape" cellComments="asDisplayed" r:id="rId1"/>
  <headerFooter>
    <oddHeader>&amp;CSchedule 5 ROR-2
Return and Capitalization
&amp;RTO2022 Annual Update 
Attachment 1</oddHeader>
    <oddFooter>&amp;R5-ROR-2</oddFooter>
  </headerFooter>
  <rowBreaks count="1" manualBreakCount="1">
    <brk id="32" max="1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Legal Document" ma:contentTypeID="0x01010059CF184591B1604A8B5108A47612E8120085E47BF52B16274BB211D3B2DA8C37CB" ma:contentTypeVersion="73" ma:contentTypeDescription="" ma:contentTypeScope="" ma:versionID="a933c5185b0d2af71e6db68059dae87f">
  <xsd:schema xmlns:xsd="http://www.w3.org/2001/XMLSchema" xmlns:xs="http://www.w3.org/2001/XMLSchema" xmlns:p="http://schemas.microsoft.com/office/2006/metadata/properties" xmlns:ns3="ec52a836-0bb4-4d79-aa0d-20b4805e15e2" xmlns:ns4="4a395b14-ee59-43b1-b020-0aff8b256b59" xmlns:ns5="f00742b3-bbdc-40aa-80c7-4fc35bdc8024" targetNamespace="http://schemas.microsoft.com/office/2006/metadata/properties" ma:root="true" ma:fieldsID="261d5bce47047d231511220ffa4d5a78" ns3:_="" ns4:_="" ns5:_="">
    <xsd:import namespace="ec52a836-0bb4-4d79-aa0d-20b4805e15e2"/>
    <xsd:import namespace="4a395b14-ee59-43b1-b020-0aff8b256b59"/>
    <xsd:import namespace="f00742b3-bbdc-40aa-80c7-4fc35bdc8024"/>
    <xsd:element name="properties">
      <xsd:complexType>
        <xsd:sequence>
          <xsd:element name="documentManagement">
            <xsd:complexType>
              <xsd:all>
                <xsd:element ref="ns3:Document_x0020_Date" minOccurs="0"/>
                <xsd:element ref="ns4:Clip" minOccurs="0"/>
                <xsd:element ref="ns3:Legal_x0020_Group1" minOccurs="0"/>
                <xsd:element ref="ns3:SharedWithUsers" minOccurs="0"/>
                <xsd:element ref="ns3:SharedWithDetails" minOccurs="0"/>
                <xsd:element ref="ns5:LastSharedByUser" minOccurs="0"/>
                <xsd:element ref="ns5:LastSharedByTime" minOccurs="0"/>
                <xsd:element ref="ns3:_dlc_DocId" minOccurs="0"/>
                <xsd:element ref="ns3:_dlc_DocIdUrl" minOccurs="0"/>
                <xsd:element ref="ns3:_dlc_DocIdPersistId"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52a836-0bb4-4d79-aa0d-20b4805e15e2" elementFormDefault="qualified">
    <xsd:import namespace="http://schemas.microsoft.com/office/2006/documentManagement/types"/>
    <xsd:import namespace="http://schemas.microsoft.com/office/infopath/2007/PartnerControls"/>
    <xsd:element name="Document_x0020_Date" ma:index="3" nillable="true" ma:displayName="Document Date" ma:format="DateOnly" ma:internalName="Document_x0020_Date">
      <xsd:simpleType>
        <xsd:restriction base="dms:DateTime"/>
      </xsd:simpleType>
    </xsd:element>
    <xsd:element name="Legal_x0020_Group1" ma:index="6" nillable="true" ma:displayName="Legal Group" ma:default="Transmission and Wholesale Markets" ma:format="Dropdown" ma:internalName="Legal_x0020_Group1">
      <xsd:simpleType>
        <xsd:restriction base="dms:Choice">
          <xsd:enumeration value="Claims and General Litigation"/>
          <xsd:enumeration value="Commercial Litigation"/>
          <xsd:enumeration value="Contracts And Intellectual Property"/>
          <xsd:enumeration value="Base Rates and Grid Support"/>
          <xsd:enumeration value="Corporate Governance - Area"/>
          <xsd:enumeration value="Customer and Tariff"/>
          <xsd:enumeration value="Labor and Employment"/>
          <xsd:enumeration value="Licensing and Environmental"/>
          <xsd:enumeration value="Power Procurement"/>
          <xsd:enumeration value="Real Prop and Local Government"/>
          <xsd:enumeration value="Resource Policy and Planning"/>
          <xsd:enumeration value="Transmission and Wholesale Markets"/>
        </xsd:restrictio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a395b14-ee59-43b1-b020-0aff8b256b59" elementFormDefault="qualified">
    <xsd:import namespace="http://schemas.microsoft.com/office/2006/documentManagement/types"/>
    <xsd:import namespace="http://schemas.microsoft.com/office/infopath/2007/PartnerControls"/>
    <xsd:element name="Clip" ma:index="4" nillable="true" ma:displayName="Clip" ma:list="{d663fa17-8aef-42f5-b1f4-844335a181a3}" ma:internalName="Clip" ma:showField="Title">
      <xsd:simpleType>
        <xsd:restriction base="dms:Lookup"/>
      </xsd:simpleType>
    </xsd:element>
    <xsd:element name="MediaServiceMetadata" ma:index="19" nillable="true" ma:displayName="MediaServiceMetadata" ma:description="" ma:hidden="true" ma:internalName="MediaServiceMetadata" ma:readOnly="true">
      <xsd:simpleType>
        <xsd:restriction base="dms:Note"/>
      </xsd:simpleType>
    </xsd:element>
    <xsd:element name="MediaServiceFastMetadata" ma:index="20" nillable="true" ma:displayName="MediaServiceFastMetadata" ma:description="" ma:hidden="true" ma:internalName="MediaServiceFastMetadata" ma:readOnly="true">
      <xsd:simpleType>
        <xsd:restriction base="dms:Note"/>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Location" ma:index="24" nillable="true" ma:displayName="Location" ma:internalName="MediaServiceLocation"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EventHashCode" ma:index="27" nillable="true" ma:displayName="MediaServiceEventHashCode" ma:hidden="true" ma:internalName="MediaServiceEventHashCode" ma:readOnly="true">
      <xsd:simpleType>
        <xsd:restriction base="dms:Text"/>
      </xsd:simpleType>
    </xsd:element>
    <xsd:element name="MediaServiceAutoKeyPoints" ma:index="28" nillable="true" ma:displayName="MediaServiceAutoKeyPoints" ma:hidden="true" ma:internalName="MediaServiceAutoKeyPoints" ma:readOnly="true">
      <xsd:simpleType>
        <xsd:restriction base="dms:Note"/>
      </xsd:simpleType>
    </xsd:element>
    <xsd:element name="MediaServiceKeyPoints" ma:index="2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0742b3-bbdc-40aa-80c7-4fc35bdc8024" elementFormDefault="qualified">
    <xsd:import namespace="http://schemas.microsoft.com/office/2006/documentManagement/types"/>
    <xsd:import namespace="http://schemas.microsoft.com/office/infopath/2007/PartnerControls"/>
    <xsd:element name="LastSharedByUser" ma:index="14" nillable="true" ma:displayName="Last Shared By User" ma:description="" ma:internalName="LastSharedByUser" ma:readOnly="true">
      <xsd:simpleType>
        <xsd:restriction base="dms:Note">
          <xsd:maxLength value="255"/>
        </xsd:restriction>
      </xsd:simpleType>
    </xsd:element>
    <xsd:element name="LastSharedByTime" ma:index="15"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13" ma:displayName="Content Type"/>
        <xsd:element ref="dc:title" minOccurs="0" maxOccurs="1" ma:index="1" ma:displayName="Title"/>
        <xsd:element ref="dc:subject" minOccurs="0" maxOccurs="1"/>
        <xsd:element ref="dc:description" minOccurs="0" maxOccurs="1" ma:index="5"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customXsn xmlns="http://schemas.microsoft.com/office/2006/metadata/customXsn">
  <xsnLocation/>
  <cached>True</cached>
  <openByDefault>True</openByDefault>
  <xsnScope/>
</customXsn>
</file>

<file path=customXml/item4.xml><?xml version="1.0" encoding="utf-8"?>
<p:properties xmlns:p="http://schemas.microsoft.com/office/2006/metadata/properties" xmlns:xsi="http://www.w3.org/2001/XMLSchema-instance" xmlns:pc="http://schemas.microsoft.com/office/infopath/2007/PartnerControls">
  <documentManagement>
    <Document_x0020_Date xmlns="ec52a836-0bb4-4d79-aa0d-20b4805e15e2" xsi:nil="true"/>
    <Legal_x0020_Group1 xmlns="ec52a836-0bb4-4d79-aa0d-20b4805e15e2">Transmission and Wholesale Markets</Legal_x0020_Group1>
    <Clip xmlns="4a395b14-ee59-43b1-b020-0aff8b256b59" xsi:nil="true"/>
    <_dlc_DocId xmlns="ec52a836-0bb4-4d79-aa0d-20b4805e15e2">LIMSO365-1487909763-3371</_dlc_DocId>
    <_dlc_DocIdUrl xmlns="ec52a836-0bb4-4d79-aa0d-20b4805e15e2">
      <Url>https://edisonintl.sharepoint.com/teams/LIMS%20O365/TWMW/_layouts/15/DocIdRedir.aspx?ID=LIMSO365-1487909763-3371</Url>
      <Description>LIMSO365-1487909763-3371</Description>
    </_dlc_DocIdUrl>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3A653C6-9BD8-47F1-AE37-2BD3451C9774}">
  <ds:schemaRefs>
    <ds:schemaRef ds:uri="http://schemas.microsoft.com/sharepoint/v3/contenttype/forms"/>
  </ds:schemaRefs>
</ds:datastoreItem>
</file>

<file path=customXml/itemProps2.xml><?xml version="1.0" encoding="utf-8"?>
<ds:datastoreItem xmlns:ds="http://schemas.openxmlformats.org/officeDocument/2006/customXml" ds:itemID="{46FDAEC8-8EB6-4E78-92E0-3031E31DCE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52a836-0bb4-4d79-aa0d-20b4805e15e2"/>
    <ds:schemaRef ds:uri="4a395b14-ee59-43b1-b020-0aff8b256b59"/>
    <ds:schemaRef ds:uri="f00742b3-bbdc-40aa-80c7-4fc35bdc8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2B30779-2D29-4934-A499-EBF0EF1C5590}">
  <ds:schemaRefs>
    <ds:schemaRef ds:uri="http://schemas.microsoft.com/office/2006/metadata/customXsn"/>
  </ds:schemaRefs>
</ds:datastoreItem>
</file>

<file path=customXml/itemProps4.xml><?xml version="1.0" encoding="utf-8"?>
<ds:datastoreItem xmlns:ds="http://schemas.openxmlformats.org/officeDocument/2006/customXml" ds:itemID="{18EFB732-2170-4C43-B29C-A57FFC6F81E0}">
  <ds:schemaRefs>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4a395b14-ee59-43b1-b020-0aff8b256b59"/>
    <ds:schemaRef ds:uri="f00742b3-bbdc-40aa-80c7-4fc35bdc8024"/>
    <ds:schemaRef ds:uri="ec52a836-0bb4-4d79-aa0d-20b4805e15e2"/>
    <ds:schemaRef ds:uri="http://purl.org/dc/elements/1.1/"/>
    <ds:schemaRef ds:uri="http://schemas.microsoft.com/office/2006/metadata/properties"/>
    <ds:schemaRef ds:uri="http://www.w3.org/XML/1998/namespace"/>
    <ds:schemaRef ds:uri="http://purl.org/dc/dcmitype/"/>
  </ds:schemaRefs>
</ds:datastoreItem>
</file>

<file path=customXml/itemProps5.xml><?xml version="1.0" encoding="utf-8"?>
<ds:datastoreItem xmlns:ds="http://schemas.openxmlformats.org/officeDocument/2006/customXml" ds:itemID="{F0451B22-D90B-4D19-B8B1-AF4FE30B9EEF}">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42</vt:i4>
      </vt:variant>
    </vt:vector>
  </HeadingPairs>
  <TitlesOfParts>
    <vt:vector size="82"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9-ADIT-1</vt:lpstr>
      <vt:lpstr>9-ADIT-2</vt:lpstr>
      <vt:lpstr>9-ADIT-3</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'3-TrueUpAdjust'!Print_Area</vt:lpstr>
      <vt:lpstr>'4-TUTRR'!Print_Area</vt:lpstr>
      <vt:lpstr>'5-ROR-1'!Print_Area</vt:lpstr>
      <vt:lpstr>'5-ROR-2'!Print_Area</vt:lpstr>
      <vt:lpstr>'6-PlantInService'!Print_Area</vt:lpstr>
      <vt:lpstr>'7-PlantStudy'!Print_Area</vt:lpstr>
      <vt:lpstr>'8-AccDep'!Print_Area</vt:lpstr>
      <vt:lpstr>'9-ADIT-1'!Print_Area</vt:lpstr>
      <vt:lpstr>'9-ADIT-2'!Print_Area</vt:lpstr>
      <vt:lpstr>'9-ADIT-3'!Print_Area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Bert Hansen</dc:creator>
  <dc:description/>
  <cp:lastModifiedBy>Jee Kim</cp:lastModifiedBy>
  <cp:lastPrinted>2021-10-26T00:36:53Z</cp:lastPrinted>
  <dcterms:created xsi:type="dcterms:W3CDTF">2009-02-27T16:01:11Z</dcterms:created>
  <dcterms:modified xsi:type="dcterms:W3CDTF">2021-11-18T23:40:34Z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0x01010059CF184591B1604A8B5108A47612E8120085E47BF52B16274BB211D3B2DA8C37CB</vt:lpwstr>
  </property>
  <property fmtid="{D5CDD505-2E9C-101B-9397-08002B2CF9AE}" pid="3" name="_dlc_DocIdItemGuid">
    <vt:lpwstr>1abc73ce-fb89-4fa0-af00-7af4d1b86cca</vt:lpwstr>
  </property>
</Properties>
</file>